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FC6A2A1A-FA7E-4867-A0BF-EF12AD104B53}" xr6:coauthVersionLast="47" xr6:coauthVersionMax="47" xr10:uidLastSave="{00000000-0000-0000-0000-000000000000}"/>
  <bookViews>
    <workbookView xWindow="-108" yWindow="-108" windowWidth="23256" windowHeight="12456" tabRatio="919" firstSheet="3" activeTab="6"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20" l="1"/>
  <c r="H20" i="120"/>
  <c r="C20" i="120"/>
  <c r="M18" i="120"/>
  <c r="H18" i="120"/>
  <c r="C18" i="120"/>
  <c r="M17" i="120"/>
  <c r="H17" i="120"/>
  <c r="H19" i="120" s="1"/>
  <c r="C17" i="120"/>
  <c r="C19" i="120" s="1"/>
  <c r="M16" i="120"/>
  <c r="H16" i="120"/>
  <c r="C16" i="120"/>
  <c r="M15" i="120"/>
  <c r="H15" i="120"/>
  <c r="C15" i="120"/>
  <c r="M14" i="120"/>
  <c r="H14" i="120"/>
  <c r="C14" i="120"/>
  <c r="R13" i="120"/>
  <c r="R19" i="120" s="1"/>
  <c r="Q13" i="120"/>
  <c r="Q19" i="120" s="1"/>
  <c r="P13" i="120"/>
  <c r="P19" i="120" s="1"/>
  <c r="O13" i="120"/>
  <c r="O19" i="120" s="1"/>
  <c r="N13" i="120"/>
  <c r="N19" i="120" s="1"/>
  <c r="M13" i="120"/>
  <c r="M19" i="120" s="1"/>
  <c r="L13" i="120"/>
  <c r="L19" i="120" s="1"/>
  <c r="K13" i="120"/>
  <c r="K19" i="120" s="1"/>
  <c r="J13" i="120"/>
  <c r="J19" i="120" s="1"/>
  <c r="I13" i="120"/>
  <c r="I19" i="120" s="1"/>
  <c r="H13" i="120"/>
  <c r="G13" i="120"/>
  <c r="C13" i="120" s="1"/>
  <c r="F13" i="120"/>
  <c r="F19" i="120" s="1"/>
  <c r="E13" i="120"/>
  <c r="E19" i="120" s="1"/>
  <c r="D13" i="120"/>
  <c r="D19" i="120" s="1"/>
  <c r="M12" i="120"/>
  <c r="H12" i="120"/>
  <c r="C12" i="120"/>
  <c r="M11" i="120"/>
  <c r="H11" i="120"/>
  <c r="C11" i="120"/>
  <c r="M10" i="120"/>
  <c r="H10" i="120"/>
  <c r="C10" i="120"/>
  <c r="M9" i="120"/>
  <c r="H9" i="120"/>
  <c r="C9" i="120"/>
  <c r="M8" i="120"/>
  <c r="H8" i="120"/>
  <c r="C8" i="120"/>
  <c r="M7" i="120"/>
  <c r="H7" i="120"/>
  <c r="C7" i="120"/>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H33" i="118" s="1"/>
  <c r="C8" i="118"/>
  <c r="C33" i="118" s="1"/>
  <c r="H7" i="118"/>
  <c r="C7" i="118"/>
  <c r="C22" i="117"/>
  <c r="C21" i="117"/>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K10" i="117"/>
  <c r="J10" i="117"/>
  <c r="I10" i="117"/>
  <c r="H10" i="117"/>
  <c r="G10" i="117"/>
  <c r="F10" i="117"/>
  <c r="E10" i="117"/>
  <c r="D10" i="117"/>
  <c r="C10" i="117"/>
  <c r="C9" i="117"/>
  <c r="C8" i="117"/>
  <c r="C22" i="116"/>
  <c r="C16" i="116"/>
  <c r="D15" i="116"/>
  <c r="C15" i="116" s="1"/>
  <c r="C14" i="116"/>
  <c r="C13"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10" i="115"/>
  <c r="C18" i="115" s="1"/>
  <c r="C10" i="114"/>
  <c r="C7" i="114"/>
  <c r="C15" i="114" s="1"/>
  <c r="G21" i="112"/>
  <c r="F21" i="112"/>
  <c r="E21" i="112"/>
  <c r="D21" i="112"/>
  <c r="C21" i="112"/>
  <c r="G36" i="97"/>
  <c r="G33" i="97"/>
  <c r="F33" i="97"/>
  <c r="E33" i="97"/>
  <c r="D33" i="97"/>
  <c r="C33" i="97"/>
  <c r="G31" i="97"/>
  <c r="G26" i="97"/>
  <c r="G24" i="97"/>
  <c r="G37" i="97" s="1"/>
  <c r="F24" i="97"/>
  <c r="E24" i="97"/>
  <c r="D24" i="97"/>
  <c r="C24" i="97"/>
  <c r="G18" i="97"/>
  <c r="F18" i="97"/>
  <c r="E18" i="97"/>
  <c r="D18" i="97"/>
  <c r="C18" i="97"/>
  <c r="D16" i="97"/>
  <c r="D14" i="97" s="1"/>
  <c r="G15" i="97"/>
  <c r="F14" i="97"/>
  <c r="E14" i="97"/>
  <c r="C14" i="97"/>
  <c r="G13" i="97"/>
  <c r="G12" i="97"/>
  <c r="G11" i="97"/>
  <c r="F11" i="97"/>
  <c r="E11" i="97"/>
  <c r="D11" i="97"/>
  <c r="C11" i="97"/>
  <c r="F10" i="97"/>
  <c r="G10" i="97" s="1"/>
  <c r="G8" i="97" s="1"/>
  <c r="G9" i="97"/>
  <c r="E8" i="97"/>
  <c r="D8" i="97"/>
  <c r="C8" i="97"/>
  <c r="E6" i="123"/>
  <c r="D6" i="123"/>
  <c r="F9" i="123"/>
  <c r="F8" i="123"/>
  <c r="F7" i="123"/>
  <c r="C8" i="95"/>
  <c r="C7" i="95"/>
  <c r="C6" i="95"/>
  <c r="P6" i="92"/>
  <c r="O6" i="92"/>
  <c r="N6" i="92"/>
  <c r="L6" i="92"/>
  <c r="K6" i="92"/>
  <c r="J6" i="92"/>
  <c r="D9" i="92"/>
  <c r="D8" i="92"/>
  <c r="D7" i="92"/>
  <c r="D6" i="92" s="1"/>
  <c r="E9" i="92"/>
  <c r="E8" i="92" s="1"/>
  <c r="E7" i="92" s="1"/>
  <c r="E6" i="92" s="1"/>
  <c r="K24" i="93"/>
  <c r="J24" i="93"/>
  <c r="I24" i="93"/>
  <c r="H24" i="93"/>
  <c r="G24" i="93"/>
  <c r="F24" i="93"/>
  <c r="J23" i="93"/>
  <c r="J25" i="93" s="1"/>
  <c r="I23" i="93"/>
  <c r="K23" i="93" s="1"/>
  <c r="K25" i="93" s="1"/>
  <c r="G23" i="93"/>
  <c r="G25" i="93" s="1"/>
  <c r="F23" i="93"/>
  <c r="H23" i="93" s="1"/>
  <c r="H25" i="93" s="1"/>
  <c r="K8" i="93"/>
  <c r="H8" i="93"/>
  <c r="J21" i="93"/>
  <c r="I21" i="93"/>
  <c r="K21" i="93" s="1"/>
  <c r="G21" i="93"/>
  <c r="F21" i="93"/>
  <c r="D21" i="93"/>
  <c r="C21" i="93"/>
  <c r="K20" i="93"/>
  <c r="H20" i="93"/>
  <c r="E20" i="93"/>
  <c r="E21" i="93" s="1"/>
  <c r="K19" i="93"/>
  <c r="H19" i="93"/>
  <c r="E19" i="93"/>
  <c r="K18" i="93"/>
  <c r="H18" i="93"/>
  <c r="H21" i="93" s="1"/>
  <c r="E18" i="93"/>
  <c r="J16" i="93"/>
  <c r="I16" i="93"/>
  <c r="G16" i="93"/>
  <c r="F16" i="93"/>
  <c r="D16" i="93"/>
  <c r="C16" i="93"/>
  <c r="K15" i="93"/>
  <c r="H15" i="93"/>
  <c r="E15" i="93"/>
  <c r="K14" i="93"/>
  <c r="H14" i="93"/>
  <c r="E14" i="93"/>
  <c r="K13" i="93"/>
  <c r="H13" i="93"/>
  <c r="E13" i="93"/>
  <c r="K12" i="93"/>
  <c r="H12" i="93"/>
  <c r="E12" i="93"/>
  <c r="K11" i="93"/>
  <c r="H11" i="93"/>
  <c r="E11" i="93"/>
  <c r="K10" i="93"/>
  <c r="K16" i="93" s="1"/>
  <c r="H10" i="93"/>
  <c r="H16" i="93" s="1"/>
  <c r="E10" i="93"/>
  <c r="E16" i="93" s="1"/>
  <c r="G19" i="120" l="1"/>
  <c r="F8" i="97"/>
  <c r="G16" i="97"/>
  <c r="G14" i="97" s="1"/>
  <c r="G21" i="97" s="1"/>
  <c r="G39" i="97" s="1"/>
  <c r="I25" i="93"/>
  <c r="F25" i="93"/>
  <c r="C67" i="69" l="1"/>
  <c r="C62" i="69"/>
  <c r="C58" i="69"/>
  <c r="C46" i="69"/>
  <c r="C40" i="69"/>
  <c r="C52" i="69" s="1"/>
  <c r="C68" i="69" s="1"/>
  <c r="C29" i="69"/>
  <c r="C26" i="69"/>
  <c r="C23" i="69"/>
  <c r="C18" i="69"/>
  <c r="C35" i="69" s="1"/>
  <c r="C14" i="69"/>
  <c r="C6" i="69"/>
  <c r="E35" i="88"/>
  <c r="E34" i="88"/>
  <c r="E32" i="88"/>
  <c r="E31" i="88" s="1"/>
  <c r="D31" i="88"/>
  <c r="C31" i="88"/>
  <c r="E30" i="88"/>
  <c r="E28" i="88" s="1"/>
  <c r="D28" i="88"/>
  <c r="C28" i="88"/>
  <c r="E26" i="88"/>
  <c r="E25" i="88" s="1"/>
  <c r="D25" i="88"/>
  <c r="C25" i="88"/>
  <c r="E23" i="88"/>
  <c r="E22" i="88"/>
  <c r="E21" i="88"/>
  <c r="E20" i="88"/>
  <c r="D20" i="88"/>
  <c r="C20" i="88"/>
  <c r="E16" i="88"/>
  <c r="D16" i="88"/>
  <c r="C16" i="88"/>
  <c r="E13" i="88"/>
  <c r="E12" i="88"/>
  <c r="E11" i="88"/>
  <c r="E10" i="88"/>
  <c r="E9" i="88"/>
  <c r="E8" i="88"/>
  <c r="D8" i="88"/>
  <c r="C8" i="88"/>
  <c r="H43" i="110" l="1"/>
  <c r="E43" i="110"/>
  <c r="H42" i="110"/>
  <c r="E42" i="110"/>
  <c r="H41" i="110"/>
  <c r="E41" i="110"/>
  <c r="H40" i="110"/>
  <c r="E40" i="110"/>
  <c r="H39" i="110"/>
  <c r="E39" i="110"/>
  <c r="G38" i="110"/>
  <c r="H38" i="110" s="1"/>
  <c r="F38" i="110"/>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F17" i="110"/>
  <c r="H17" i="110" s="1"/>
  <c r="D17" i="110"/>
  <c r="D14" i="110" s="1"/>
  <c r="C17" i="110"/>
  <c r="E17" i="110" s="1"/>
  <c r="H16" i="110"/>
  <c r="E16" i="110"/>
  <c r="H15" i="110"/>
  <c r="E15" i="110"/>
  <c r="G14" i="110"/>
  <c r="H14" i="110" s="1"/>
  <c r="F14" i="110"/>
  <c r="H13" i="110"/>
  <c r="E13" i="110"/>
  <c r="H12" i="110"/>
  <c r="E12" i="110"/>
  <c r="H11" i="110"/>
  <c r="D11" i="110"/>
  <c r="C11" i="110"/>
  <c r="E11" i="110" s="1"/>
  <c r="H10" i="110"/>
  <c r="E10" i="110"/>
  <c r="H9" i="110"/>
  <c r="E9" i="110"/>
  <c r="G8" i="110"/>
  <c r="F8" i="110"/>
  <c r="H8" i="110" s="1"/>
  <c r="D8" i="110"/>
  <c r="C8" i="110"/>
  <c r="E8" i="110" s="1"/>
  <c r="H7" i="110"/>
  <c r="E7" i="110"/>
  <c r="H6" i="110"/>
  <c r="E6" i="110"/>
  <c r="H44" i="109"/>
  <c r="E44" i="109"/>
  <c r="G43" i="109"/>
  <c r="G45" i="109" s="1"/>
  <c r="F43" i="109"/>
  <c r="F45" i="109" s="1"/>
  <c r="H45" i="109" s="1"/>
  <c r="H42" i="109"/>
  <c r="E42" i="109"/>
  <c r="H41" i="109"/>
  <c r="E41" i="109"/>
  <c r="H40" i="109"/>
  <c r="E40" i="109"/>
  <c r="H39" i="109"/>
  <c r="E39" i="109"/>
  <c r="H38" i="109"/>
  <c r="E38" i="109"/>
  <c r="G37" i="109"/>
  <c r="H37" i="109" s="1"/>
  <c r="F37" i="109"/>
  <c r="D37" i="109"/>
  <c r="C37" i="109"/>
  <c r="E37" i="109" s="1"/>
  <c r="H36" i="109"/>
  <c r="E36" i="109"/>
  <c r="H35" i="109"/>
  <c r="E35" i="109"/>
  <c r="G34" i="109"/>
  <c r="H34" i="109" s="1"/>
  <c r="F34" i="109"/>
  <c r="E34" i="109"/>
  <c r="D34" i="109"/>
  <c r="C34" i="109"/>
  <c r="H33" i="109"/>
  <c r="E33" i="109"/>
  <c r="H32" i="109"/>
  <c r="E32" i="109"/>
  <c r="H31" i="109"/>
  <c r="E31" i="109"/>
  <c r="H30" i="109"/>
  <c r="E30" i="109"/>
  <c r="H29" i="109"/>
  <c r="E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E13" i="109"/>
  <c r="D13" i="109"/>
  <c r="C13" i="109"/>
  <c r="H12" i="109"/>
  <c r="E12" i="109"/>
  <c r="H11" i="109"/>
  <c r="E11" i="109"/>
  <c r="H10" i="109"/>
  <c r="E10" i="109"/>
  <c r="H9" i="109"/>
  <c r="E9" i="109"/>
  <c r="H8" i="109"/>
  <c r="E8" i="109"/>
  <c r="H7" i="109"/>
  <c r="E7" i="109"/>
  <c r="G6" i="109"/>
  <c r="F6" i="109"/>
  <c r="H6" i="109" s="1"/>
  <c r="D6" i="109"/>
  <c r="D43" i="109" s="1"/>
  <c r="D45" i="109" s="1"/>
  <c r="C6" i="109"/>
  <c r="E6" i="109" s="1"/>
  <c r="G68" i="108"/>
  <c r="F68" i="108"/>
  <c r="H68" i="108" s="1"/>
  <c r="D68" i="108"/>
  <c r="C68" i="108"/>
  <c r="E68" i="108" s="1"/>
  <c r="H67" i="108"/>
  <c r="E67" i="108"/>
  <c r="H66" i="108"/>
  <c r="E66" i="108"/>
  <c r="H65" i="108"/>
  <c r="E65" i="108"/>
  <c r="H64" i="108"/>
  <c r="E64" i="108"/>
  <c r="H63" i="108"/>
  <c r="D63" i="108"/>
  <c r="C63" i="108"/>
  <c r="E63" i="108" s="1"/>
  <c r="H62" i="108"/>
  <c r="E62" i="108"/>
  <c r="H61" i="108"/>
  <c r="E61" i="108"/>
  <c r="H60" i="108"/>
  <c r="E60" i="108"/>
  <c r="H59" i="108"/>
  <c r="D59" i="108"/>
  <c r="C59" i="108"/>
  <c r="E59" i="108" s="1"/>
  <c r="H58" i="108"/>
  <c r="E58" i="108"/>
  <c r="H57" i="108"/>
  <c r="E57" i="108"/>
  <c r="H56" i="108"/>
  <c r="E56" i="108"/>
  <c r="H55" i="108"/>
  <c r="E55" i="108"/>
  <c r="F53" i="108"/>
  <c r="F69" i="108" s="1"/>
  <c r="D53" i="108"/>
  <c r="D69" i="108" s="1"/>
  <c r="C53" i="108"/>
  <c r="C69" i="108" s="1"/>
  <c r="E69" i="108" s="1"/>
  <c r="H52" i="108"/>
  <c r="E52" i="108"/>
  <c r="H51" i="108"/>
  <c r="E51" i="108"/>
  <c r="H50" i="108"/>
  <c r="E50" i="108"/>
  <c r="H49" i="108"/>
  <c r="E49" i="108"/>
  <c r="H48" i="108"/>
  <c r="E48" i="108"/>
  <c r="G47" i="108"/>
  <c r="H47" i="108" s="1"/>
  <c r="F47" i="108"/>
  <c r="D47" i="108"/>
  <c r="C47" i="108"/>
  <c r="E47" i="108" s="1"/>
  <c r="H46" i="108"/>
  <c r="E46" i="108"/>
  <c r="H45" i="108"/>
  <c r="E45" i="108"/>
  <c r="H44" i="108"/>
  <c r="E44" i="108"/>
  <c r="H43" i="108"/>
  <c r="E43" i="108"/>
  <c r="H42" i="108"/>
  <c r="E42" i="108"/>
  <c r="G41" i="108"/>
  <c r="F41" i="108"/>
  <c r="H41" i="108" s="1"/>
  <c r="D41" i="108"/>
  <c r="C41" i="108"/>
  <c r="E41" i="108" s="1"/>
  <c r="H40" i="108"/>
  <c r="E40" i="108"/>
  <c r="H39" i="108"/>
  <c r="E39" i="108"/>
  <c r="H38" i="108"/>
  <c r="E38" i="108"/>
  <c r="H35" i="108"/>
  <c r="E35" i="108"/>
  <c r="H34" i="108"/>
  <c r="E34" i="108"/>
  <c r="H33" i="108"/>
  <c r="E33" i="108"/>
  <c r="H32" i="108"/>
  <c r="E32" i="108"/>
  <c r="H31" i="108"/>
  <c r="E31" i="108"/>
  <c r="G30" i="108"/>
  <c r="F30" i="108"/>
  <c r="F36" i="108" s="1"/>
  <c r="H36" i="108" s="1"/>
  <c r="D30" i="108"/>
  <c r="C30" i="108"/>
  <c r="E30" i="108" s="1"/>
  <c r="H29" i="108"/>
  <c r="E29" i="108"/>
  <c r="H28" i="108"/>
  <c r="E28" i="108"/>
  <c r="G27" i="108"/>
  <c r="H27" i="108" s="1"/>
  <c r="F27" i="108"/>
  <c r="D27" i="108"/>
  <c r="C27" i="108"/>
  <c r="E27" i="108" s="1"/>
  <c r="H26" i="108"/>
  <c r="E26" i="108"/>
  <c r="H25" i="108"/>
  <c r="E25" i="108"/>
  <c r="G24" i="108"/>
  <c r="F24" i="108"/>
  <c r="H24" i="108" s="1"/>
  <c r="D24" i="108"/>
  <c r="C24" i="108"/>
  <c r="E24" i="108" s="1"/>
  <c r="H23" i="108"/>
  <c r="E23" i="108"/>
  <c r="H22" i="108"/>
  <c r="E22" i="108"/>
  <c r="H21" i="108"/>
  <c r="E21" i="108"/>
  <c r="H20" i="108"/>
  <c r="E20" i="108"/>
  <c r="G19" i="108"/>
  <c r="H19" i="108" s="1"/>
  <c r="F19" i="108"/>
  <c r="D19" i="108"/>
  <c r="C19" i="108"/>
  <c r="E19" i="108" s="1"/>
  <c r="H18" i="108"/>
  <c r="E18" i="108"/>
  <c r="H17" i="108"/>
  <c r="E17" i="108"/>
  <c r="H16" i="108"/>
  <c r="E16" i="108"/>
  <c r="G15" i="108"/>
  <c r="G36" i="108" s="1"/>
  <c r="F15" i="108"/>
  <c r="D15" i="108"/>
  <c r="C15" i="108"/>
  <c r="E15" i="108" s="1"/>
  <c r="H14" i="108"/>
  <c r="E14" i="108"/>
  <c r="H13" i="108"/>
  <c r="E13" i="108"/>
  <c r="H12" i="108"/>
  <c r="E12" i="108"/>
  <c r="H11" i="108"/>
  <c r="E11" i="108"/>
  <c r="H10" i="108"/>
  <c r="E10" i="108"/>
  <c r="H9" i="108"/>
  <c r="E9" i="108"/>
  <c r="H8" i="108"/>
  <c r="E8" i="108"/>
  <c r="G7" i="108"/>
  <c r="F7" i="108"/>
  <c r="H7" i="108" s="1"/>
  <c r="D7" i="108"/>
  <c r="D36" i="108" s="1"/>
  <c r="C7" i="108"/>
  <c r="E7" i="108" s="1"/>
  <c r="C14" i="110" l="1"/>
  <c r="E14" i="110" s="1"/>
  <c r="H43" i="109"/>
  <c r="C43" i="109"/>
  <c r="E53" i="108"/>
  <c r="C36" i="108"/>
  <c r="E36" i="108" s="1"/>
  <c r="G53" i="108"/>
  <c r="G69" i="108" s="1"/>
  <c r="H69" i="108" s="1"/>
  <c r="H30" i="108"/>
  <c r="H53" i="108"/>
  <c r="H15" i="108"/>
  <c r="E43" i="109" l="1"/>
  <c r="C45" i="109"/>
  <c r="E45" i="109" s="1"/>
  <c r="F6" i="123"/>
  <c r="C6" i="123"/>
  <c r="B1" i="92"/>
  <c r="B2" i="92"/>
  <c r="E34" i="92"/>
  <c r="C13" i="95" s="1"/>
  <c r="Q33" i="92"/>
  <c r="I33" i="92"/>
  <c r="Q32" i="92"/>
  <c r="Q30" i="92" s="1"/>
  <c r="I32" i="92"/>
  <c r="Q31" i="92"/>
  <c r="I31" i="92"/>
  <c r="I30" i="92"/>
  <c r="Q29" i="92"/>
  <c r="I29" i="92"/>
  <c r="Q28" i="92"/>
  <c r="I28" i="92"/>
  <c r="Q27" i="92"/>
  <c r="I27" i="92"/>
  <c r="I26" i="92"/>
  <c r="Q25" i="92"/>
  <c r="I25" i="92"/>
  <c r="Q24" i="92"/>
  <c r="I24" i="92"/>
  <c r="Q23" i="92"/>
  <c r="Q22" i="92" s="1"/>
  <c r="I23" i="92"/>
  <c r="I22" i="92"/>
  <c r="Q21" i="92"/>
  <c r="I21" i="92"/>
  <c r="Q20" i="92"/>
  <c r="Q18" i="92" s="1"/>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I9" i="92" s="1"/>
  <c r="F9" i="92"/>
  <c r="C9" i="92"/>
  <c r="P8" i="92"/>
  <c r="O8" i="92"/>
  <c r="N8" i="92"/>
  <c r="M8" i="92"/>
  <c r="L8" i="92"/>
  <c r="K8" i="92"/>
  <c r="J8" i="92"/>
  <c r="G8" i="92"/>
  <c r="F8" i="92"/>
  <c r="C8" i="92"/>
  <c r="P7" i="92"/>
  <c r="O7" i="92"/>
  <c r="O34" i="92" s="1"/>
  <c r="N7" i="92"/>
  <c r="M7" i="92"/>
  <c r="M6" i="92" s="1"/>
  <c r="M34" i="92" s="1"/>
  <c r="L7" i="92"/>
  <c r="K7" i="92"/>
  <c r="J7" i="92"/>
  <c r="G7" i="92"/>
  <c r="F7" i="92"/>
  <c r="C7" i="92"/>
  <c r="C6" i="92" s="1"/>
  <c r="C34" i="92" s="1"/>
  <c r="D34" i="92"/>
  <c r="B2" i="123"/>
  <c r="B1" i="123"/>
  <c r="Q9" i="92" l="1"/>
  <c r="I7" i="92"/>
  <c r="Q26" i="92"/>
  <c r="K34" i="92"/>
  <c r="L34" i="92"/>
  <c r="J34" i="92"/>
  <c r="G6" i="92"/>
  <c r="G34" i="92" s="1"/>
  <c r="C11" i="95" s="1"/>
  <c r="Q14" i="92"/>
  <c r="Q10" i="92"/>
  <c r="N34" i="92"/>
  <c r="F6" i="92"/>
  <c r="F34" i="92" s="1"/>
  <c r="P34" i="92"/>
  <c r="Q8" i="92"/>
  <c r="I8" i="92"/>
  <c r="I6" i="92" s="1"/>
  <c r="Q7" i="92"/>
  <c r="I34" i="92" l="1"/>
  <c r="C12" i="95" s="1"/>
  <c r="C14" i="95" s="1"/>
  <c r="C10" i="95"/>
  <c r="Q6" i="92"/>
  <c r="Q34" i="92" s="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10" i="112"/>
  <c r="H11" i="112"/>
  <c r="H12" i="112"/>
  <c r="H13" i="112"/>
  <c r="H14" i="112"/>
  <c r="H15" i="112"/>
  <c r="H16" i="112"/>
  <c r="H17" i="112"/>
  <c r="H18" i="112"/>
  <c r="H19" i="112"/>
  <c r="H20" i="112"/>
  <c r="H22" i="112"/>
  <c r="H23" i="112"/>
  <c r="H8" i="111"/>
  <c r="H9" i="111"/>
  <c r="H10" i="111"/>
  <c r="H11" i="111"/>
  <c r="H12" i="111"/>
  <c r="H13" i="111"/>
  <c r="H14" i="111"/>
  <c r="H15" i="111"/>
  <c r="H16" i="111"/>
  <c r="H17" i="111"/>
  <c r="H18" i="111"/>
  <c r="H19" i="111"/>
  <c r="H20" i="111"/>
  <c r="H21" i="111"/>
  <c r="D22" i="111"/>
  <c r="E22" i="111"/>
  <c r="F22" i="111"/>
  <c r="G22" i="111"/>
  <c r="H21" i="112" l="1"/>
  <c r="H22" i="111"/>
  <c r="E37" i="88"/>
  <c r="D37" i="88"/>
  <c r="C37" i="88"/>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32" i="95" l="1"/>
  <c r="D6" i="86"/>
  <c r="D13" i="86"/>
  <c r="B19" i="121" l="1"/>
  <c r="C34" i="95"/>
  <c r="C6" i="86"/>
  <c r="C13" i="86" s="1"/>
  <c r="B18" i="121" l="1"/>
  <c r="D21" i="94"/>
  <c r="D7" i="94"/>
  <c r="D19" i="94"/>
  <c r="D9" i="94"/>
  <c r="D11" i="94"/>
  <c r="D15" i="94"/>
  <c r="D20" i="94"/>
  <c r="D8" i="94"/>
  <c r="D13" i="94"/>
  <c r="D16" i="94"/>
  <c r="D17" i="94"/>
  <c r="D12"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6" i="91"/>
  <c r="H15"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<sst xmlns="http://schemas.openxmlformats.org/spreadsheetml/2006/main" count="1262" uniqueCount="794">
  <si>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</si>
  <si>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</si>
  <si>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</si>
  <si>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</si>
  <si>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</si>
  <si>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</si>
  <si>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</si>
  <si>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</si>
  <si>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</si>
  <si>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</si>
  <si>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</si>
  <si>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</si>
  <si>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</si>
  <si>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</si>
  <si>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</si>
  <si>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</si>
  <si>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</si>
  <si>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</si>
  <si>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</si>
  <si>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</si>
  <si>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</si>
  <si>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</si>
  <si>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</si>
  <si>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</si>
  <si>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</si>
  <si>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</si>
  <si>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</si>
  <si>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</si>
  <si>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</si>
  <si>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</si>
  <si>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</si>
  <si>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</si>
  <si>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</si>
  <si>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</si>
  <si>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</si>
  <si>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</si>
  <si>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</si>
  <si>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</si>
  <si>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</si>
  <si>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</si>
  <si>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</si>
  <si>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</si>
  <si>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</si>
  <si>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</si>
  <si>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</si>
  <si>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</si>
  <si>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</si>
  <si>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</si>
  <si>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</si>
  <si>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</si>
  <si>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</si>
  <si>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</si>
  <si>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</si>
  <si>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</si>
  <si>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</si>
  <si>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</si>
  <si>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</si>
  <si>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</si>
  <si>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</si>
  <si>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</si>
  <si>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</si>
  <si>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</si>
  <si>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</si>
  <si>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</si>
  <si>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</si>
  <si>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</si>
  <si>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</si>
  <si>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</si>
  <si>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</si>
  <si>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</si>
  <si>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</si>
  <si>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</si>
  <si>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</si>
  <si>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</si>
  <si>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</si>
  <si>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</si>
  <si>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</si>
  <si>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</si>
  <si>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</si>
  <si>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</si>
  <si>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</si>
  <si>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</si>
  <si>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</si>
  <si>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</si>
  <si>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</si>
  <si>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</si>
  <si>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</si>
  <si>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</si>
  <si>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</si>
  <si>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</si>
  <si>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</si>
  <si>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</si>
  <si>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</si>
  <si>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</si>
  <si>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</si>
  <si>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</si>
  <si>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</si>
  <si>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</si>
  <si>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</si>
  <si>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</si>
  <si>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</si>
  <si>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</si>
  <si>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</si>
  <si>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</si>
  <si>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</si>
  <si>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</si>
  <si>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</si>
  <si>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</si>
  <si>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</si>
  <si>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</si>
  <si>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</si>
  <si>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</si>
  <si>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</si>
  <si>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</si>
  <si>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</si>
  <si>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</si>
  <si>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</si>
  <si>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</si>
  <si>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</si>
  <si>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</si>
  <si>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</si>
  <si>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</si>
  <si>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</si>
  <si>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</si>
  <si>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</si>
  <si>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</si>
  <si>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</si>
  <si>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</si>
  <si>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</si>
  <si>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</si>
  <si>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</si>
  <si>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</si>
  <si>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</si>
  <si>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</si>
  <si>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</si>
  <si>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</si>
  <si>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</si>
  <si>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</si>
  <si>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</si>
  <si>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</si>
  <si>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</si>
  <si>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</si>
  <si>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</si>
  <si>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</si>
  <si>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</si>
  <si>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</si>
  <si>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</si>
  <si>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</si>
  <si>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</si>
  <si>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</si>
  <si>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</si>
  <si>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</si>
  <si>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</si>
  <si>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</si>
  <si>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</si>
  <si>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</si>
  <si>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</si>
  <si>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</si>
  <si>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</si>
  <si>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</si>
  <si>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</si>
  <si>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</si>
  <si>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</si>
  <si>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</si>
  <si>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</si>
  <si>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</si>
  <si>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</si>
  <si>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</si>
  <si>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</si>
  <si>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</si>
  <si>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</si>
  <si>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</si>
  <si>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</si>
  <si>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</si>
  <si>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</si>
  <si>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</si>
  <si>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</si>
  <si>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</si>
  <si>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</si>
  <si>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</si>
  <si>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</si>
  <si>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</si>
  <si>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</si>
  <si>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</si>
  <si>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</si>
  <si>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</si>
  <si>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</si>
  <si>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</si>
  <si>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</si>
  <si>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</si>
  <si>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</si>
  <si>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</si>
  <si>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</si>
  <si>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</si>
  <si>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</si>
  <si>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</si>
  <si>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</si>
  <si>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</si>
  <si>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</si>
  <si>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</si>
  <si>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</si>
  <si>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</si>
  <si>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</si>
  <si>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</si>
  <si>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</si>
  <si>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</si>
  <si>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</si>
  <si>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</si>
  <si>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</si>
  <si>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</si>
  <si>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</si>
  <si>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</si>
  <si>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</si>
  <si>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</si>
  <si>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</si>
  <si>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</si>
  <si>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</si>
  <si>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</si>
  <si>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</si>
  <si>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</si>
  <si>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</si>
  <si>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</si>
  <si>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</si>
  <si>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</si>
  <si>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</si>
  <si>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</si>
  <si>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</si>
  <si>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</si>
  <si>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</si>
  <si>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</si>
  <si>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</si>
  <si>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</si>
  <si>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</si>
  <si>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</si>
  <si>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</si>
  <si>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</si>
  <si>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</si>
  <si>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</si>
  <si>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</si>
  <si>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</si>
  <si>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</si>
  <si>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</si>
  <si>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</si>
  <si>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</si>
  <si>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</si>
  <si>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</si>
  <si>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</si>
  <si>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</si>
  <si>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</si>
  <si>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</si>
  <si>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</si>
  <si>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</si>
  <si>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</si>
  <si>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</si>
  <si>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</si>
  <si>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</si>
  <si>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</si>
  <si>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</si>
  <si>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</si>
  <si>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</si>
  <si>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</si>
  <si>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</si>
  <si>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</si>
  <si>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</si>
  <si>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</si>
  <si>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</si>
  <si>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</si>
  <si>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</si>
  <si>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</si>
  <si>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</si>
  <si>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</si>
  <si>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</si>
  <si>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</si>
  <si>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</si>
  <si>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</si>
  <si>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</si>
  <si>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</si>
  <si>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</si>
  <si>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</si>
  <si>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</si>
  <si>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</si>
  <si>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</si>
  <si>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</si>
  <si>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</si>
  <si>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</si>
  <si>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</si>
  <si>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</si>
  <si>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</si>
  <si>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</si>
  <si>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</si>
  <si>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</si>
  <si>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</si>
  <si>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</si>
  <si>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</si>
  <si>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</si>
  <si>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</si>
  <si>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</si>
  <si>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</si>
  <si>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</si>
  <si>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</si>
  <si>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</si>
  <si>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</si>
  <si>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</si>
  <si>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</si>
  <si>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</si>
  <si>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</si>
  <si>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</si>
  <si>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</si>
  <si>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</si>
  <si>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</si>
  <si>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</si>
  <si>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</si>
  <si>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</si>
  <si>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</si>
  <si>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</si>
  <si>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</si>
  <si>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</si>
  <si>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</si>
  <si>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</si>
  <si>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</si>
  <si>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</si>
  <si>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</si>
  <si>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</si>
  <si>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</si>
  <si>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</si>
  <si>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</si>
  <si>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</si>
  <si>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</si>
  <si>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</si>
  <si>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</si>
  <si>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</si>
  <si>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</si>
  <si>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</si>
  <si>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</si>
  <si>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</si>
  <si>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</si>
  <si>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</si>
  <si>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</si>
  <si>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</si>
  <si>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</si>
  <si>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</si>
  <si>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</si>
  <si>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</si>
  <si>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</si>
  <si>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</si>
  <si>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</si>
  <si>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</si>
  <si>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</si>
  <si>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</si>
  <si>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</si>
  <si>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</si>
  <si>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</si>
  <si>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</si>
  <si>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</si>
  <si>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</si>
  <si>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</si>
  <si>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</si>
  <si>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</si>
  <si>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</si>
  <si>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</si>
  <si>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</si>
  <si>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</si>
  <si>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</si>
  <si>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</si>
  <si>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</si>
  <si>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</si>
  <si>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</si>
  <si>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</si>
  <si>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</si>
  <si>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</si>
  <si>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</si>
  <si>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</si>
  <si>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</si>
  <si>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</si>
  <si>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</si>
  <si>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</si>
  <si>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</si>
  <si>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</si>
  <si>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</si>
  <si>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</si>
  <si>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</si>
  <si>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</si>
  <si>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</si>
  <si>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</si>
  <si>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</si>
  <si>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</si>
  <si>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</si>
  <si>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</si>
  <si>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</si>
  <si>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</si>
  <si>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</si>
  <si>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</si>
  <si>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</si>
  <si>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</si>
  <si>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</si>
  <si>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</si>
  <si>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</si>
  <si>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</si>
  <si>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</si>
  <si>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</si>
  <si>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</si>
  <si>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</si>
  <si>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</si>
  <si>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</si>
  <si>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</si>
  <si>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</si>
  <si>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</si>
  <si>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</si>
  <si>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</si>
  <si>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</si>
  <si>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</si>
  <si>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</si>
  <si>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</si>
  <si>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</si>
  <si>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</si>
  <si>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</si>
  <si>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</si>
  <si>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</si>
  <si>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</si>
  <si>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</si>
  <si>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</si>
  <si>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</si>
  <si>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</si>
  <si>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</si>
  <si>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</si>
  <si>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</si>
  <si>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</si>
  <si>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</si>
  <si>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</si>
  <si>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</si>
  <si>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</si>
  <si>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</si>
  <si>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</si>
  <si>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</si>
  <si>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</si>
  <si>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</si>
  <si>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</si>
  <si>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</si>
  <si>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</si>
  <si>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</si>
  <si>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</si>
  <si>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</si>
  <si>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</si>
  <si>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</si>
  <si>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</si>
  <si>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</si>
  <si>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</si>
  <si>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</si>
  <si>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</si>
  <si>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</si>
  <si>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</si>
  <si>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</si>
  <si>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</si>
  <si>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</si>
  <si>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</si>
  <si>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</si>
  <si>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</si>
  <si>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</si>
  <si>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</si>
  <si>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</si>
  <si>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</si>
  <si>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</si>
  <si>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</si>
  <si>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</si>
  <si>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</si>
  <si>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</si>
  <si>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</si>
  <si>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</si>
  <si>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</si>
  <si>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</si>
  <si>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</si>
  <si>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</si>
  <si>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</si>
  <si>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</si>
  <si>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</si>
  <si>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</si>
  <si>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</si>
  <si>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</si>
  <si>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</si>
  <si>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</si>
  <si>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</si>
  <si>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</si>
  <si>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</si>
  <si>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</si>
  <si>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</si>
  <si>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</si>
  <si>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</si>
  <si>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</si>
  <si>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</si>
  <si>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</si>
  <si>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</si>
  <si>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</si>
  <si>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</si>
  <si>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</si>
  <si>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</si>
  <si>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</si>
  <si>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</si>
  <si>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</si>
  <si>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</si>
  <si>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</si>
  <si>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</si>
  <si>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</si>
  <si>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</si>
  <si>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</si>
  <si>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</si>
  <si>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</si>
  <si>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</si>
  <si>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</si>
  <si>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</si>
  <si>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</si>
  <si>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</si>
  <si>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</si>
  <si>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</si>
  <si>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</si>
  <si>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</si>
  <si>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</si>
  <si>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</si>
  <si>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</si>
  <si>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</si>
  <si>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</si>
  <si>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</si>
  <si>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</si>
  <si>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</si>
  <si>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</si>
  <si>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</si>
  <si>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</si>
  <si>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</si>
  <si>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</si>
  <si>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</si>
  <si>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</si>
  <si>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</si>
  <si>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</si>
  <si>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</si>
  <si>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</si>
  <si>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</si>
  <si>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</si>
  <si>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</si>
  <si>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</si>
  <si>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</si>
  <si>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</si>
  <si>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</si>
  <si>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</si>
  <si>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</si>
  <si>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</si>
  <si>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</si>
  <si>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</si>
  <si>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</si>
  <si>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</si>
  <si>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</si>
  <si>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</si>
  <si>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</si>
  <si>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</si>
  <si>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</si>
  <si>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</si>
  <si>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</si>
  <si>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</si>
  <si>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</si>
  <si>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</si>
  <si>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</si>
  <si>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</si>
  <si>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</si>
  <si>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</si>
  <si>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</si>
  <si>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</si>
  <si>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</si>
  <si>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</si>
  <si>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</si>
  <si>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</si>
  <si>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</si>
  <si>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</si>
  <si>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</si>
  <si>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</si>
  <si>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</si>
  <si>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</si>
  <si>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</si>
  <si>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</si>
  <si>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</si>
  <si>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</si>
  <si>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</si>
  <si>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</si>
  <si>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</si>
  <si>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</si>
  <si>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</si>
  <si>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</si>
  <si>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</si>
  <si>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</si>
  <si>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</si>
  <si>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</si>
  <si>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</si>
  <si>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</si>
  <si>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</si>
  <si>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</si>
  <si>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</si>
  <si>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</si>
  <si>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</si>
  <si>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</si>
  <si>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</si>
  <si>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</si>
  <si>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</si>
  <si>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</si>
  <si>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</si>
  <si>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</si>
  <si>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</si>
  <si>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</si>
  <si>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</si>
  <si>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</si>
  <si>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</si>
  <si>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</si>
  <si>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</si>
  <si>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</si>
  <si>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</si>
  <si>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</si>
  <si>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</si>
  <si>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</si>
  <si>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</si>
  <si>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</si>
  <si>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</si>
  <si>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</si>
  <si>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</si>
  <si>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</si>
  <si>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</si>
  <si>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</si>
  <si>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</si>
  <si>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</si>
  <si>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</si>
  <si>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</si>
  <si>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</si>
  <si>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</si>
  <si>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</si>
  <si>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</si>
  <si>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</si>
  <si>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</si>
  <si>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</si>
  <si>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</si>
  <si>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</si>
  <si>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</si>
  <si>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</si>
  <si>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</si>
  <si>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</si>
  <si>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</si>
  <si>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</si>
  <si>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</si>
  <si>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</si>
  <si>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</si>
  <si>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</si>
  <si>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</si>
  <si>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</si>
  <si>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</si>
  <si>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</si>
  <si>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</si>
  <si>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</si>
  <si>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</si>
  <si>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</si>
  <si>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</si>
  <si>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</si>
  <si>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</si>
  <si>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</si>
  <si>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</si>
  <si>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</si>
  <si>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</si>
  <si>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</si>
  <si>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</si>
  <si>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</si>
  <si>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</si>
  <si>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</si>
  <si>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</si>
  <si>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</si>
  <si>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</si>
  <si>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</si>
  <si>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</si>
  <si>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</si>
  <si>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</si>
  <si>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</si>
  <si>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</si>
  <si>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</si>
  <si>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</si>
  <si>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</si>
  <si>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</si>
  <si>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</si>
  <si>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</si>
  <si>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</si>
  <si>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</si>
  <si>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</si>
  <si>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</si>
  <si>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</si>
  <si>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</si>
  <si>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</si>
  <si>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</si>
  <si>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</si>
  <si>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</si>
  <si>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</si>
  <si>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</si>
  <si>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</si>
  <si>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</si>
  <si>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</si>
  <si>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</si>
  <si>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</si>
  <si>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</si>
  <si>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</si>
  <si>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</si>
  <si>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</si>
  <si>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</si>
  <si>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</si>
  <si>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</si>
  <si>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</si>
  <si>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</si>
  <si>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</si>
  <si>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</si>
  <si>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</si>
  <si>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</si>
  <si>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</si>
  <si>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</si>
  <si>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</si>
  <si>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</si>
  <si>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</si>
  <si>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</si>
  <si>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</si>
  <si>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</si>
  <si>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</si>
  <si>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</si>
  <si>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</si>
  <si>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</si>
  <si>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</si>
  <si>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</si>
  <si>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</si>
  <si>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</si>
  <si>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</si>
  <si>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</si>
  <si>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</si>
  <si>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</si>
  <si>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</si>
  <si>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</si>
  <si>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</si>
  <si>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</si>
  <si>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</si>
  <si>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</si>
  <si>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</si>
  <si>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</si>
  <si>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</si>
  <si>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</si>
  <si>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</si>
  <si>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</si>
  <si>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</si>
  <si>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</si>
  <si>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</si>
  <si>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</si>
  <si>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</si>
  <si>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</si>
  <si>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</si>
  <si>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</si>
  <si>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</si>
  <si>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</si>
  <si>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</si>
  <si>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</si>
  <si>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"CREDOBANK"</t>
  </si>
  <si>
    <t>Thomas Engelhardt</t>
  </si>
  <si>
    <t>Zaal Pirtskhelava</t>
  </si>
  <si>
    <t>www.credo.ge</t>
  </si>
  <si>
    <t>Thomas Engelhardt (Germany)</t>
  </si>
  <si>
    <t>Margarita Cherikbaeva (Kyrgyzstan)</t>
  </si>
  <si>
    <t>Johannes Mainhardt (Germany)</t>
  </si>
  <si>
    <t>Andrew Pospielovsky (Great Britain)</t>
  </si>
  <si>
    <t>Almira Zejnilagic (Great Britain)</t>
  </si>
  <si>
    <t>Non-independent chair</t>
  </si>
  <si>
    <t>Independent member</t>
  </si>
  <si>
    <t>Non-independent member</t>
  </si>
  <si>
    <t>Chief Executive Officer</t>
  </si>
  <si>
    <t>Erekle Zatiashvili</t>
  </si>
  <si>
    <t>CFO</t>
  </si>
  <si>
    <t>Zaza Tkeshelashvili</t>
  </si>
  <si>
    <t>Chief Credit Officer</t>
  </si>
  <si>
    <t>Nikoloz Kutateladze</t>
  </si>
  <si>
    <t>Chief Commercial Officer</t>
  </si>
  <si>
    <t>Alexander Kumsiashvili</t>
  </si>
  <si>
    <t>CIO</t>
  </si>
  <si>
    <t>George Nadareishvili</t>
  </si>
  <si>
    <t>CRO</t>
  </si>
  <si>
    <t xml:space="preserve">Access Credo GmbH (Germany) </t>
  </si>
  <si>
    <t>Gojo &amp; C0mpant Inc.</t>
  </si>
  <si>
    <t>Societe de Promotion et de Participation pour la Cooperation Economique (Proparco)</t>
  </si>
  <si>
    <t>British International Investment PLC (UK)</t>
  </si>
  <si>
    <t xml:space="preserve">European Investment Bank (Luxembourg) </t>
  </si>
  <si>
    <t xml:space="preserve">International Finance Corporation (USA) </t>
  </si>
  <si>
    <t xml:space="preserve">Kreditanstalt für Wiederaufbau (Germany) </t>
  </si>
  <si>
    <t xml:space="preserve">LFS Advisory GmbH (Germany) </t>
  </si>
  <si>
    <t>Omidyar Tufts Active Citizenship Trust (USA)</t>
  </si>
  <si>
    <t>Agence Francaise de developpement</t>
  </si>
  <si>
    <t xml:space="preserve"> Sheet 9 (Capital), C10 </t>
  </si>
  <si>
    <t xml:space="preserve"> Sheet 9 (Capital), C28 და C38</t>
  </si>
  <si>
    <t xml:space="preserve"> Sheet 9 (Capital), C2</t>
  </si>
  <si>
    <t xml:space="preserve"> Sheet 9 (Capital), C3</t>
  </si>
  <si>
    <t xml:space="preserve"> Sheet 9 (Capital), C6</t>
  </si>
  <si>
    <t>Satyagraha Inc.</t>
  </si>
  <si>
    <t>Dr. Bernd Zattler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</si>
</sst>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7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sz val="10"/>
      <name val="Geo_Arial"/>
      <family val="2"/>
    </font>
    <font>
      <sz val="10"/>
      <color rgb="FF333333"/>
      <name val="Sylfaen"/>
      <family val="1"/>
    </font>
    <font>
      <sz val="10"/>
      <name val="Geo_Arial"/>
      <family val="2"/>
    </font>
    <font>
      <sz val="10"/>
      <color rgb="FFFF0000"/>
      <name val="Arial"/>
      <family val="2"/>
    </font>
    <font>
      <b/>
      <i/>
      <sz val="10"/>
      <color theme="1"/>
      <name val="Sylfaen"/>
      <family val="1"/>
    </font>
    <font>
      <sz val="11"/>
      <color theme="1"/>
      <name val="Sylfaen"/>
      <family val="1"/>
    </font>
    <font>
      <b/>
      <sz val="11"/>
      <color theme="1"/>
      <name val="Sylfaen"/>
      <family val="1"/>
    </font>
    <font>
      <b/>
      <sz val="11"/>
      <name val="Sylfaen"/>
      <family val="1"/>
    </font>
    <font>
      <sz val="11"/>
      <name val="Sylfaen"/>
      <family val="1"/>
    </font>
    <font>
      <b/>
      <sz val="9"/>
      <name val="Calibri"/>
      <family val="2"/>
      <scheme val="minor"/>
    </font>
    <font>
      <sz val="9"/>
      <color rgb="FFFF0000"/>
      <name val="Calibri"/>
      <family val="1"/>
      <scheme val="minor"/>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20" fillId="0" borderId="0"/>
    <xf numFmtId="0" fontId="147"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4"/>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6">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6"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31">
      <alignment vertical="center"/>
    </xf>
    <xf numFmtId="0" fontId="2" fillId="0" borderId="66" applyFill="0" applyProtection="0">
      <alignment horizontal="centerContinuous"/>
    </xf>
    <xf numFmtId="0" fontId="2" fillId="0" borderId="66" applyFill="0" applyProtection="0">
      <alignment horizontal="centerContinuous"/>
    </xf>
    <xf numFmtId="3" fontId="209" fillId="0" borderId="131">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9"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31">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6">
      <alignment horizontal="centerContinuous"/>
    </xf>
    <xf numFmtId="0" fontId="165" fillId="0" borderId="59"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2">
      <protection locked="0"/>
    </xf>
    <xf numFmtId="0" fontId="271" fillId="0" borderId="72">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71" fillId="0" borderId="72">
      <protection locked="0"/>
    </xf>
    <xf numFmtId="0" fontId="271" fillId="0" borderId="72">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2"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59"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cellStyleXfs>
  <cellXfs count="847">
    <xf numFmtId="0" fontId="0" fillId="0" borderId="0" xfId="0"/>
    <xf numFmtId="0" fontId="6" fillId="0" borderId="188" xfId="15" applyBorder="1" applyAlignment="1" applyProtection="1"/>
    <xf numFmtId="0" fontId="362" fillId="0" borderId="184" xfId="0" applyFont="1" applyBorder="1" applyAlignment="1">
      <alignment wrapText="1"/>
    </xf>
    <xf numFmtId="0" fontId="85" fillId="0" borderId="188" xfId="0" applyFont="1" applyBorder="1"/>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2" fillId="0" borderId="19" xfId="0" applyFont="1" applyBorder="1" applyAlignment="1">
      <alignment wrapText="1"/>
    </xf>
    <xf numFmtId="0" fontId="46" fillId="0" borderId="0" xfId="10" applyFont="1" applyAlignment="1">
      <alignment horizontal="right"/>
    </xf>
    <xf numFmtId="0" fontId="45" fillId="0" borderId="15" xfId="10" applyFont="1" applyBorder="1" applyAlignment="1">
      <alignment horizontal="center" vertical="center"/>
    </xf>
    <xf numFmtId="0" fontId="45" fillId="0" borderId="16" xfId="10" applyFont="1" applyBorder="1" applyAlignment="1">
      <alignment horizontal="center" vertical="center"/>
    </xf>
    <xf numFmtId="0" fontId="2" fillId="0" borderId="0" xfId="10"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6" xfId="6" applyNumberFormat="1" applyFont="1" applyFill="1" applyBorder="1" applyAlignment="1" applyProtection="1">
      <alignment horizontal="center" vertical="center"/>
      <protection locked="0"/>
    </xf>
    <xf numFmtId="0" fontId="2" fillId="0" borderId="17"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8"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7"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1" xfId="0" applyFont="1" applyFill="1" applyBorder="1" applyAlignment="1" applyProtection="1">
      <alignment vertical="center" wrapText="1"/>
      <protection locked="0"/>
    </xf>
    <xf numFmtId="191" fontId="2" fillId="35" borderId="22"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1" fillId="0" borderId="0" xfId="0" applyNumberFormat="1" applyFont="1" applyAlignment="1">
      <alignment horizontal="center"/>
    </xf>
    <xf numFmtId="167" fontId="89" fillId="0" borderId="0" xfId="0" applyNumberFormat="1" applyFont="1" applyAlignment="1">
      <alignment horizontal="center"/>
    </xf>
    <xf numFmtId="0" fontId="84" fillId="0" borderId="17" xfId="0" applyFont="1" applyBorder="1" applyAlignment="1">
      <alignment vertical="center"/>
    </xf>
    <xf numFmtId="191" fontId="84" fillId="0" borderId="3" xfId="0" applyNumberFormat="1" applyFont="1" applyBorder="1"/>
    <xf numFmtId="0" fontId="2" fillId="3" borderId="20" xfId="8" applyFont="1" applyFill="1" applyBorder="1" applyAlignment="1" applyProtection="1">
      <alignment horizontal="left" vertical="center"/>
      <protection locked="0"/>
    </xf>
    <xf numFmtId="0" fontId="45" fillId="3" borderId="21" xfId="14" applyFont="1" applyFill="1" applyBorder="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4" applyFill="1" applyBorder="1" applyAlignment="1" applyProtection="1">
      <alignment horizontal="right" vertical="center"/>
      <protection locked="0"/>
    </xf>
    <xf numFmtId="191" fontId="84" fillId="0" borderId="17" xfId="0" applyNumberFormat="1" applyFont="1" applyBorder="1"/>
    <xf numFmtId="191" fontId="84" fillId="0" borderId="18" xfId="0" applyNumberFormat="1" applyFont="1" applyBorder="1"/>
    <xf numFmtId="191" fontId="84" fillId="35" borderId="50" xfId="0" applyNumberFormat="1" applyFont="1" applyFill="1" applyBorder="1"/>
    <xf numFmtId="0" fontId="45" fillId="3" borderId="22" xfId="14"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0" applyFont="1" applyBorder="1" applyAlignment="1" applyProtection="1">
      <alignment horizontal="center" vertical="center" wrapText="1"/>
      <protection locked="0"/>
    </xf>
    <xf numFmtId="0" fontId="45" fillId="0" borderId="24" xfId="0" applyFont="1" applyBorder="1" applyAlignment="1">
      <alignment vertical="center" wrapText="1"/>
    </xf>
    <xf numFmtId="0" fontId="90"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2"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0" applyBorder="1" applyAlignment="1">
      <alignment vertical="center"/>
    </xf>
    <xf numFmtId="0" fontId="2" fillId="0" borderId="15" xfId="10" applyBorder="1" applyAlignment="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3" fillId="0" borderId="0" xfId="10" applyFont="1"/>
    <xf numFmtId="0" fontId="94"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59" xfId="0" applyFont="1" applyBorder="1"/>
    <xf numFmtId="191"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1" xfId="0" applyNumberFormat="1" applyFont="1" applyFill="1" applyBorder="1"/>
    <xf numFmtId="9" fontId="3" fillId="0" borderId="18" xfId="20948" applyFont="1" applyBorder="1"/>
    <xf numFmtId="9" fontId="3" fillId="35" borderId="22" xfId="20948"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1" xfId="0" applyNumberFormat="1" applyFont="1" applyFill="1" applyBorder="1"/>
    <xf numFmtId="0" fontId="84" fillId="0" borderId="64"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5" fillId="0" borderId="0" xfId="0" applyFont="1" applyAlignment="1">
      <alignment wrapText="1"/>
    </xf>
    <xf numFmtId="0" fontId="2" fillId="0" borderId="0" xfId="0" applyFont="1" applyAlignment="1">
      <alignment wrapText="1"/>
    </xf>
    <xf numFmtId="0" fontId="98" fillId="3" borderId="74" xfId="0" applyFont="1" applyFill="1" applyBorder="1" applyAlignment="1">
      <alignment horizontal="left"/>
    </xf>
    <xf numFmtId="0" fontId="98"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81" xfId="0" applyFont="1" applyBorder="1" applyAlignment="1">
      <alignment vertical="center"/>
    </xf>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3" xfId="18" applyBorder="1"/>
    <xf numFmtId="0" fontId="3" fillId="0" borderId="82" xfId="0" applyFont="1" applyBorder="1" applyAlignment="1">
      <alignment horizontal="center" vertical="center"/>
    </xf>
    <xf numFmtId="0" fontId="3" fillId="0" borderId="83" xfId="0" applyFont="1" applyBorder="1" applyAlignment="1">
      <alignment vertical="center"/>
    </xf>
    <xf numFmtId="169" fontId="9" fillId="36" borderId="23" xfId="18" applyBorder="1"/>
    <xf numFmtId="169" fontId="9" fillId="36" borderId="84" xfId="18" applyBorder="1"/>
    <xf numFmtId="169" fontId="9" fillId="36" borderId="24" xfId="18"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9" xfId="18" applyBorder="1"/>
    <xf numFmtId="0" fontId="4" fillId="0" borderId="0" xfId="0" applyFont="1" applyAlignment="1">
      <alignment horizontal="center"/>
    </xf>
    <xf numFmtId="0" fontId="86" fillId="0" borderId="76" xfId="0" applyFont="1" applyBorder="1" applyAlignment="1">
      <alignment horizontal="center" vertical="center" wrapText="1"/>
    </xf>
    <xf numFmtId="0" fontId="86" fillId="0" borderId="77"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7" xfId="0" applyFont="1" applyBorder="1" applyAlignment="1">
      <alignment horizontal="right" vertical="center" wrapText="1"/>
    </xf>
    <xf numFmtId="0" fontId="99"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20" xfId="4" applyNumberFormat="1" applyFont="1" applyBorder="1" applyAlignment="1" applyProtection="1">
      <alignment horizontal="left" vertical="center"/>
      <protection locked="0"/>
    </xf>
    <xf numFmtId="0" fontId="101" fillId="0" borderId="21" xfId="8"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7" quotePrefix="1" applyNumberFormat="1" applyFont="1" applyFill="1" applyBorder="1" applyAlignment="1" applyProtection="1">
      <alignment horizontal="left"/>
      <protection locked="0"/>
    </xf>
    <xf numFmtId="3" fontId="102" fillId="35" borderId="77"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6" xfId="15" applyFill="1" applyBorder="1" applyAlignment="1" applyProtection="1"/>
    <xf numFmtId="49" fontId="84" fillId="0" borderId="76"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9" fillId="0" borderId="92" xfId="0" applyFont="1" applyBorder="1" applyAlignment="1">
      <alignment horizontal="left" vertical="center" wrapText="1"/>
    </xf>
    <xf numFmtId="10" fontId="95" fillId="0" borderId="92" xfId="20948" applyNumberFormat="1" applyFont="1" applyFill="1" applyBorder="1" applyAlignment="1">
      <alignment horizontal="left" vertical="center" wrapText="1"/>
    </xf>
    <xf numFmtId="10" fontId="3" fillId="0"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48" applyNumberFormat="1" applyFont="1" applyFill="1" applyBorder="1" applyAlignment="1">
      <alignment horizontal="left" vertical="center" wrapText="1"/>
    </xf>
    <xf numFmtId="10" fontId="4" fillId="35"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48"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Border="1" applyAlignment="1">
      <alignment horizontal="left" vertical="center" wrapText="1"/>
    </xf>
    <xf numFmtId="0" fontId="4" fillId="35" borderId="78" xfId="0" applyFont="1" applyFill="1" applyBorder="1" applyAlignment="1">
      <alignment vertical="center" wrapText="1"/>
    </xf>
    <xf numFmtId="0" fontId="4" fillId="35" borderId="91"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5" applyFill="1" applyBorder="1" applyAlignment="1" applyProtection="1">
      <alignment horizontal="left" vertical="center"/>
    </xf>
    <xf numFmtId="0" fontId="6" fillId="0" borderId="92" xfId="15" applyBorder="1" applyAlignment="1" applyProtection="1"/>
    <xf numFmtId="0" fontId="6" fillId="0" borderId="92" xfId="15" applyFill="1" applyBorder="1" applyAlignment="1" applyProtection="1">
      <alignment horizontal="left" vertical="center" wrapText="1"/>
    </xf>
    <xf numFmtId="0" fontId="6" fillId="0" borderId="92" xfId="15"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0" borderId="93"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0" xfId="0" applyNumberFormat="1" applyFont="1" applyFill="1" applyBorder="1" applyAlignment="1">
      <alignment vertical="center" wrapText="1"/>
    </xf>
    <xf numFmtId="3" fontId="102" fillId="0" borderId="80" xfId="0" applyNumberFormat="1" applyFont="1" applyBorder="1" applyAlignment="1">
      <alignment vertical="center" wrapText="1"/>
    </xf>
    <xf numFmtId="3" fontId="102"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9" xfId="18"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1" xfId="0" applyFont="1" applyFill="1" applyBorder="1" applyAlignment="1">
      <alignment horizontal="center" wrapText="1"/>
    </xf>
    <xf numFmtId="0" fontId="3" fillId="0" borderId="92"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0" fontId="108" fillId="3" borderId="59" xfId="0" applyFont="1" applyFill="1" applyBorder="1" applyAlignment="1">
      <alignment horizontal="left"/>
    </xf>
    <xf numFmtId="0" fontId="108"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89" xfId="6" applyNumberFormat="1" applyFont="1" applyFill="1" applyBorder="1"/>
    <xf numFmtId="0" fontId="98" fillId="0" borderId="92"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2" xfId="0" applyFont="1" applyFill="1" applyBorder="1" applyAlignment="1">
      <alignment horizontal="right" vertical="center"/>
    </xf>
    <xf numFmtId="0" fontId="2" fillId="0" borderId="90" xfId="0" applyFont="1" applyBorder="1" applyAlignment="1">
      <alignment vertical="center" wrapText="1"/>
    </xf>
    <xf numFmtId="191" fontId="2" fillId="2" borderId="90" xfId="0" applyNumberFormat="1" applyFont="1" applyFill="1" applyBorder="1" applyAlignment="1" applyProtection="1">
      <alignment vertical="center"/>
      <protection locked="0"/>
    </xf>
    <xf numFmtId="191" fontId="87" fillId="2" borderId="90" xfId="0" applyNumberFormat="1" applyFont="1" applyFill="1" applyBorder="1" applyAlignment="1" applyProtection="1">
      <alignment vertical="center"/>
      <protection locked="0"/>
    </xf>
    <xf numFmtId="191" fontId="87" fillId="2" borderId="85" xfId="0" applyNumberFormat="1" applyFont="1" applyFill="1" applyBorder="1" applyAlignment="1" applyProtection="1">
      <alignment vertical="center"/>
      <protection locked="0"/>
    </xf>
    <xf numFmtId="0" fontId="109" fillId="0" borderId="0" xfId="10" applyFont="1"/>
    <xf numFmtId="0" fontId="111" fillId="0" borderId="0" xfId="10" applyFont="1"/>
    <xf numFmtId="0" fontId="110" fillId="0" borderId="0" xfId="0" applyFont="1"/>
    <xf numFmtId="0" fontId="112" fillId="0" borderId="64" xfId="0" applyFont="1" applyBorder="1" applyAlignment="1">
      <alignment horizontal="left" vertical="center" wrapText="1"/>
    </xf>
    <xf numFmtId="0" fontId="6" fillId="0" borderId="107" xfId="15" applyBorder="1" applyAlignment="1" applyProtection="1"/>
    <xf numFmtId="0" fontId="110" fillId="0" borderId="0" xfId="0" applyFont="1" applyAlignment="1">
      <alignment horizontal="left" vertical="top" wrapText="1"/>
    </xf>
    <xf numFmtId="191" fontId="2" fillId="3" borderId="77" xfId="6" applyNumberFormat="1" applyFont="1" applyFill="1" applyBorder="1" applyAlignment="1" applyProtection="1">
      <alignment vertical="top" wrapText="1"/>
      <protection locked="0"/>
    </xf>
    <xf numFmtId="0" fontId="0" fillId="0" borderId="107" xfId="0" applyBorder="1" applyAlignment="1">
      <alignment horizontal="center"/>
    </xf>
    <xf numFmtId="0" fontId="121" fillId="3" borderId="107" xfId="20951" applyFont="1" applyFill="1" applyBorder="1" applyAlignment="1">
      <alignment horizontal="left" vertical="center" wrapText="1"/>
    </xf>
    <xf numFmtId="0" fontId="122" fillId="0" borderId="107" xfId="20951" applyFont="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1" applyFont="1" applyFill="1" applyBorder="1" applyAlignment="1">
      <alignment horizontal="left" vertical="center" wrapText="1" indent="1"/>
    </xf>
    <xf numFmtId="0" fontId="121" fillId="0" borderId="117" xfId="0" applyFont="1" applyBorder="1" applyAlignment="1">
      <alignment horizontal="left" vertical="center" wrapText="1"/>
    </xf>
    <xf numFmtId="0" fontId="123" fillId="0" borderId="117" xfId="0" applyFont="1" applyBorder="1" applyAlignment="1">
      <alignment horizontal="left" vertical="center" wrapText="1"/>
    </xf>
    <xf numFmtId="0" fontId="123" fillId="0" borderId="117" xfId="0" applyFont="1" applyBorder="1" applyAlignment="1">
      <alignment vertical="center" wrapText="1"/>
    </xf>
    <xf numFmtId="0" fontId="124" fillId="0" borderId="117" xfId="0" applyFont="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1" applyFont="1" applyBorder="1" applyAlignment="1">
      <alignment horizontal="left" vertical="center" wrapText="1" indent="1"/>
    </xf>
    <xf numFmtId="0" fontId="123" fillId="0" borderId="107" xfId="0" applyFont="1" applyBorder="1" applyAlignment="1">
      <alignment horizontal="left" vertical="center" wrapText="1"/>
    </xf>
    <xf numFmtId="0" fontId="125" fillId="0" borderId="107" xfId="20951" applyFont="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1"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1" applyFont="1" applyBorder="1" applyAlignment="1">
      <alignment horizontal="left" vertical="center" wrapText="1" indent="1"/>
    </xf>
    <xf numFmtId="0" fontId="123" fillId="0" borderId="120" xfId="20951" applyFont="1" applyBorder="1" applyAlignment="1">
      <alignment horizontal="left" vertical="center" wrapText="1"/>
    </xf>
    <xf numFmtId="0" fontId="123" fillId="0" borderId="120" xfId="0" applyFont="1" applyBorder="1" applyAlignment="1">
      <alignment vertical="center" wrapText="1"/>
    </xf>
    <xf numFmtId="0" fontId="125" fillId="0" borderId="120" xfId="20951" applyFont="1" applyBorder="1" applyAlignment="1">
      <alignment horizontal="center" vertical="center" wrapText="1"/>
    </xf>
    <xf numFmtId="0" fontId="123" fillId="3" borderId="120" xfId="20951" applyFont="1" applyFill="1" applyBorder="1" applyAlignment="1">
      <alignment horizontal="left" vertical="center" wrapText="1"/>
    </xf>
    <xf numFmtId="0" fontId="123" fillId="0" borderId="120" xfId="0" applyFont="1" applyBorder="1" applyAlignment="1">
      <alignment horizontal="left" vertical="center" wrapText="1"/>
    </xf>
    <xf numFmtId="0" fontId="2" fillId="0" borderId="120" xfId="0" applyFont="1" applyBorder="1" applyAlignment="1">
      <alignment horizontal="center" vertical="center" wrapText="1"/>
    </xf>
    <xf numFmtId="0" fontId="0" fillId="0" borderId="120" xfId="0" applyBorder="1" applyAlignment="1">
      <alignment horizontal="center" vertical="center"/>
    </xf>
    <xf numFmtId="0" fontId="123" fillId="0" borderId="125" xfId="0" applyFont="1" applyBorder="1" applyAlignment="1">
      <alignment horizontal="justify" vertical="center" wrapText="1"/>
    </xf>
    <xf numFmtId="0" fontId="122" fillId="0" borderId="117" xfId="0" applyFont="1" applyBorder="1" applyAlignment="1">
      <alignment horizontal="left" vertical="center" wrapText="1" indent="1"/>
    </xf>
    <xf numFmtId="0" fontId="122" fillId="0" borderId="118" xfId="0" applyFont="1" applyBorder="1" applyAlignment="1">
      <alignment horizontal="left" vertical="center" wrapText="1" indent="1"/>
    </xf>
    <xf numFmtId="0" fontId="123" fillId="0" borderId="117" xfId="0" applyFont="1" applyBorder="1" applyAlignment="1">
      <alignment horizontal="justify" vertical="center" wrapText="1"/>
    </xf>
    <xf numFmtId="0" fontId="121" fillId="0" borderId="117" xfId="0" applyFont="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Border="1" applyAlignment="1">
      <alignment horizontal="justify" vertical="center" wrapText="1"/>
    </xf>
    <xf numFmtId="0" fontId="123" fillId="0" borderId="119" xfId="0" applyFont="1" applyBorder="1" applyAlignment="1">
      <alignment horizontal="justify" vertical="center" wrapText="1"/>
    </xf>
    <xf numFmtId="0" fontId="121" fillId="0" borderId="117" xfId="0" applyFont="1" applyBorder="1" applyAlignment="1">
      <alignment vertical="center" wrapText="1"/>
    </xf>
    <xf numFmtId="0" fontId="122" fillId="0" borderId="117" xfId="0" applyFont="1" applyBorder="1" applyAlignment="1">
      <alignment horizontal="left" vertical="center" wrapText="1"/>
    </xf>
    <xf numFmtId="0" fontId="123" fillId="0" borderId="126" xfId="0" applyFont="1" applyBorder="1" applyAlignment="1">
      <alignment vertical="center" wrapText="1"/>
    </xf>
    <xf numFmtId="0" fontId="123" fillId="3" borderId="117" xfId="0" applyFont="1" applyFill="1" applyBorder="1" applyAlignment="1">
      <alignment vertical="center" wrapText="1"/>
    </xf>
    <xf numFmtId="0" fontId="2" fillId="0" borderId="123" xfId="0" applyFont="1" applyBorder="1" applyAlignment="1">
      <alignment horizontal="left" vertical="center" wrapText="1" indent="4"/>
    </xf>
    <xf numFmtId="0" fontId="45" fillId="0" borderId="123" xfId="0" applyFont="1" applyBorder="1" applyAlignment="1">
      <alignment vertical="center" wrapText="1"/>
    </xf>
    <xf numFmtId="0" fontId="2" fillId="0" borderId="120" xfId="0" applyFont="1" applyBorder="1" applyAlignment="1" applyProtection="1">
      <alignment horizontal="left" vertical="center" indent="11"/>
      <protection locked="0"/>
    </xf>
    <xf numFmtId="0" fontId="46" fillId="0" borderId="120" xfId="0" applyFont="1" applyBorder="1" applyAlignment="1" applyProtection="1">
      <alignment horizontal="left" vertical="center" indent="17"/>
      <protection locked="0"/>
    </xf>
    <xf numFmtId="0" fontId="2" fillId="0" borderId="123" xfId="0" applyFont="1" applyBorder="1" applyAlignment="1">
      <alignment horizontal="left" vertical="center" wrapText="1"/>
    </xf>
    <xf numFmtId="191" fontId="93" fillId="0" borderId="0" xfId="0" applyNumberFormat="1" applyFont="1" applyAlignment="1">
      <alignment horizontal="right"/>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0" fontId="84" fillId="0" borderId="120" xfId="0" applyFont="1" applyBorder="1" applyAlignment="1">
      <alignment horizontal="center"/>
    </xf>
    <xf numFmtId="0" fontId="113" fillId="0" borderId="120" xfId="0" applyFont="1" applyBorder="1"/>
    <xf numFmtId="49" fontId="115" fillId="0" borderId="120" xfId="4" applyNumberFormat="1" applyFont="1" applyBorder="1" applyAlignment="1" applyProtection="1">
      <alignment horizontal="right" vertical="center"/>
      <protection locked="0"/>
    </xf>
    <xf numFmtId="0" fontId="114" fillId="3" borderId="120" xfId="0" applyFont="1" applyFill="1" applyBorder="1" applyAlignment="1" applyProtection="1">
      <alignment horizontal="left" vertical="center" wrapText="1"/>
      <protection locked="0"/>
    </xf>
    <xf numFmtId="49" fontId="114" fillId="3" borderId="120" xfId="4" applyNumberFormat="1" applyFont="1" applyFill="1" applyBorder="1" applyAlignment="1" applyProtection="1">
      <alignment horizontal="right" vertical="center"/>
      <protection locked="0"/>
    </xf>
    <xf numFmtId="0" fontId="114" fillId="0" borderId="120" xfId="0" applyFont="1" applyBorder="1" applyAlignment="1" applyProtection="1">
      <alignment horizontal="left" vertical="center" wrapText="1"/>
      <protection locked="0"/>
    </xf>
    <xf numFmtId="49" fontId="114" fillId="0" borderId="120" xfId="4" applyNumberFormat="1" applyFont="1" applyBorder="1" applyAlignment="1" applyProtection="1">
      <alignment horizontal="right" vertical="center"/>
      <protection locked="0"/>
    </xf>
    <xf numFmtId="0" fontId="116" fillId="0" borderId="120" xfId="0" applyFont="1" applyBorder="1" applyAlignment="1" applyProtection="1">
      <alignment horizontal="left" vertical="center" wrapText="1"/>
      <protection locked="0"/>
    </xf>
    <xf numFmtId="0" fontId="113" fillId="0" borderId="120" xfId="0" applyFont="1" applyBorder="1" applyAlignment="1">
      <alignment horizontal="center" vertical="center" wrapText="1"/>
    </xf>
    <xf numFmtId="14" fontId="110" fillId="0" borderId="0" xfId="0" applyNumberFormat="1" applyFont="1"/>
    <xf numFmtId="43" fontId="95" fillId="0" borderId="0" xfId="6" applyFont="1"/>
    <xf numFmtId="0" fontId="110" fillId="0" borderId="0" xfId="0" applyFont="1" applyAlignment="1">
      <alignment wrapText="1"/>
    </xf>
    <xf numFmtId="166" fontId="109" fillId="35" borderId="120" xfId="20950" applyFont="1" applyFill="1" applyBorder="1"/>
    <xf numFmtId="0" fontId="109" fillId="0" borderId="120" xfId="0" applyFont="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4" applyNumberFormat="1" applyFont="1" applyBorder="1" applyAlignment="1" applyProtection="1">
      <alignment horizontal="right" vertical="center" wrapText="1"/>
      <protection locked="0"/>
    </xf>
    <xf numFmtId="49" fontId="114" fillId="3" borderId="120" xfId="4" applyNumberFormat="1" applyFont="1" applyFill="1" applyBorder="1" applyAlignment="1" applyProtection="1">
      <alignment horizontal="right" vertical="center" wrapText="1"/>
      <protection locked="0"/>
    </xf>
    <xf numFmtId="49" fontId="114" fillId="0" borderId="120" xfId="4" applyNumberFormat="1" applyFont="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20" xfId="0" applyFont="1" applyBorder="1" applyAlignment="1">
      <alignment horizontal="left" vertical="center" wrapText="1"/>
    </xf>
    <xf numFmtId="0" fontId="112" fillId="0" borderId="120" xfId="0" applyFont="1" applyBorder="1" applyAlignment="1">
      <alignment horizontal="left" wrapText="1" indent="1"/>
    </xf>
    <xf numFmtId="0" fontId="112" fillId="0" borderId="120" xfId="0" applyFont="1" applyBorder="1" applyAlignment="1">
      <alignment horizontal="left" vertical="center" indent="1"/>
    </xf>
    <xf numFmtId="0" fontId="110" fillId="0" borderId="120" xfId="0" applyFont="1" applyBorder="1"/>
    <xf numFmtId="0" fontId="109" fillId="0" borderId="120" xfId="0" applyFont="1" applyBorder="1" applyAlignment="1">
      <alignment horizontal="left" wrapText="1" indent="1"/>
    </xf>
    <xf numFmtId="0" fontId="109" fillId="0" borderId="120" xfId="0" applyFont="1" applyBorder="1" applyAlignment="1">
      <alignment horizontal="left" indent="1"/>
    </xf>
    <xf numFmtId="0" fontId="109" fillId="0" borderId="120" xfId="0" applyFont="1" applyBorder="1" applyAlignment="1">
      <alignment horizontal="left" wrapText="1" indent="4"/>
    </xf>
    <xf numFmtId="0" fontId="109" fillId="0" borderId="120" xfId="0" applyFont="1" applyBorder="1" applyAlignment="1">
      <alignment horizontal="left" indent="3"/>
    </xf>
    <xf numFmtId="0" fontId="112" fillId="0" borderId="120" xfId="0" applyFont="1" applyBorder="1" applyAlignment="1">
      <alignment horizontal="left" indent="1"/>
    </xf>
    <xf numFmtId="0" fontId="110" fillId="77" borderId="120" xfId="0" applyFont="1" applyFill="1" applyBorder="1"/>
    <xf numFmtId="0" fontId="113" fillId="0" borderId="7" xfId="0" applyFont="1" applyBorder="1"/>
    <xf numFmtId="0" fontId="110" fillId="0" borderId="120" xfId="0" applyFont="1" applyBorder="1" applyAlignment="1">
      <alignment horizontal="left" wrapText="1" indent="2"/>
    </xf>
    <xf numFmtId="0" fontId="110" fillId="0" borderId="120" xfId="0" applyFont="1" applyBorder="1" applyAlignment="1">
      <alignment horizontal="left" wrapText="1"/>
    </xf>
    <xf numFmtId="0" fontId="109" fillId="0" borderId="120" xfId="0" applyFont="1" applyBorder="1" applyAlignment="1">
      <alignment horizontal="center"/>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99" xfId="0" applyFont="1" applyBorder="1" applyAlignment="1">
      <alignment horizontal="center" vertical="center" wrapText="1"/>
    </xf>
    <xf numFmtId="0" fontId="109" fillId="0" borderId="123" xfId="0" applyFont="1" applyBorder="1" applyAlignment="1">
      <alignment horizontal="center" vertical="center" wrapText="1"/>
    </xf>
    <xf numFmtId="0" fontId="109" fillId="0" borderId="100" xfId="0" applyFont="1" applyBorder="1" applyAlignment="1">
      <alignment horizontal="center" vertical="center" wrapText="1"/>
    </xf>
    <xf numFmtId="49" fontId="109" fillId="0" borderId="22" xfId="0" applyNumberFormat="1" applyFont="1" applyBorder="1" applyAlignment="1">
      <alignment horizontal="left" wrapText="1" indent="1"/>
    </xf>
    <xf numFmtId="0" fontId="109" fillId="0" borderId="20" xfId="0" applyFont="1" applyBorder="1" applyAlignment="1">
      <alignment horizontal="left" wrapText="1" indent="1"/>
    </xf>
    <xf numFmtId="49" fontId="109" fillId="0" borderId="77" xfId="0" applyNumberFormat="1" applyFont="1" applyBorder="1" applyAlignment="1">
      <alignment horizontal="left" wrapText="1" indent="1"/>
    </xf>
    <xf numFmtId="0" fontId="109" fillId="0" borderId="17" xfId="0" applyFont="1" applyBorder="1" applyAlignment="1">
      <alignment horizontal="left" wrapText="1" indent="1"/>
    </xf>
    <xf numFmtId="49" fontId="109" fillId="0" borderId="17" xfId="0" applyNumberFormat="1" applyFont="1" applyBorder="1" applyAlignment="1">
      <alignment horizontal="left" wrapText="1" indent="3"/>
    </xf>
    <xf numFmtId="49" fontId="109" fillId="0" borderId="77" xfId="0" applyNumberFormat="1" applyFont="1" applyBorder="1" applyAlignment="1">
      <alignment horizontal="left" wrapText="1" indent="3"/>
    </xf>
    <xf numFmtId="49" fontId="109" fillId="0" borderId="17" xfId="0" applyNumberFormat="1" applyFont="1" applyBorder="1" applyAlignment="1">
      <alignment horizontal="left" wrapText="1" indent="2"/>
    </xf>
    <xf numFmtId="49" fontId="109" fillId="0" borderId="77" xfId="0" applyNumberFormat="1" applyFont="1" applyBorder="1" applyAlignment="1">
      <alignment horizontal="left" wrapText="1" indent="2"/>
    </xf>
    <xf numFmtId="49" fontId="109" fillId="0" borderId="77" xfId="0" applyNumberFormat="1" applyFont="1" applyBorder="1" applyAlignment="1">
      <alignment horizontal="left" vertical="top" wrapText="1" indent="2"/>
    </xf>
    <xf numFmtId="49" fontId="109" fillId="0" borderId="77" xfId="0" applyNumberFormat="1" applyFont="1" applyBorder="1" applyAlignment="1">
      <alignment horizontal="left" indent="1"/>
    </xf>
    <xf numFmtId="0" fontId="109" fillId="0" borderId="17" xfId="0" applyFont="1" applyBorder="1" applyAlignment="1">
      <alignment horizontal="left" indent="1"/>
    </xf>
    <xf numFmtId="49" fontId="109" fillId="0" borderId="17" xfId="0" applyNumberFormat="1" applyFont="1" applyBorder="1" applyAlignment="1">
      <alignment horizontal="left" indent="1"/>
    </xf>
    <xf numFmtId="49" fontId="109" fillId="0" borderId="17" xfId="0" applyNumberFormat="1" applyFont="1" applyBorder="1" applyAlignment="1">
      <alignment horizontal="left" indent="3"/>
    </xf>
    <xf numFmtId="49" fontId="109" fillId="0" borderId="77" xfId="0" applyNumberFormat="1" applyFont="1" applyBorder="1" applyAlignment="1">
      <alignment horizontal="left" indent="3"/>
    </xf>
    <xf numFmtId="0" fontId="109" fillId="0" borderId="17" xfId="0" applyFont="1" applyBorder="1" applyAlignment="1">
      <alignment horizontal="left" indent="2"/>
    </xf>
    <xf numFmtId="0" fontId="109" fillId="0" borderId="77" xfId="0" applyFont="1" applyBorder="1" applyAlignment="1">
      <alignment horizontal="left" indent="2"/>
    </xf>
    <xf numFmtId="0" fontId="109" fillId="0" borderId="77" xfId="0" applyFont="1" applyBorder="1" applyAlignment="1">
      <alignment horizontal="left" indent="1"/>
    </xf>
    <xf numFmtId="0" fontId="112" fillId="0" borderId="60" xfId="0" applyFont="1" applyBorder="1"/>
    <xf numFmtId="0" fontId="109" fillId="0" borderId="63" xfId="0" applyFont="1" applyBorder="1"/>
    <xf numFmtId="0" fontId="109" fillId="0" borderId="71" xfId="0" applyFont="1" applyBorder="1" applyAlignment="1">
      <alignment horizontal="center" vertical="center" wrapText="1"/>
    </xf>
    <xf numFmtId="0" fontId="109" fillId="0" borderId="77" xfId="0" applyFont="1" applyBorder="1" applyAlignment="1">
      <alignment horizontal="center" vertical="center" wrapText="1"/>
    </xf>
    <xf numFmtId="0" fontId="109" fillId="0" borderId="0" xfId="0" applyFont="1" applyAlignment="1">
      <alignment horizontal="left"/>
    </xf>
    <xf numFmtId="0" fontId="112" fillId="0" borderId="120" xfId="0" applyFont="1" applyBorder="1" applyAlignment="1">
      <alignment horizontal="left" vertical="center" wrapText="1"/>
    </xf>
    <xf numFmtId="0" fontId="114" fillId="0" borderId="0" xfId="0" applyFont="1"/>
    <xf numFmtId="0" fontId="93" fillId="0" borderId="0" xfId="0" applyFont="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Font="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Font="1" applyBorder="1" applyAlignment="1">
      <alignment vertical="center" wrapText="1" readingOrder="1"/>
    </xf>
    <xf numFmtId="0" fontId="130" fillId="0" borderId="120" xfId="0" applyFont="1" applyBorder="1" applyAlignment="1">
      <alignment horizontal="left" indent="2"/>
    </xf>
    <xf numFmtId="0" fontId="109" fillId="0" borderId="116" xfId="0" applyFont="1" applyBorder="1" applyAlignment="1">
      <alignment vertical="center" wrapText="1" readingOrder="1"/>
    </xf>
    <xf numFmtId="0" fontId="130" fillId="0" borderId="124" xfId="0" applyFont="1" applyBorder="1" applyAlignment="1">
      <alignment horizontal="left" indent="2"/>
    </xf>
    <xf numFmtId="0" fontId="109" fillId="0" borderId="115" xfId="0" applyFont="1" applyBorder="1" applyAlignment="1">
      <alignment vertical="center" wrapText="1" readingOrder="1"/>
    </xf>
    <xf numFmtId="0" fontId="109" fillId="0" borderId="114" xfId="0" applyFont="1" applyBorder="1" applyAlignment="1">
      <alignment vertical="center" wrapText="1" readingOrder="1"/>
    </xf>
    <xf numFmtId="0" fontId="130" fillId="0" borderId="7" xfId="0" applyFont="1" applyBorder="1"/>
    <xf numFmtId="167" fontId="131" fillId="79" borderId="54" xfId="0" applyNumberFormat="1" applyFont="1" applyFill="1" applyBorder="1" applyAlignment="1">
      <alignment horizontal="center"/>
    </xf>
    <xf numFmtId="0" fontId="95" fillId="0" borderId="0" xfId="10" applyFont="1"/>
    <xf numFmtId="0" fontId="95" fillId="0" borderId="0" xfId="0" applyFont="1"/>
    <xf numFmtId="14" fontId="3" fillId="0" borderId="0" xfId="0" applyNumberFormat="1" applyFont="1"/>
    <xf numFmtId="0" fontId="132" fillId="0" borderId="0" xfId="10" applyFont="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7" xfId="6" applyNumberFormat="1" applyFont="1" applyFill="1" applyBorder="1" applyAlignment="1">
      <alignment horizontal="left" vertical="center"/>
    </xf>
    <xf numFmtId="49" fontId="136" fillId="0" borderId="120" xfId="0" applyNumberFormat="1" applyFont="1" applyBorder="1" applyAlignment="1">
      <alignment horizontal="left" vertical="center"/>
    </xf>
    <xf numFmtId="192" fontId="136" fillId="0" borderId="77" xfId="6" applyNumberFormat="1" applyFont="1" applyFill="1" applyBorder="1" applyAlignment="1">
      <alignment horizontal="left" vertical="center"/>
    </xf>
    <xf numFmtId="0" fontId="136" fillId="0" borderId="120" xfId="0" applyFont="1" applyBorder="1" applyAlignment="1">
      <alignment horizontal="left" vertical="center"/>
    </xf>
    <xf numFmtId="0" fontId="134" fillId="0" borderId="120" xfId="0" applyFont="1" applyBorder="1" applyAlignment="1">
      <alignment horizontal="left" vertical="center"/>
    </xf>
    <xf numFmtId="10" fontId="95" fillId="0" borderId="77" xfId="0" applyNumberFormat="1" applyFont="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4" borderId="120" xfId="0" applyFont="1" applyFill="1" applyBorder="1" applyAlignment="1">
      <alignment horizontal="center" vertical="center" wrapText="1"/>
    </xf>
    <xf numFmtId="0" fontId="4" fillId="83" borderId="120" xfId="0" applyFont="1" applyFill="1" applyBorder="1" applyAlignment="1">
      <alignment vertical="center" wrapText="1"/>
    </xf>
    <xf numFmtId="192" fontId="4" fillId="83" borderId="120" xfId="6" applyNumberFormat="1" applyFont="1" applyFill="1" applyBorder="1" applyAlignment="1">
      <alignment vertical="center"/>
    </xf>
    <xf numFmtId="192" fontId="4" fillId="83" borderId="77" xfId="6"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6"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lignment horizontal="left" vertical="center" wrapText="1" indent="1"/>
    </xf>
    <xf numFmtId="192" fontId="143" fillId="80" borderId="120" xfId="6" applyNumberFormat="1" applyFont="1" applyFill="1" applyBorder="1" applyAlignment="1">
      <alignment vertical="center"/>
    </xf>
    <xf numFmtId="192" fontId="143" fillId="82" borderId="77" xfId="6" applyNumberFormat="1" applyFont="1" applyFill="1" applyBorder="1" applyAlignment="1">
      <alignment vertical="center"/>
    </xf>
    <xf numFmtId="192" fontId="144" fillId="81" borderId="120" xfId="6" applyNumberFormat="1" applyFont="1" applyFill="1" applyBorder="1" applyAlignment="1">
      <alignment vertical="center"/>
    </xf>
    <xf numFmtId="192" fontId="144" fillId="82" borderId="77" xfId="6" applyNumberFormat="1" applyFont="1" applyFill="1" applyBorder="1" applyAlignment="1">
      <alignment vertical="center"/>
    </xf>
    <xf numFmtId="192" fontId="144" fillId="81" borderId="21" xfId="6" applyNumberFormat="1" applyFont="1" applyFill="1" applyBorder="1" applyAlignment="1">
      <alignment vertical="center"/>
    </xf>
    <xf numFmtId="192" fontId="144" fillId="82" borderId="22" xfId="6" applyNumberFormat="1" applyFont="1" applyFill="1" applyBorder="1" applyAlignment="1">
      <alignment vertical="center"/>
    </xf>
    <xf numFmtId="0" fontId="348" fillId="0" borderId="0" xfId="0" applyFont="1"/>
    <xf numFmtId="169" fontId="9" fillId="36" borderId="89" xfId="18" applyBorder="1"/>
    <xf numFmtId="0" fontId="93" fillId="0" borderId="182"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14" fontId="93" fillId="0" borderId="0" xfId="0" applyNumberFormat="1" applyFont="1"/>
    <xf numFmtId="0" fontId="93" fillId="0" borderId="107" xfId="0" applyFont="1" applyBorder="1" applyAlignment="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1" applyFont="1" applyFill="1" applyBorder="1" applyAlignment="1">
      <alignment horizontal="left" vertical="center" wrapText="1"/>
    </xf>
    <xf numFmtId="0" fontId="93" fillId="0" borderId="107" xfId="20951" applyFont="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1" applyFont="1" applyFill="1" applyBorder="1" applyAlignment="1">
      <alignment horizontal="left" vertical="center" wrapText="1" indent="1"/>
    </xf>
    <xf numFmtId="0" fontId="119" fillId="0" borderId="117" xfId="0" applyFont="1" applyBorder="1" applyAlignment="1">
      <alignment horizontal="left" vertical="center" wrapText="1"/>
    </xf>
    <xf numFmtId="0" fontId="351" fillId="0" borderId="117" xfId="0" applyFont="1" applyBorder="1" applyAlignment="1">
      <alignment horizontal="left" vertical="center" wrapText="1"/>
    </xf>
    <xf numFmtId="0" fontId="351" fillId="0" borderId="117" xfId="0" applyFont="1" applyBorder="1" applyAlignment="1">
      <alignment vertical="center" wrapText="1"/>
    </xf>
    <xf numFmtId="0" fontId="352" fillId="0" borderId="117" xfId="0" applyFont="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1" applyFont="1" applyBorder="1" applyAlignment="1">
      <alignment horizontal="left" vertical="center" wrapText="1" indent="1"/>
    </xf>
    <xf numFmtId="0" fontId="351" fillId="0" borderId="107" xfId="0" applyFont="1" applyBorder="1" applyAlignment="1">
      <alignment horizontal="left" vertical="center" wrapText="1"/>
    </xf>
    <xf numFmtId="0" fontId="351" fillId="0" borderId="107" xfId="20951" applyFont="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1"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1" applyFont="1" applyBorder="1" applyAlignment="1">
      <alignment horizontal="left" vertical="center" wrapText="1" inden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1" applyFont="1" applyBorder="1" applyAlignment="1">
      <alignment horizontal="left" vertical="center" wrapText="1"/>
    </xf>
    <xf numFmtId="0" fontId="351" fillId="0" borderId="120" xfId="0" applyFont="1" applyBorder="1" applyAlignment="1">
      <alignment vertical="center" wrapText="1"/>
    </xf>
    <xf numFmtId="0" fontId="351" fillId="0" borderId="120" xfId="20951" applyFont="1" applyBorder="1" applyAlignment="1">
      <alignment horizontal="center" vertical="center" wrapText="1"/>
    </xf>
    <xf numFmtId="0" fontId="351" fillId="3" borderId="120" xfId="20951" applyFont="1" applyFill="1" applyBorder="1" applyAlignment="1">
      <alignment horizontal="left" vertical="center" wrapText="1"/>
    </xf>
    <xf numFmtId="0" fontId="353" fillId="0" borderId="0" xfId="0" applyFont="1" applyAlignment="1">
      <alignment horizontal="justify"/>
    </xf>
    <xf numFmtId="0" fontId="351" fillId="0" borderId="120"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0" xfId="0" applyFont="1" applyBorder="1" applyAlignment="1">
      <alignment vertical="center"/>
    </xf>
    <xf numFmtId="0" fontId="45" fillId="0" borderId="120" xfId="0" applyFont="1" applyBorder="1" applyAlignment="1">
      <alignment vertical="center" wrapText="1"/>
    </xf>
    <xf numFmtId="191" fontId="93" fillId="35" borderId="188" xfId="0" applyNumberFormat="1" applyFont="1" applyFill="1" applyBorder="1" applyAlignment="1">
      <alignment horizontal="right"/>
    </xf>
    <xf numFmtId="0" fontId="351" fillId="0" borderId="188" xfId="20951" applyFont="1" applyBorder="1" applyAlignment="1">
      <alignment horizontal="left" vertical="center" wrapText="1"/>
    </xf>
    <xf numFmtId="0" fontId="0" fillId="0" borderId="188" xfId="0" applyBorder="1"/>
    <xf numFmtId="191" fontId="93" fillId="0" borderId="188" xfId="0" applyNumberFormat="1" applyFont="1" applyBorder="1" applyAlignment="1">
      <alignment horizontal="right"/>
    </xf>
    <xf numFmtId="0" fontId="6" fillId="0" borderId="188" xfId="15" applyFill="1" applyBorder="1" applyAlignment="1" applyProtection="1"/>
    <xf numFmtId="49" fontId="84" fillId="0" borderId="188" xfId="0" applyNumberFormat="1" applyFont="1" applyBorder="1" applyAlignment="1">
      <alignment horizontal="right"/>
    </xf>
    <xf numFmtId="0" fontId="84" fillId="0" borderId="188" xfId="0" applyFont="1" applyBorder="1"/>
    <xf numFmtId="0" fontId="354" fillId="3" borderId="0" xfId="0" applyFont="1" applyFill="1" applyAlignment="1" applyProtection="1">
      <alignment vertical="center"/>
      <protection locked="0"/>
    </xf>
    <xf numFmtId="0" fontId="130" fillId="3" borderId="188" xfId="4" applyFont="1" applyFill="1" applyBorder="1" applyAlignment="1" applyProtection="1">
      <alignment vertical="center" wrapText="1"/>
      <protection locked="0"/>
    </xf>
    <xf numFmtId="0" fontId="130" fillId="0" borderId="188" xfId="0" applyFont="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3" applyNumberFormat="1" applyFont="1" applyFill="1" applyBorder="1" applyAlignment="1" applyProtection="1">
      <alignment horizontal="center" vertical="center" wrapText="1"/>
      <protection locked="0"/>
    </xf>
    <xf numFmtId="0" fontId="130" fillId="3" borderId="188" xfId="0" applyFont="1" applyFill="1" applyBorder="1" applyAlignment="1" applyProtection="1">
      <alignment horizontal="center" vertical="center" wrapText="1"/>
      <protection locked="0"/>
    </xf>
    <xf numFmtId="0" fontId="354" fillId="3" borderId="188" xfId="0" applyFont="1" applyFill="1" applyBorder="1" applyProtection="1">
      <protection locked="0"/>
    </xf>
    <xf numFmtId="3" fontId="130" fillId="151" borderId="188" xfId="4" applyNumberFormat="1" applyFont="1" applyFill="1" applyBorder="1"/>
    <xf numFmtId="0" fontId="355" fillId="3" borderId="188" xfId="0" applyFont="1" applyFill="1" applyBorder="1" applyAlignment="1" applyProtection="1">
      <alignment horizontal="right"/>
      <protection locked="0"/>
    </xf>
    <xf numFmtId="359" fontId="130" fillId="151" borderId="188" xfId="4" applyNumberFormat="1" applyFont="1" applyFill="1" applyBorder="1" applyProtection="1">
      <protection locked="0"/>
    </xf>
    <xf numFmtId="164" fontId="130" fillId="151" borderId="188" xfId="1" applyNumberFormat="1" applyFont="1" applyFill="1" applyBorder="1" applyAlignment="1" applyProtection="1"/>
    <xf numFmtId="0" fontId="130" fillId="3" borderId="188" xfId="0" applyFont="1" applyFill="1" applyBorder="1" applyAlignment="1" applyProtection="1">
      <alignment horizontal="left" vertical="center"/>
      <protection locked="0"/>
    </xf>
    <xf numFmtId="3" fontId="130" fillId="3" borderId="188" xfId="4" applyNumberFormat="1" applyFont="1" applyFill="1" applyBorder="1" applyProtection="1">
      <protection locked="0"/>
    </xf>
    <xf numFmtId="0" fontId="130" fillId="3" borderId="188" xfId="4" applyFont="1" applyFill="1" applyBorder="1" applyProtection="1">
      <protection locked="0"/>
    </xf>
    <xf numFmtId="0" fontId="356" fillId="3" borderId="188" xfId="0" applyFont="1" applyFill="1" applyBorder="1" applyAlignment="1" applyProtection="1">
      <alignment horizontal="right"/>
      <protection locked="0"/>
    </xf>
    <xf numFmtId="0" fontId="130" fillId="0" borderId="188" xfId="0" applyFont="1" applyBorder="1" applyAlignment="1" applyProtection="1">
      <alignment horizontal="left" vertical="center"/>
      <protection locked="0"/>
    </xf>
    <xf numFmtId="0" fontId="354" fillId="3" borderId="188" xfId="14" applyFont="1" applyFill="1" applyBorder="1" applyProtection="1">
      <protection locked="0"/>
    </xf>
    <xf numFmtId="3" fontId="354" fillId="75" borderId="188" xfId="14" applyNumberFormat="1" applyFont="1" applyFill="1" applyBorder="1"/>
    <xf numFmtId="0" fontId="359" fillId="0" borderId="0" xfId="0" applyFont="1" applyAlignment="1" applyProtection="1">
      <alignment vertical="center"/>
      <protection locked="0"/>
    </xf>
    <xf numFmtId="0" fontId="130" fillId="0" borderId="188" xfId="0" applyFont="1" applyBorder="1" applyAlignment="1" applyProtection="1">
      <alignment horizontal="center" vertical="top" wrapText="1"/>
      <protection locked="0"/>
    </xf>
    <xf numFmtId="0" fontId="354" fillId="3" borderId="188" xfId="0" applyFont="1" applyFill="1" applyBorder="1" applyAlignment="1" applyProtection="1">
      <alignment wrapText="1"/>
      <protection locked="0"/>
    </xf>
    <xf numFmtId="0" fontId="119" fillId="75" borderId="93" xfId="20949" applyFont="1" applyFill="1" applyBorder="1">
      <alignment vertical="center"/>
    </xf>
    <xf numFmtId="0" fontId="119" fillId="75" borderId="94" xfId="20949" applyFont="1" applyFill="1" applyBorder="1">
      <alignment vertical="center"/>
    </xf>
    <xf numFmtId="0" fontId="119" fillId="75" borderId="91" xfId="20949" applyFont="1" applyFill="1" applyBorder="1">
      <alignment vertical="center"/>
    </xf>
    <xf numFmtId="164" fontId="119" fillId="75" borderId="91" xfId="6" applyNumberFormat="1" applyFont="1" applyFill="1" applyBorder="1" applyAlignment="1">
      <alignment horizontal="right" vertical="center"/>
    </xf>
    <xf numFmtId="0" fontId="119" fillId="76" borderId="94" xfId="20949" applyFont="1" applyFill="1" applyBorder="1">
      <alignment vertical="center"/>
    </xf>
    <xf numFmtId="0" fontId="119" fillId="3" borderId="94" xfId="20949" applyFont="1" applyFill="1" applyBorder="1">
      <alignment vertical="center"/>
    </xf>
    <xf numFmtId="0" fontId="93" fillId="69" borderId="90" xfId="20949" applyFont="1" applyFill="1" applyBorder="1" applyAlignment="1">
      <alignment horizontal="center" vertical="center"/>
    </xf>
    <xf numFmtId="0" fontId="93" fillId="69" borderId="91" xfId="20949" applyFont="1" applyFill="1" applyBorder="1" applyAlignment="1">
      <alignment horizontal="left" vertical="center" wrapText="1"/>
    </xf>
    <xf numFmtId="164" fontId="93" fillId="0" borderId="92" xfId="6" applyNumberFormat="1" applyFont="1" applyFill="1" applyBorder="1" applyAlignment="1" applyProtection="1">
      <alignment horizontal="right" vertical="center"/>
      <protection locked="0"/>
    </xf>
    <xf numFmtId="0" fontId="119" fillId="76" borderId="92" xfId="20949" applyFont="1" applyFill="1" applyBorder="1" applyAlignment="1">
      <alignment horizontal="center" vertical="center"/>
    </xf>
    <xf numFmtId="0" fontId="119" fillId="76" borderId="94" xfId="20949" applyFont="1" applyFill="1" applyBorder="1" applyAlignment="1">
      <alignment vertical="top" wrapText="1"/>
    </xf>
    <xf numFmtId="0" fontId="93" fillId="69" borderId="94" xfId="20949" applyFont="1" applyFill="1" applyBorder="1" applyAlignment="1">
      <alignment vertical="center" wrapText="1"/>
    </xf>
    <xf numFmtId="0" fontId="93" fillId="69" borderId="91" xfId="20949" applyFont="1" applyFill="1" applyBorder="1" applyAlignment="1">
      <alignment horizontal="left" vertical="center"/>
    </xf>
    <xf numFmtId="360" fontId="93" fillId="0" borderId="92" xfId="6" applyNumberFormat="1" applyFont="1" applyFill="1" applyBorder="1" applyAlignment="1" applyProtection="1">
      <alignment horizontal="right" vertical="center"/>
      <protection locked="0"/>
    </xf>
    <xf numFmtId="0" fontId="93" fillId="3" borderId="90" xfId="20949" applyFont="1" applyFill="1" applyBorder="1" applyAlignment="1">
      <alignment horizontal="center" vertical="center"/>
    </xf>
    <xf numFmtId="164" fontId="93" fillId="76" borderId="92" xfId="6" applyNumberFormat="1" applyFont="1" applyFill="1" applyBorder="1" applyAlignment="1" applyProtection="1">
      <alignment horizontal="right" vertical="center"/>
      <protection locked="0"/>
    </xf>
    <xf numFmtId="164" fontId="93" fillId="3" borderId="92" xfId="6" applyNumberFormat="1" applyFont="1" applyFill="1" applyBorder="1" applyAlignment="1" applyProtection="1">
      <alignment horizontal="right" vertical="center"/>
      <protection locked="0"/>
    </xf>
    <xf numFmtId="0" fontId="93" fillId="69" borderId="92" xfId="20949" applyFont="1" applyFill="1" applyBorder="1" applyAlignment="1">
      <alignment horizontal="center" vertical="center"/>
    </xf>
    <xf numFmtId="0" fontId="349" fillId="0" borderId="0" xfId="0" applyFont="1" applyAlignment="1">
      <alignment wrapText="1"/>
    </xf>
    <xf numFmtId="0" fontId="105" fillId="69" borderId="195" xfId="20949" applyFont="1" applyFill="1" applyBorder="1" applyAlignment="1" applyProtection="1">
      <alignment horizontal="center" vertical="center"/>
      <protection locked="0"/>
    </xf>
    <xf numFmtId="0" fontId="106" fillId="76" borderId="188" xfId="20949" applyFont="1" applyFill="1" applyBorder="1" applyAlignment="1" applyProtection="1">
      <alignment horizontal="center" vertical="center"/>
      <protection locked="0"/>
    </xf>
    <xf numFmtId="0" fontId="361" fillId="0" borderId="0" xfId="0" applyFont="1" applyAlignment="1">
      <alignment horizontal="justify"/>
    </xf>
    <xf numFmtId="10" fontId="2" fillId="0" borderId="3" xfId="20948" applyNumberFormat="1" applyFont="1" applyBorder="1" applyAlignment="1" applyProtection="1">
      <alignment horizontal="right" vertical="center" wrapText="1"/>
      <protection locked="0"/>
    </xf>
    <xf numFmtId="10" fontId="84" fillId="0" borderId="3" xfId="20948" applyNumberFormat="1" applyFont="1" applyBorder="1" applyAlignment="1" applyProtection="1">
      <alignment vertical="center" wrapText="1"/>
      <protection locked="0"/>
    </xf>
    <xf numFmtId="10" fontId="84" fillId="0" borderId="18" xfId="20948" applyNumberFormat="1" applyFont="1" applyBorder="1" applyAlignment="1" applyProtection="1">
      <alignment vertical="center" wrapText="1"/>
      <protection locked="0"/>
    </xf>
    <xf numFmtId="10" fontId="93" fillId="2" borderId="188" xfId="20948" applyNumberFormat="1" applyFont="1" applyFill="1" applyBorder="1" applyAlignment="1" applyProtection="1">
      <alignment vertical="center"/>
      <protection locked="0"/>
    </xf>
    <xf numFmtId="10" fontId="363" fillId="2" borderId="188" xfId="20948" applyNumberFormat="1" applyFont="1" applyFill="1" applyBorder="1" applyAlignment="1" applyProtection="1">
      <alignment vertical="center"/>
      <protection locked="0"/>
    </xf>
    <xf numFmtId="191" fontId="2" fillId="152" borderId="3" xfId="0" applyNumberFormat="1" applyFont="1" applyFill="1" applyBorder="1" applyAlignment="1" applyProtection="1">
      <alignment horizontal="right" vertical="center" wrapText="1"/>
      <protection locked="0"/>
    </xf>
    <xf numFmtId="191" fontId="84" fillId="152" borderId="3" xfId="0" applyNumberFormat="1" applyFont="1" applyFill="1" applyBorder="1" applyAlignment="1" applyProtection="1">
      <alignment vertical="center" wrapText="1"/>
      <protection locked="0"/>
    </xf>
    <xf numFmtId="191" fontId="84" fillId="152" borderId="18" xfId="0" applyNumberFormat="1" applyFont="1" applyFill="1" applyBorder="1" applyAlignment="1" applyProtection="1">
      <alignment vertical="center" wrapText="1"/>
      <protection locked="0"/>
    </xf>
    <xf numFmtId="164" fontId="93" fillId="0" borderId="188" xfId="6" applyNumberFormat="1" applyFont="1" applyFill="1" applyBorder="1" applyAlignment="1" applyProtection="1">
      <alignment vertical="center"/>
      <protection locked="0"/>
    </xf>
    <xf numFmtId="191" fontId="93" fillId="0" borderId="188" xfId="0" applyNumberFormat="1" applyFont="1" applyBorder="1" applyAlignment="1" applyProtection="1">
      <alignment vertical="center"/>
      <protection locked="0"/>
    </xf>
    <xf numFmtId="191" fontId="93" fillId="2" borderId="188" xfId="0" applyNumberFormat="1" applyFont="1" applyFill="1" applyBorder="1" applyAlignment="1" applyProtection="1">
      <alignment vertical="center"/>
      <protection locked="0"/>
    </xf>
    <xf numFmtId="191" fontId="363" fillId="2" borderId="188" xfId="0" applyNumberFormat="1" applyFont="1" applyFill="1" applyBorder="1" applyAlignment="1" applyProtection="1">
      <alignment vertical="center"/>
      <protection locked="0"/>
    </xf>
    <xf numFmtId="10" fontId="93" fillId="0" borderId="188" xfId="20948"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91" fontId="363" fillId="2" borderId="195" xfId="0" applyNumberFormat="1" applyFont="1" applyFill="1" applyBorder="1" applyAlignment="1" applyProtection="1">
      <alignment vertical="center"/>
      <protection locked="0"/>
    </xf>
    <xf numFmtId="10" fontId="93" fillId="2" borderId="201" xfId="20948" applyNumberFormat="1" applyFont="1" applyFill="1" applyBorder="1" applyAlignment="1" applyProtection="1">
      <alignment vertical="center"/>
      <protection locked="0"/>
    </xf>
    <xf numFmtId="10" fontId="363" fillId="2" borderId="201" xfId="20948" applyNumberFormat="1" applyFont="1" applyFill="1" applyBorder="1" applyAlignment="1" applyProtection="1">
      <alignment vertical="center"/>
      <protection locked="0"/>
    </xf>
    <xf numFmtId="164" fontId="108" fillId="0" borderId="188" xfId="6" applyNumberFormat="1" applyFont="1" applyBorder="1"/>
    <xf numFmtId="164" fontId="0" fillId="35" borderId="188" xfId="6" applyNumberFormat="1" applyFont="1" applyFill="1" applyBorder="1"/>
    <xf numFmtId="164" fontId="0" fillId="0" borderId="188" xfId="6" applyNumberFormat="1" applyFont="1" applyBorder="1"/>
    <xf numFmtId="164" fontId="108" fillId="0" borderId="188" xfId="6" applyNumberFormat="1" applyFont="1" applyBorder="1" applyAlignment="1">
      <alignment vertical="center"/>
    </xf>
    <xf numFmtId="164" fontId="0" fillId="35" borderId="188" xfId="6" applyNumberFormat="1" applyFont="1" applyFill="1" applyBorder="1" applyAlignment="1">
      <alignment vertical="center"/>
    </xf>
    <xf numFmtId="43" fontId="108" fillId="0" borderId="188" xfId="6" applyFont="1" applyBorder="1"/>
    <xf numFmtId="191" fontId="93" fillId="35" borderId="77" xfId="0" applyNumberFormat="1" applyFont="1" applyFill="1" applyBorder="1" applyAlignment="1">
      <alignment horizontal="right"/>
    </xf>
    <xf numFmtId="191" fontId="119" fillId="0" borderId="188" xfId="0" applyNumberFormat="1" applyFont="1" applyBorder="1" applyAlignment="1">
      <alignment horizontal="right"/>
    </xf>
    <xf numFmtId="164" fontId="93" fillId="0" borderId="188" xfId="6" applyNumberFormat="1" applyFont="1" applyBorder="1" applyAlignment="1">
      <alignment horizontal="right"/>
    </xf>
    <xf numFmtId="164" fontId="93" fillId="35" borderId="77" xfId="6" applyNumberFormat="1" applyFont="1" applyFill="1" applyBorder="1" applyAlignment="1">
      <alignment horizontal="right"/>
    </xf>
    <xf numFmtId="0" fontId="2" fillId="0" borderId="188" xfId="0" applyFont="1" applyBorder="1" applyAlignment="1">
      <alignment wrapText="1"/>
    </xf>
    <xf numFmtId="0" fontId="2" fillId="0" borderId="80" xfId="0" applyFont="1" applyBorder="1"/>
    <xf numFmtId="0" fontId="2" fillId="0" borderId="202" xfId="0" applyFont="1" applyBorder="1" applyAlignment="1">
      <alignment vertical="center"/>
    </xf>
    <xf numFmtId="0" fontId="364" fillId="0" borderId="203" xfId="0" applyFont="1" applyBorder="1" applyAlignment="1">
      <alignment wrapText="1"/>
    </xf>
    <xf numFmtId="10" fontId="3" fillId="0" borderId="205" xfId="20948" applyNumberFormat="1" applyFont="1" applyBorder="1"/>
    <xf numFmtId="10" fontId="3" fillId="0" borderId="205" xfId="20948" applyNumberFormat="1" applyFont="1" applyFill="1" applyBorder="1"/>
    <xf numFmtId="0" fontId="364" fillId="0" borderId="185" xfId="0" applyFont="1" applyBorder="1" applyAlignment="1">
      <alignment wrapText="1"/>
    </xf>
    <xf numFmtId="10" fontId="3" fillId="0" borderId="85" xfId="20948" applyNumberFormat="1" applyFont="1" applyFill="1" applyBorder="1"/>
    <xf numFmtId="0" fontId="364" fillId="0" borderId="206" xfId="0" applyFont="1" applyBorder="1" applyAlignment="1">
      <alignment wrapText="1"/>
    </xf>
    <xf numFmtId="10" fontId="3" fillId="0" borderId="207" xfId="20948" applyNumberFormat="1" applyFont="1" applyFill="1" applyBorder="1"/>
    <xf numFmtId="164" fontId="4" fillId="0" borderId="208" xfId="6" applyNumberFormat="1" applyFont="1" applyFill="1" applyBorder="1" applyAlignment="1">
      <alignment vertical="center" wrapText="1"/>
    </xf>
    <xf numFmtId="164" fontId="3" fillId="0" borderId="208" xfId="6" applyNumberFormat="1" applyFont="1" applyFill="1" applyBorder="1" applyAlignment="1">
      <alignment vertical="center" wrapText="1"/>
    </xf>
    <xf numFmtId="164" fontId="3" fillId="0" borderId="208" xfId="6" applyNumberFormat="1" applyFont="1" applyBorder="1" applyAlignment="1">
      <alignment vertical="center"/>
    </xf>
    <xf numFmtId="164" fontId="4" fillId="0" borderId="208" xfId="6" applyNumberFormat="1" applyFont="1" applyBorder="1" applyAlignment="1">
      <alignment vertical="center"/>
    </xf>
    <xf numFmtId="43" fontId="3" fillId="0" borderId="208" xfId="6" applyFont="1" applyBorder="1" applyAlignment="1">
      <alignment vertical="center"/>
    </xf>
    <xf numFmtId="191" fontId="0" fillId="0" borderId="205" xfId="0" applyNumberFormat="1" applyBorder="1"/>
    <xf numFmtId="191" fontId="0" fillId="0" borderId="205" xfId="0" applyNumberFormat="1" applyBorder="1" applyAlignment="1">
      <alignment wrapText="1"/>
    </xf>
    <xf numFmtId="191" fontId="365" fillId="3" borderId="18" xfId="6" applyNumberFormat="1" applyFont="1" applyFill="1" applyBorder="1" applyAlignment="1" applyProtection="1">
      <alignment vertical="top" wrapText="1"/>
      <protection locked="0"/>
    </xf>
    <xf numFmtId="10" fontId="99" fillId="0" borderId="208" xfId="20948" applyNumberFormat="1" applyFont="1" applyFill="1" applyBorder="1" applyAlignment="1">
      <alignment horizontal="left" vertical="center" wrapText="1"/>
    </xf>
    <xf numFmtId="164" fontId="3" fillId="0" borderId="77" xfId="6" applyNumberFormat="1" applyFont="1" applyBorder="1" applyAlignment="1">
      <alignment horizontal="right" vertical="center" wrapText="1"/>
    </xf>
    <xf numFmtId="164" fontId="4" fillId="35" borderId="77" xfId="6" applyNumberFormat="1" applyFont="1" applyFill="1" applyBorder="1" applyAlignment="1">
      <alignment horizontal="left" vertical="center" wrapText="1"/>
    </xf>
    <xf numFmtId="164" fontId="4" fillId="35" borderId="77" xfId="6" applyNumberFormat="1" applyFont="1" applyFill="1" applyBorder="1" applyAlignment="1">
      <alignment horizontal="center" vertical="center" wrapText="1"/>
    </xf>
    <xf numFmtId="164" fontId="3" fillId="0" borderId="22" xfId="6" applyNumberFormat="1" applyFont="1" applyBorder="1" applyAlignment="1">
      <alignment horizontal="right" vertical="center" wrapText="1"/>
    </xf>
    <xf numFmtId="191" fontId="350" fillId="0" borderId="209" xfId="0" applyNumberFormat="1" applyFont="1" applyBorder="1" applyAlignment="1">
      <alignment horizontal="center" vertical="center"/>
    </xf>
    <xf numFmtId="167" fontId="349" fillId="0" borderId="210" xfId="0" applyNumberFormat="1" applyFont="1" applyBorder="1" applyAlignment="1">
      <alignment horizontal="center"/>
    </xf>
    <xf numFmtId="191" fontId="349" fillId="0" borderId="11" xfId="0" applyNumberFormat="1" applyFont="1" applyBorder="1" applyAlignment="1">
      <alignment horizontal="center" vertical="center"/>
    </xf>
    <xf numFmtId="167" fontId="349" fillId="0" borderId="55" xfId="0" applyNumberFormat="1" applyFont="1" applyBorder="1" applyAlignment="1">
      <alignment horizont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67" fontId="131" fillId="0" borderId="55" xfId="0" applyNumberFormat="1" applyFont="1" applyBorder="1" applyAlignment="1">
      <alignment horizontal="center"/>
    </xf>
    <xf numFmtId="191" fontId="366" fillId="0" borderId="11" xfId="0" applyNumberFormat="1" applyFont="1" applyBorder="1" applyAlignment="1">
      <alignment horizontal="center" vertical="center"/>
    </xf>
    <xf numFmtId="167" fontId="360" fillId="0" borderId="55" xfId="0" applyNumberFormat="1" applyFont="1" applyBorder="1" applyAlignment="1">
      <alignment horizontal="center"/>
    </xf>
    <xf numFmtId="191" fontId="349" fillId="0" borderId="12" xfId="0" applyNumberFormat="1" applyFont="1" applyBorder="1" applyAlignment="1">
      <alignment horizontal="center" vertical="center"/>
    </xf>
    <xf numFmtId="167" fontId="349" fillId="0" borderId="57" xfId="0" applyNumberFormat="1" applyFont="1" applyBorder="1" applyAlignment="1">
      <alignment horizontal="center"/>
    </xf>
    <xf numFmtId="191" fontId="350" fillId="0" borderId="211" xfId="0" applyNumberFormat="1" applyFont="1" applyBorder="1" applyAlignment="1">
      <alignment horizontal="center" vertical="center"/>
    </xf>
    <xf numFmtId="167" fontId="350" fillId="0" borderId="212" xfId="0" applyNumberFormat="1" applyFont="1" applyBorder="1" applyAlignment="1">
      <alignment horizont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67" fontId="349" fillId="0" borderId="58" xfId="0" applyNumberFormat="1" applyFont="1" applyBorder="1" applyAlignment="1">
      <alignment horizontal="center"/>
    </xf>
    <xf numFmtId="191" fontId="349" fillId="0" borderId="208" xfId="0" applyNumberFormat="1" applyFont="1" applyBorder="1" applyAlignment="1">
      <alignment horizontal="center" vertical="center"/>
    </xf>
    <xf numFmtId="167" fontId="349" fillId="0" borderId="208" xfId="0" applyNumberFormat="1" applyFont="1" applyBorder="1" applyAlignment="1">
      <alignment horizontal="center"/>
    </xf>
    <xf numFmtId="191" fontId="350" fillId="0" borderId="208" xfId="0" applyNumberFormat="1" applyFont="1" applyBorder="1" applyAlignment="1">
      <alignment horizontal="center" vertical="center"/>
    </xf>
    <xf numFmtId="0" fontId="349" fillId="0" borderId="208" xfId="0" applyFont="1" applyBorder="1"/>
    <xf numFmtId="0" fontId="349" fillId="0" borderId="208" xfId="0" applyFont="1" applyBorder="1" applyAlignment="1">
      <alignment horizontal="center"/>
    </xf>
    <xf numFmtId="0" fontId="350" fillId="0" borderId="208" xfId="0" applyFont="1" applyBorder="1" applyAlignment="1">
      <alignment horizontal="center" vertical="center"/>
    </xf>
    <xf numFmtId="0" fontId="349" fillId="0" borderId="208" xfId="0" applyFont="1" applyBorder="1" applyAlignment="1">
      <alignment horizontal="center" vertical="center"/>
    </xf>
    <xf numFmtId="191" fontId="3" fillId="0" borderId="208" xfId="0" applyNumberFormat="1" applyFont="1" applyBorder="1"/>
    <xf numFmtId="191" fontId="3" fillId="0" borderId="203" xfId="0" applyNumberFormat="1" applyFont="1" applyBorder="1"/>
    <xf numFmtId="164" fontId="3" fillId="0" borderId="208" xfId="6" applyNumberFormat="1" applyFont="1" applyBorder="1"/>
    <xf numFmtId="164" fontId="3" fillId="0" borderId="203" xfId="6" applyNumberFormat="1" applyFont="1" applyBorder="1" applyAlignment="1">
      <alignment vertical="center"/>
    </xf>
    <xf numFmtId="164" fontId="4" fillId="0" borderId="203" xfId="6" applyNumberFormat="1" applyFont="1" applyBorder="1" applyAlignment="1">
      <alignment vertical="center"/>
    </xf>
    <xf numFmtId="164" fontId="4" fillId="0" borderId="60" xfId="6" applyNumberFormat="1" applyFont="1" applyBorder="1" applyAlignment="1">
      <alignment vertical="center"/>
    </xf>
    <xf numFmtId="164" fontId="3" fillId="3" borderId="190" xfId="6" applyNumberFormat="1" applyFont="1" applyFill="1" applyBorder="1" applyAlignment="1">
      <alignment vertical="center"/>
    </xf>
    <xf numFmtId="164" fontId="3" fillId="3" borderId="204" xfId="6" applyNumberFormat="1" applyFont="1" applyFill="1" applyBorder="1" applyAlignment="1">
      <alignment vertical="center"/>
    </xf>
    <xf numFmtId="164" fontId="3" fillId="0" borderId="205" xfId="6" applyNumberFormat="1" applyFont="1" applyBorder="1" applyAlignment="1">
      <alignment vertical="center"/>
    </xf>
    <xf numFmtId="164" fontId="3" fillId="0" borderId="201" xfId="6" applyNumberFormat="1" applyFont="1" applyBorder="1" applyAlignment="1">
      <alignment vertical="center"/>
    </xf>
    <xf numFmtId="164" fontId="4" fillId="0" borderId="201" xfId="6" applyNumberFormat="1" applyFont="1" applyBorder="1" applyAlignment="1">
      <alignment vertical="center"/>
    </xf>
    <xf numFmtId="164" fontId="3" fillId="0" borderId="206" xfId="6" applyNumberFormat="1" applyFont="1" applyBorder="1" applyAlignment="1">
      <alignment vertical="center"/>
    </xf>
    <xf numFmtId="164" fontId="4" fillId="0" borderId="206" xfId="6" applyNumberFormat="1" applyFont="1" applyBorder="1" applyAlignment="1">
      <alignment vertical="center"/>
    </xf>
    <xf numFmtId="164" fontId="4" fillId="0" borderId="205" xfId="6" applyNumberFormat="1" applyFont="1" applyBorder="1" applyAlignment="1">
      <alignment vertical="center"/>
    </xf>
    <xf numFmtId="164" fontId="3" fillId="0" borderId="81" xfId="6" applyNumberFormat="1" applyFont="1" applyBorder="1" applyAlignment="1">
      <alignment vertical="center"/>
    </xf>
    <xf numFmtId="164" fontId="3" fillId="3" borderId="185" xfId="6" applyNumberFormat="1" applyFont="1" applyFill="1" applyBorder="1" applyAlignment="1">
      <alignment vertical="center"/>
    </xf>
    <xf numFmtId="164" fontId="3" fillId="3" borderId="213" xfId="6" applyNumberFormat="1" applyFont="1" applyFill="1" applyBorder="1" applyAlignment="1">
      <alignment vertical="center"/>
    </xf>
    <xf numFmtId="10" fontId="3" fillId="3" borderId="88" xfId="20948" applyNumberFormat="1" applyFont="1" applyFill="1" applyBorder="1" applyAlignment="1">
      <alignment vertical="center"/>
    </xf>
    <xf numFmtId="10" fontId="3" fillId="3" borderId="214" xfId="20948" applyNumberFormat="1" applyFont="1" applyFill="1" applyBorder="1" applyAlignment="1">
      <alignment vertical="center"/>
    </xf>
    <xf numFmtId="164" fontId="3" fillId="3" borderId="25" xfId="6" applyNumberFormat="1" applyFont="1" applyFill="1" applyBorder="1" applyAlignment="1">
      <alignment vertical="center"/>
    </xf>
    <xf numFmtId="164" fontId="4" fillId="3" borderId="25" xfId="0" applyNumberFormat="1" applyFont="1" applyFill="1" applyBorder="1" applyAlignment="1">
      <alignment vertical="center"/>
    </xf>
    <xf numFmtId="164" fontId="4" fillId="3" borderId="49" xfId="0" applyNumberFormat="1" applyFont="1" applyFill="1" applyBorder="1" applyAlignment="1">
      <alignment vertical="center"/>
    </xf>
    <xf numFmtId="3" fontId="130" fillId="151" borderId="208" xfId="4" applyNumberFormat="1" applyFont="1" applyFill="1" applyBorder="1"/>
    <xf numFmtId="164" fontId="130" fillId="3" borderId="188" xfId="6" applyNumberFormat="1" applyFont="1" applyFill="1" applyBorder="1" applyProtection="1">
      <protection locked="0"/>
    </xf>
    <xf numFmtId="38" fontId="93" fillId="0" borderId="92" xfId="6" applyNumberFormat="1" applyFont="1" applyFill="1" applyBorder="1" applyAlignment="1" applyProtection="1">
      <alignment horizontal="right" vertical="center"/>
      <protection locked="0"/>
    </xf>
    <xf numFmtId="10" fontId="93" fillId="0" borderId="92" xfId="20948" applyNumberFormat="1" applyFont="1" applyFill="1" applyBorder="1" applyAlignment="1" applyProtection="1">
      <alignment horizontal="right" vertical="center"/>
      <protection locked="0"/>
    </xf>
    <xf numFmtId="3" fontId="130" fillId="0" borderId="208" xfId="4" applyNumberFormat="1" applyFont="1" applyBorder="1"/>
    <xf numFmtId="164" fontId="4" fillId="0" borderId="208" xfId="6" applyNumberFormat="1" applyFont="1" applyBorder="1"/>
    <xf numFmtId="164" fontId="3" fillId="0" borderId="205" xfId="6" applyNumberFormat="1" applyFont="1" applyBorder="1"/>
    <xf numFmtId="169" fontId="9" fillId="36" borderId="208" xfId="18" applyBorder="1"/>
    <xf numFmtId="164" fontId="3" fillId="0" borderId="208" xfId="6" applyNumberFormat="1" applyFont="1" applyBorder="1" applyAlignment="1"/>
    <xf numFmtId="164" fontId="3" fillId="0" borderId="208" xfId="6" applyNumberFormat="1" applyFont="1" applyBorder="1" applyAlignment="1">
      <alignment horizontal="center"/>
    </xf>
    <xf numFmtId="164" fontId="3" fillId="0" borderId="208" xfId="6" applyNumberFormat="1" applyFont="1" applyFill="1" applyBorder="1"/>
    <xf numFmtId="164" fontId="3" fillId="0" borderId="205" xfId="6" applyNumberFormat="1" applyFont="1" applyFill="1" applyBorder="1"/>
    <xf numFmtId="164" fontId="4" fillId="0" borderId="205" xfId="6" applyNumberFormat="1" applyFont="1" applyBorder="1"/>
    <xf numFmtId="164" fontId="4" fillId="0" borderId="208" xfId="6" applyNumberFormat="1" applyFont="1" applyFill="1" applyBorder="1"/>
    <xf numFmtId="164" fontId="4" fillId="0" borderId="208" xfId="6" applyNumberFormat="1" applyFont="1" applyFill="1" applyBorder="1" applyAlignment="1">
      <alignment vertical="center"/>
    </xf>
    <xf numFmtId="164" fontId="3" fillId="0" borderId="208" xfId="6" applyNumberFormat="1" applyFont="1" applyFill="1" applyBorder="1" applyAlignment="1">
      <alignment vertical="center"/>
    </xf>
    <xf numFmtId="169" fontId="9" fillId="36" borderId="206" xfId="18" applyBorder="1"/>
    <xf numFmtId="169" fontId="9" fillId="36" borderId="215" xfId="18" applyBorder="1"/>
    <xf numFmtId="169" fontId="9" fillId="36" borderId="216" xfId="18" applyBorder="1"/>
    <xf numFmtId="10" fontId="4" fillId="0" borderId="207" xfId="20948" applyNumberFormat="1" applyFont="1" applyBorder="1"/>
    <xf numFmtId="164" fontId="113" fillId="0" borderId="120" xfId="6" applyNumberFormat="1" applyFont="1" applyBorder="1"/>
    <xf numFmtId="164" fontId="110" fillId="0" borderId="120" xfId="6" applyNumberFormat="1" applyFont="1" applyBorder="1"/>
    <xf numFmtId="164" fontId="109" fillId="0" borderId="208" xfId="6" applyNumberFormat="1" applyFont="1" applyBorder="1"/>
    <xf numFmtId="164" fontId="112" fillId="0" borderId="208" xfId="6" applyNumberFormat="1" applyFont="1" applyBorder="1"/>
    <xf numFmtId="164" fontId="109" fillId="0" borderId="120" xfId="6" applyNumberFormat="1" applyFont="1" applyBorder="1"/>
    <xf numFmtId="164" fontId="112" fillId="0" borderId="120" xfId="6" applyNumberFormat="1" applyFont="1" applyBorder="1"/>
    <xf numFmtId="164" fontId="367" fillId="0" borderId="208" xfId="6" applyNumberFormat="1" applyFont="1" applyBorder="1"/>
    <xf numFmtId="164" fontId="368" fillId="0" borderId="208" xfId="6" applyNumberFormat="1" applyFont="1" applyBorder="1"/>
    <xf numFmtId="164" fontId="369" fillId="0" borderId="208" xfId="6" applyNumberFormat="1" applyFont="1" applyBorder="1"/>
    <xf numFmtId="164" fontId="370" fillId="0" borderId="208" xfId="6" applyNumberFormat="1" applyFont="1" applyBorder="1"/>
    <xf numFmtId="0" fontId="109" fillId="0" borderId="208" xfId="0" applyFont="1" applyBorder="1" applyAlignment="1">
      <alignment horizontal="left" indent="1"/>
    </xf>
    <xf numFmtId="164" fontId="109" fillId="0" borderId="208" xfId="0" applyNumberFormat="1" applyFont="1" applyBorder="1" applyAlignment="1">
      <alignment horizontal="left" indent="1"/>
    </xf>
    <xf numFmtId="164" fontId="112" fillId="0" borderId="208" xfId="0" applyNumberFormat="1" applyFont="1" applyBorder="1" applyAlignment="1">
      <alignment horizontal="left" indent="1"/>
    </xf>
    <xf numFmtId="164" fontId="112" fillId="0" borderId="208" xfId="0" applyNumberFormat="1" applyFont="1" applyBorder="1"/>
    <xf numFmtId="0" fontId="109" fillId="0" borderId="208" xfId="0" applyFont="1" applyBorder="1"/>
    <xf numFmtId="0" fontId="112" fillId="0" borderId="208" xfId="0" applyFont="1" applyBorder="1"/>
    <xf numFmtId="0" fontId="112" fillId="151" borderId="208" xfId="0" applyFont="1" applyFill="1" applyBorder="1"/>
    <xf numFmtId="164" fontId="109" fillId="0" borderId="208" xfId="6" applyNumberFormat="1" applyFont="1" applyBorder="1" applyAlignment="1">
      <alignment horizontal="left" indent="1"/>
    </xf>
    <xf numFmtId="164" fontId="112" fillId="0" borderId="63" xfId="6" applyNumberFormat="1" applyFont="1" applyBorder="1"/>
    <xf numFmtId="164" fontId="109" fillId="0" borderId="205" xfId="6" applyNumberFormat="1" applyFont="1" applyBorder="1"/>
    <xf numFmtId="164" fontId="109" fillId="0" borderId="63" xfId="6" applyNumberFormat="1" applyFont="1" applyBorder="1"/>
    <xf numFmtId="164" fontId="112" fillId="0" borderId="202" xfId="6" applyNumberFormat="1" applyFont="1" applyBorder="1" applyAlignment="1">
      <alignment horizontal="left" indent="2"/>
    </xf>
    <xf numFmtId="164" fontId="109" fillId="78" borderId="202" xfId="6" applyNumberFormat="1" applyFont="1" applyFill="1" applyBorder="1"/>
    <xf numFmtId="164" fontId="109" fillId="78" borderId="208" xfId="6" applyNumberFormat="1" applyFont="1" applyFill="1" applyBorder="1"/>
    <xf numFmtId="164" fontId="109" fillId="78" borderId="205" xfId="6" applyNumberFormat="1" applyFont="1" applyFill="1" applyBorder="1"/>
    <xf numFmtId="164" fontId="109" fillId="0" borderId="201" xfId="6" applyNumberFormat="1" applyFont="1" applyBorder="1"/>
    <xf numFmtId="164" fontId="109" fillId="0" borderId="207" xfId="6" applyNumberFormat="1" applyFont="1" applyBorder="1"/>
    <xf numFmtId="164" fontId="112" fillId="0" borderId="208" xfId="0" applyNumberFormat="1" applyFont="1" applyBorder="1" applyAlignment="1">
      <alignment horizontal="left" vertical="center" wrapText="1"/>
    </xf>
    <xf numFmtId="164" fontId="109" fillId="0" borderId="208" xfId="6" applyNumberFormat="1" applyFont="1" applyBorder="1" applyAlignment="1">
      <alignment horizontal="center" vertical="center" wrapText="1"/>
    </xf>
    <xf numFmtId="164" fontId="109" fillId="0" borderId="208" xfId="6" applyNumberFormat="1" applyFont="1" applyBorder="1" applyAlignment="1">
      <alignment horizontal="center" vertical="center"/>
    </xf>
    <xf numFmtId="164" fontId="114" fillId="0" borderId="208" xfId="6" applyNumberFormat="1" applyFont="1" applyBorder="1"/>
    <xf numFmtId="164" fontId="371" fillId="0" borderId="208" xfId="6" applyNumberFormat="1" applyFont="1" applyBorder="1"/>
    <xf numFmtId="10" fontId="114" fillId="0" borderId="208" xfId="20948" applyNumberFormat="1" applyFont="1" applyBorder="1"/>
    <xf numFmtId="43" fontId="114" fillId="0" borderId="208" xfId="6" applyFont="1" applyBorder="1"/>
    <xf numFmtId="10" fontId="372" fillId="0" borderId="208" xfId="20948" applyNumberFormat="1" applyFont="1" applyBorder="1"/>
    <xf numFmtId="164" fontId="114" fillId="0" borderId="195" xfId="6" applyNumberFormat="1" applyFont="1" applyBorder="1"/>
    <xf numFmtId="43" fontId="114" fillId="0" borderId="195" xfId="6" applyFont="1" applyBorder="1"/>
    <xf numFmtId="0" fontId="92" fillId="0" borderId="62" xfId="0" applyFont="1" applyBorder="1" applyAlignment="1">
      <alignment horizontal="left" wrapText="1"/>
    </xf>
    <xf numFmtId="0" fontId="92" fillId="0" borderId="61"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0" fontId="0" fillId="0" borderId="184" xfId="0" applyBorder="1" applyAlignment="1">
      <alignment horizontal="center"/>
    </xf>
    <xf numFmtId="0" fontId="0" fillId="0" borderId="190" xfId="0" applyBorder="1" applyAlignment="1">
      <alignment horizontal="center"/>
    </xf>
    <xf numFmtId="0" fontId="0" fillId="0" borderId="189" xfId="0" applyBorder="1" applyAlignment="1">
      <alignment horizontal="center"/>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Border="1" applyAlignment="1">
      <alignment horizontal="center" vertical="center"/>
    </xf>
    <xf numFmtId="0" fontId="119" fillId="0" borderId="16" xfId="0" applyFont="1" applyBorder="1" applyAlignment="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0" fontId="45" fillId="0" borderId="76" xfId="10" applyFont="1" applyBorder="1" applyAlignment="1">
      <alignment horizontal="center" vertical="center" wrapText="1"/>
    </xf>
    <xf numFmtId="0" fontId="45" fillId="0" borderId="77" xfId="10" applyFont="1" applyBorder="1" applyAlignment="1">
      <alignment horizontal="center" vertical="center" wrapText="1"/>
    </xf>
    <xf numFmtId="0" fontId="45" fillId="0" borderId="66"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20"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7" xfId="0" applyFont="1" applyFill="1" applyBorder="1" applyAlignment="1" applyProtection="1">
      <alignment horizontal="center" vertical="center" wrapText="1"/>
      <protection locked="0"/>
    </xf>
    <xf numFmtId="0" fontId="97" fillId="3" borderId="60"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8" fillId="0" borderId="52" xfId="0" applyFont="1" applyBorder="1" applyAlignment="1">
      <alignment horizontal="left" vertical="center"/>
    </xf>
    <xf numFmtId="0" fontId="98"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12" fillId="0" borderId="97" xfId="0" applyFont="1" applyBorder="1" applyAlignment="1">
      <alignment horizontal="left" vertical="center" wrapText="1"/>
    </xf>
    <xf numFmtId="0" fontId="112" fillId="0" borderId="98" xfId="0" applyFont="1" applyBorder="1" applyAlignment="1">
      <alignment horizontal="left" vertical="center" wrapText="1"/>
    </xf>
    <xf numFmtId="0" fontId="112" fillId="0" borderId="102" xfId="0" applyFont="1" applyBorder="1" applyAlignment="1">
      <alignment horizontal="left" vertical="center" wrapText="1"/>
    </xf>
    <xf numFmtId="0" fontId="112" fillId="0" borderId="103" xfId="0" applyFont="1" applyBorder="1" applyAlignment="1">
      <alignment horizontal="left" vertical="center" wrapText="1"/>
    </xf>
    <xf numFmtId="0" fontId="112" fillId="0" borderId="105" xfId="0" applyFont="1" applyBorder="1" applyAlignment="1">
      <alignment horizontal="left" vertical="center" wrapText="1"/>
    </xf>
    <xf numFmtId="0" fontId="112" fillId="0" borderId="106" xfId="0" applyFont="1" applyBorder="1" applyAlignment="1">
      <alignment horizontal="left" vertical="center" wrapText="1"/>
    </xf>
    <xf numFmtId="0" fontId="113" fillId="0" borderId="99" xfId="0" applyFont="1" applyBorder="1" applyAlignment="1">
      <alignment horizontal="center" vertical="center" wrapText="1"/>
    </xf>
    <xf numFmtId="0" fontId="113" fillId="0" borderId="100" xfId="0" applyFont="1" applyBorder="1" applyAlignment="1">
      <alignment horizontal="center" vertical="center" wrapText="1"/>
    </xf>
    <xf numFmtId="0" fontId="113" fillId="0" borderId="101" xfId="0" applyFont="1" applyBorder="1" applyAlignment="1">
      <alignment horizontal="center" vertical="center" wrapText="1"/>
    </xf>
    <xf numFmtId="0" fontId="113" fillId="0" borderId="81"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71" xfId="0" applyFont="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Border="1" applyAlignment="1">
      <alignment horizontal="center" vertical="center"/>
    </xf>
    <xf numFmtId="0" fontId="117" fillId="0" borderId="99" xfId="0" applyFont="1" applyBorder="1" applyAlignment="1">
      <alignment horizontal="center" vertical="center"/>
    </xf>
    <xf numFmtId="0" fontId="117" fillId="0" borderId="101" xfId="0" applyFont="1" applyBorder="1" applyAlignment="1">
      <alignment horizontal="center" vertical="center"/>
    </xf>
    <xf numFmtId="0" fontId="117" fillId="0" borderId="81" xfId="0" applyFont="1" applyBorder="1" applyAlignment="1">
      <alignment horizontal="center" vertical="center"/>
    </xf>
    <xf numFmtId="0" fontId="117" fillId="0" borderId="71" xfId="0" applyFont="1" applyBorder="1" applyAlignment="1">
      <alignment horizontal="center" vertical="center"/>
    </xf>
    <xf numFmtId="0" fontId="113" fillId="0" borderId="120" xfId="0" applyFont="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Border="1" applyAlignment="1">
      <alignment horizontal="center" vertical="center" wrapText="1"/>
    </xf>
    <xf numFmtId="0" fontId="112" fillId="0" borderId="101" xfId="0" applyFont="1" applyBorder="1" applyAlignment="1">
      <alignment horizontal="center" vertical="center" wrapText="1"/>
    </xf>
    <xf numFmtId="0" fontId="112" fillId="0" borderId="66" xfId="0" applyFont="1" applyBorder="1" applyAlignment="1">
      <alignment horizontal="center" vertical="center" wrapText="1"/>
    </xf>
    <xf numFmtId="0" fontId="112" fillId="0" borderId="64"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71" xfId="0" applyFont="1" applyBorder="1" applyAlignment="1">
      <alignment horizontal="center" vertical="center" wrapText="1"/>
    </xf>
    <xf numFmtId="0" fontId="109" fillId="0" borderId="121" xfId="0" applyFont="1" applyBorder="1" applyAlignment="1">
      <alignment horizontal="center" vertical="center" wrapText="1"/>
    </xf>
    <xf numFmtId="0" fontId="109" fillId="0" borderId="122" xfId="0" applyFont="1" applyBorder="1" applyAlignment="1">
      <alignment horizontal="center" vertical="center" wrapText="1"/>
    </xf>
    <xf numFmtId="0" fontId="112" fillId="0" borderId="72"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72" xfId="0" applyFont="1" applyBorder="1" applyAlignment="1">
      <alignment horizontal="center" vertical="center" wrapText="1"/>
    </xf>
    <xf numFmtId="0" fontId="109" fillId="0" borderId="71" xfId="0" applyFont="1" applyBorder="1" applyAlignment="1">
      <alignment horizontal="center" vertical="center" wrapText="1"/>
    </xf>
    <xf numFmtId="0" fontId="112" fillId="0" borderId="52" xfId="0" applyFont="1" applyBorder="1" applyAlignment="1">
      <alignment horizontal="left" vertical="top" wrapText="1"/>
    </xf>
    <xf numFmtId="0" fontId="112" fillId="0" borderId="73" xfId="0" applyFont="1" applyBorder="1" applyAlignment="1">
      <alignment horizontal="left" vertical="top" wrapText="1"/>
    </xf>
    <xf numFmtId="0" fontId="112" fillId="0" borderId="59" xfId="0" applyFont="1" applyBorder="1" applyAlignment="1">
      <alignment horizontal="left" vertical="top" wrapText="1"/>
    </xf>
    <xf numFmtId="0" fontId="112" fillId="0" borderId="89" xfId="0" applyFont="1" applyBorder="1" applyAlignment="1">
      <alignment horizontal="left" vertical="top" wrapText="1"/>
    </xf>
    <xf numFmtId="0" fontId="112" fillId="0" borderId="96" xfId="0" applyFont="1" applyBorder="1" applyAlignment="1">
      <alignment horizontal="left" vertical="top" wrapText="1"/>
    </xf>
    <xf numFmtId="0" fontId="112" fillId="0" borderId="127" xfId="0" applyFont="1" applyBorder="1" applyAlignment="1">
      <alignment horizontal="left" vertical="top" wrapText="1"/>
    </xf>
    <xf numFmtId="0" fontId="112" fillId="0" borderId="82" xfId="0" applyFont="1" applyBorder="1" applyAlignment="1">
      <alignment horizontal="center" vertical="center" wrapText="1"/>
    </xf>
    <xf numFmtId="0" fontId="112" fillId="0" borderId="63" xfId="0" applyFont="1" applyBorder="1" applyAlignment="1">
      <alignment horizontal="center" vertical="center" wrapText="1"/>
    </xf>
    <xf numFmtId="0" fontId="109" fillId="0" borderId="60" xfId="0" applyFont="1" applyBorder="1" applyAlignment="1">
      <alignment horizontal="center" vertical="center" wrapText="1"/>
    </xf>
    <xf numFmtId="0" fontId="109" fillId="0" borderId="65" xfId="0" applyFont="1" applyBorder="1" applyAlignment="1">
      <alignment horizontal="center" vertical="center" wrapText="1"/>
    </xf>
    <xf numFmtId="0" fontId="109" fillId="0" borderId="26" xfId="0" applyFont="1" applyBorder="1" applyAlignment="1">
      <alignment horizontal="center" vertical="center" wrapText="1"/>
    </xf>
    <xf numFmtId="0" fontId="109" fillId="0" borderId="27" xfId="0" applyFont="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122" xfId="0" applyFont="1" applyBorder="1" applyAlignment="1">
      <alignment horizontal="center" vertical="top" wrapText="1"/>
    </xf>
    <xf numFmtId="0" fontId="109" fillId="0" borderId="123" xfId="0" applyFont="1" applyBorder="1" applyAlignment="1">
      <alignment horizontal="center" vertical="top" wrapText="1"/>
    </xf>
    <xf numFmtId="0" fontId="129" fillId="0" borderId="112" xfId="0" applyFont="1" applyBorder="1" applyAlignment="1">
      <alignment horizontal="left" vertical="top" wrapText="1"/>
    </xf>
    <xf numFmtId="0" fontId="129" fillId="0" borderId="113" xfId="0" applyFont="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1" xfId="0" applyFont="1" applyBorder="1" applyAlignment="1">
      <alignment horizontal="center" vertical="center"/>
    </xf>
    <xf numFmtId="0" fontId="115" fillId="0" borderId="71"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xf numFmtId="0" fontId="93" fillId="0" borderId="202" xfId="0" applyFont="1" applyBorder="1" applyAlignment="1">
      <alignment vertical="center"/>
    </xf>
    <xf numFmtId="0" fontId="93" fillId="0" borderId="217" xfId="0" applyFont="1" applyBorder="1"/>
    <xf numFmtId="0" fontId="93" fillId="0" borderId="82" xfId="0" applyFont="1" applyBorder="1"/>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redo.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21875" defaultRowHeight="13.8"/>
  <cols>
    <col min="1" max="1" width="10.21875" style="7" customWidth="1"/>
    <col min="2" max="2" width="138.33203125" style="8" bestFit="1" customWidth="1"/>
    <col min="3" max="3" width="39.44140625" style="8" customWidth="1"/>
    <col min="4" max="6" width="9.21875" style="8"/>
    <col min="7" max="7" width="25" style="8" customWidth="1"/>
    <col min="8" max="16384" width="9.21875" style="8"/>
  </cols>
  <sheetData>
    <row r="1" spans="1:3">
      <c r="A1" s="101"/>
      <c r="B1" s="107" t="s">
        <v>210</v>
      </c>
      <c r="C1" s="101"/>
    </row>
    <row r="2" spans="1:3">
      <c r="A2" s="108">
        <v>1</v>
      </c>
      <c r="B2" s="222" t="s">
        <v>211</v>
      </c>
      <c r="C2" s="3" t="s">
        <v>754</v>
      </c>
    </row>
    <row r="3" spans="1:3" ht="15">
      <c r="A3" s="108">
        <v>2</v>
      </c>
      <c r="B3" s="223" t="s">
        <v>207</v>
      </c>
      <c r="C3" s="2" t="s">
        <v>755</v>
      </c>
    </row>
    <row r="4" spans="1:3">
      <c r="A4" s="108">
        <v>3</v>
      </c>
      <c r="B4" s="224" t="s">
        <v>212</v>
      </c>
      <c r="C4" s="3" t="s">
        <v>756</v>
      </c>
    </row>
    <row r="5" spans="1:3">
      <c r="A5" s="109">
        <v>4</v>
      </c>
      <c r="B5" s="225" t="s">
        <v>208</v>
      </c>
      <c r="C5" s="1" t="s">
        <v>757</v>
      </c>
    </row>
    <row r="6" spans="1:3" s="110" customFormat="1" ht="45.75" customHeight="1">
      <c r="A6" s="719" t="s">
        <v>284</v>
      </c>
      <c r="B6" s="720"/>
      <c r="C6" s="720"/>
    </row>
    <row r="7" spans="1:3">
      <c r="A7" s="111" t="s">
        <v>30</v>
      </c>
      <c r="B7" s="107" t="s">
        <v>209</v>
      </c>
    </row>
    <row r="8" spans="1:3">
      <c r="A8" s="101">
        <v>1</v>
      </c>
      <c r="B8" s="140" t="s">
        <v>21</v>
      </c>
    </row>
    <row r="9" spans="1:3">
      <c r="A9" s="101">
        <v>2</v>
      </c>
      <c r="B9" s="141" t="s">
        <v>22</v>
      </c>
    </row>
    <row r="10" spans="1:3">
      <c r="A10" s="101">
        <v>3</v>
      </c>
      <c r="B10" s="141" t="s">
        <v>23</v>
      </c>
    </row>
    <row r="11" spans="1:3">
      <c r="A11" s="101">
        <v>4</v>
      </c>
      <c r="B11" s="141" t="s">
        <v>24</v>
      </c>
    </row>
    <row r="12" spans="1:3">
      <c r="A12" s="101">
        <v>5</v>
      </c>
      <c r="B12" s="141" t="s">
        <v>25</v>
      </c>
    </row>
    <row r="13" spans="1:3">
      <c r="A13" s="101">
        <v>6</v>
      </c>
      <c r="B13" s="142" t="s">
        <v>219</v>
      </c>
    </row>
    <row r="14" spans="1:3">
      <c r="A14" s="101">
        <v>7</v>
      </c>
      <c r="B14" s="141" t="s">
        <v>213</v>
      </c>
    </row>
    <row r="15" spans="1:3">
      <c r="A15" s="101">
        <v>8</v>
      </c>
      <c r="B15" s="141" t="s">
        <v>214</v>
      </c>
    </row>
    <row r="16" spans="1:3">
      <c r="A16" s="101">
        <v>9</v>
      </c>
      <c r="B16" s="141" t="s">
        <v>26</v>
      </c>
    </row>
    <row r="17" spans="1:2">
      <c r="A17" s="221" t="s">
        <v>283</v>
      </c>
      <c r="B17" s="220" t="s">
        <v>270</v>
      </c>
    </row>
    <row r="18" spans="1:2">
      <c r="A18" s="221" t="s">
        <v>711</v>
      </c>
      <c r="B18" s="520" t="s">
        <v>713</v>
      </c>
    </row>
    <row r="19" spans="1:2">
      <c r="A19" s="521" t="s">
        <v>712</v>
      </c>
      <c r="B19" s="520" t="s">
        <v>714</v>
      </c>
    </row>
    <row r="20" spans="1:2">
      <c r="A20" s="101">
        <v>10</v>
      </c>
      <c r="B20" s="141" t="s">
        <v>27</v>
      </c>
    </row>
    <row r="21" spans="1:2">
      <c r="A21" s="101">
        <v>11</v>
      </c>
      <c r="B21" s="142" t="s">
        <v>215</v>
      </c>
    </row>
    <row r="22" spans="1:2">
      <c r="A22" s="101">
        <v>12</v>
      </c>
      <c r="B22" s="142" t="s">
        <v>28</v>
      </c>
    </row>
    <row r="23" spans="1:2">
      <c r="A23" s="241">
        <v>13</v>
      </c>
      <c r="B23" s="242" t="s">
        <v>216</v>
      </c>
    </row>
    <row r="24" spans="1:2">
      <c r="A24" s="241">
        <v>14</v>
      </c>
      <c r="B24" s="243" t="s">
        <v>241</v>
      </c>
    </row>
    <row r="25" spans="1:2">
      <c r="A25" s="241">
        <v>15</v>
      </c>
      <c r="B25" s="244" t="s">
        <v>29</v>
      </c>
    </row>
    <row r="26" spans="1:2">
      <c r="A26" s="241">
        <v>15.1</v>
      </c>
      <c r="B26" s="245" t="s">
        <v>297</v>
      </c>
    </row>
    <row r="27" spans="1:2">
      <c r="A27" s="522">
        <v>15.2</v>
      </c>
      <c r="B27" s="520" t="s">
        <v>716</v>
      </c>
    </row>
    <row r="28" spans="1:2">
      <c r="A28" s="241">
        <v>16</v>
      </c>
      <c r="B28" s="245" t="s">
        <v>338</v>
      </c>
    </row>
    <row r="29" spans="1:2">
      <c r="A29" s="241">
        <v>17</v>
      </c>
      <c r="B29" s="245" t="s">
        <v>379</v>
      </c>
    </row>
    <row r="30" spans="1:2">
      <c r="A30" s="241">
        <v>18</v>
      </c>
      <c r="B30" s="245" t="s">
        <v>666</v>
      </c>
    </row>
    <row r="31" spans="1:2">
      <c r="A31" s="241">
        <v>19</v>
      </c>
      <c r="B31" s="245" t="s">
        <v>667</v>
      </c>
    </row>
    <row r="32" spans="1:2">
      <c r="A32" s="241">
        <v>20</v>
      </c>
      <c r="B32" s="302" t="s">
        <v>668</v>
      </c>
    </row>
    <row r="33" spans="1:2">
      <c r="A33" s="241">
        <v>21</v>
      </c>
      <c r="B33" s="245" t="s">
        <v>495</v>
      </c>
    </row>
    <row r="34" spans="1:2">
      <c r="A34" s="241">
        <v>22</v>
      </c>
      <c r="B34" s="245" t="s">
        <v>669</v>
      </c>
    </row>
    <row r="35" spans="1:2">
      <c r="A35" s="241">
        <v>23</v>
      </c>
      <c r="B35" s="245" t="s">
        <v>670</v>
      </c>
    </row>
    <row r="36" spans="1:2">
      <c r="A36" s="241">
        <v>24</v>
      </c>
      <c r="B36" s="245" t="s">
        <v>671</v>
      </c>
    </row>
    <row r="37" spans="1:2">
      <c r="A37" s="241">
        <v>25</v>
      </c>
      <c r="B37" s="245" t="s">
        <v>380</v>
      </c>
    </row>
    <row r="38" spans="1:2">
      <c r="A38" s="241">
        <v>26</v>
      </c>
      <c r="B38" s="245" t="s">
        <v>517</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1C226ACC-2A1E-44E5-9693-77BB6C257D2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11" activePane="bottomRight" state="frozen"/>
      <selection activeCell="B19" sqref="B19"/>
      <selection pane="topRight" activeCell="B19" sqref="B19"/>
      <selection pane="bottomLeft" activeCell="B19" sqref="B19"/>
      <selection pane="bottomRight" activeCell="C45" sqref="C45"/>
    </sheetView>
  </sheetViews>
  <sheetFormatPr defaultColWidth="9.21875" defaultRowHeight="13.2"/>
  <cols>
    <col min="1" max="1" width="9.5546875" style="7" bestFit="1" customWidth="1"/>
    <col min="2" max="2" width="132.44140625" style="7" customWidth="1"/>
    <col min="3" max="3" width="18.44140625" style="7" customWidth="1"/>
    <col min="4" max="16384" width="9.21875" style="7"/>
  </cols>
  <sheetData>
    <row r="1" spans="1:3">
      <c r="A1" s="5" t="s">
        <v>31</v>
      </c>
      <c r="B1" s="6" t="str">
        <f>'Info '!C2</f>
        <v>JSC "CREDOBANK"</v>
      </c>
    </row>
    <row r="2" spans="1:3" s="5" customFormat="1" ht="15.75" customHeight="1">
      <c r="A2" s="5" t="s">
        <v>32</v>
      </c>
      <c r="B2" s="261">
        <f>'1. key ratios '!B2</f>
        <v>45930</v>
      </c>
    </row>
    <row r="3" spans="1:3" s="5" customFormat="1" ht="15.75" customHeight="1"/>
    <row r="4" spans="1:3" ht="13.8" thickBot="1">
      <c r="A4" s="7" t="s">
        <v>144</v>
      </c>
      <c r="B4" s="83" t="s">
        <v>143</v>
      </c>
    </row>
    <row r="5" spans="1:3">
      <c r="A5" s="46" t="s">
        <v>7</v>
      </c>
      <c r="B5" s="47"/>
      <c r="C5" s="48" t="s">
        <v>36</v>
      </c>
    </row>
    <row r="6" spans="1:3">
      <c r="A6" s="49">
        <v>1</v>
      </c>
      <c r="B6" s="50" t="s">
        <v>142</v>
      </c>
      <c r="C6" s="51">
        <f>SUM(C7:C11)</f>
        <v>444751415.98331797</v>
      </c>
    </row>
    <row r="7" spans="1:3">
      <c r="A7" s="49">
        <v>2</v>
      </c>
      <c r="B7" s="52" t="s">
        <v>141</v>
      </c>
      <c r="C7" s="53">
        <v>5270620</v>
      </c>
    </row>
    <row r="8" spans="1:3">
      <c r="A8" s="49">
        <v>3</v>
      </c>
      <c r="B8" s="54" t="s">
        <v>140</v>
      </c>
      <c r="C8" s="53">
        <v>41797125.479999997</v>
      </c>
    </row>
    <row r="9" spans="1:3">
      <c r="A9" s="49">
        <v>4</v>
      </c>
      <c r="B9" s="54" t="s">
        <v>139</v>
      </c>
      <c r="C9" s="53"/>
    </row>
    <row r="10" spans="1:3">
      <c r="A10" s="49">
        <v>5</v>
      </c>
      <c r="B10" s="54" t="s">
        <v>138</v>
      </c>
      <c r="C10" s="53"/>
    </row>
    <row r="11" spans="1:3">
      <c r="A11" s="49">
        <v>6</v>
      </c>
      <c r="B11" s="55" t="s">
        <v>137</v>
      </c>
      <c r="C11" s="53">
        <v>397683670.50331795</v>
      </c>
    </row>
    <row r="12" spans="1:3" s="29" customFormat="1">
      <c r="A12" s="49">
        <v>7</v>
      </c>
      <c r="B12" s="50" t="s">
        <v>136</v>
      </c>
      <c r="C12" s="56">
        <f>SUM(C13:C28)</f>
        <v>37235905.250000007</v>
      </c>
    </row>
    <row r="13" spans="1:3" s="29" customFormat="1">
      <c r="A13" s="49">
        <v>8</v>
      </c>
      <c r="B13" s="57" t="s">
        <v>135</v>
      </c>
      <c r="C13" s="58"/>
    </row>
    <row r="14" spans="1:3" s="29" customFormat="1" ht="26.4">
      <c r="A14" s="49">
        <v>9</v>
      </c>
      <c r="B14" s="59" t="s">
        <v>134</v>
      </c>
      <c r="C14" s="58"/>
    </row>
    <row r="15" spans="1:3" s="29" customFormat="1">
      <c r="A15" s="49">
        <v>10</v>
      </c>
      <c r="B15" s="60" t="s">
        <v>133</v>
      </c>
      <c r="C15" s="610">
        <v>37235905.250000007</v>
      </c>
    </row>
    <row r="16" spans="1:3" s="29" customFormat="1">
      <c r="A16" s="49">
        <v>11</v>
      </c>
      <c r="B16" s="61" t="s">
        <v>132</v>
      </c>
      <c r="C16" s="58"/>
    </row>
    <row r="17" spans="1:3" s="29" customFormat="1">
      <c r="A17" s="49">
        <v>12</v>
      </c>
      <c r="B17" s="60" t="s">
        <v>131</v>
      </c>
      <c r="C17" s="58"/>
    </row>
    <row r="18" spans="1:3" s="29" customFormat="1">
      <c r="A18" s="49">
        <v>13</v>
      </c>
      <c r="B18" s="60" t="s">
        <v>130</v>
      </c>
      <c r="C18" s="58"/>
    </row>
    <row r="19" spans="1:3" s="29" customFormat="1">
      <c r="A19" s="49">
        <v>14</v>
      </c>
      <c r="B19" s="60" t="s">
        <v>129</v>
      </c>
      <c r="C19" s="58"/>
    </row>
    <row r="20" spans="1:3" s="29" customFormat="1">
      <c r="A20" s="49">
        <v>15</v>
      </c>
      <c r="B20" s="60" t="s">
        <v>128</v>
      </c>
      <c r="C20" s="58"/>
    </row>
    <row r="21" spans="1:3" s="29" customFormat="1" ht="26.4">
      <c r="A21" s="49">
        <v>16</v>
      </c>
      <c r="B21" s="59" t="s">
        <v>127</v>
      </c>
      <c r="C21" s="58"/>
    </row>
    <row r="22" spans="1:3" s="29" customFormat="1">
      <c r="A22" s="49">
        <v>17</v>
      </c>
      <c r="B22" s="62" t="s">
        <v>126</v>
      </c>
      <c r="C22" s="58"/>
    </row>
    <row r="23" spans="1:3" s="29" customFormat="1">
      <c r="A23" s="49">
        <v>18</v>
      </c>
      <c r="B23" s="62" t="s">
        <v>518</v>
      </c>
      <c r="C23" s="304"/>
    </row>
    <row r="24" spans="1:3" s="29" customFormat="1">
      <c r="A24" s="49">
        <v>19</v>
      </c>
      <c r="B24" s="59" t="s">
        <v>125</v>
      </c>
      <c r="C24" s="58"/>
    </row>
    <row r="25" spans="1:3" s="29" customFormat="1" ht="26.4">
      <c r="A25" s="49">
        <v>20</v>
      </c>
      <c r="B25" s="59" t="s">
        <v>102</v>
      </c>
      <c r="C25" s="58"/>
    </row>
    <row r="26" spans="1:3" s="29" customFormat="1">
      <c r="A26" s="49">
        <v>21</v>
      </c>
      <c r="B26" s="61" t="s">
        <v>124</v>
      </c>
      <c r="C26" s="58"/>
    </row>
    <row r="27" spans="1:3" s="29" customFormat="1">
      <c r="A27" s="49">
        <v>22</v>
      </c>
      <c r="B27" s="61" t="s">
        <v>123</v>
      </c>
      <c r="C27" s="58"/>
    </row>
    <row r="28" spans="1:3" s="29" customFormat="1">
      <c r="A28" s="49">
        <v>23</v>
      </c>
      <c r="B28" s="61" t="s">
        <v>122</v>
      </c>
      <c r="C28" s="58"/>
    </row>
    <row r="29" spans="1:3" s="29" customFormat="1">
      <c r="A29" s="49">
        <v>24</v>
      </c>
      <c r="B29" s="63" t="s">
        <v>121</v>
      </c>
      <c r="C29" s="56">
        <f>C6-C12</f>
        <v>407515510.73331797</v>
      </c>
    </row>
    <row r="30" spans="1:3" s="29" customFormat="1">
      <c r="A30" s="64"/>
      <c r="B30" s="65"/>
      <c r="C30" s="58"/>
    </row>
    <row r="31" spans="1:3" s="29" customFormat="1">
      <c r="A31" s="64">
        <v>25</v>
      </c>
      <c r="B31" s="63" t="s">
        <v>120</v>
      </c>
      <c r="C31" s="56">
        <f>C32+C35</f>
        <v>13544000</v>
      </c>
    </row>
    <row r="32" spans="1:3" s="29" customFormat="1">
      <c r="A32" s="64">
        <v>26</v>
      </c>
      <c r="B32" s="54" t="s">
        <v>119</v>
      </c>
      <c r="C32" s="66">
        <f>C33+C34</f>
        <v>13544000</v>
      </c>
    </row>
    <row r="33" spans="1:3" s="29" customFormat="1">
      <c r="A33" s="64">
        <v>27</v>
      </c>
      <c r="B33" s="67" t="s">
        <v>180</v>
      </c>
      <c r="C33" s="58"/>
    </row>
    <row r="34" spans="1:3" s="29" customFormat="1">
      <c r="A34" s="64">
        <v>28</v>
      </c>
      <c r="B34" s="67" t="s">
        <v>118</v>
      </c>
      <c r="C34" s="58">
        <v>13544000</v>
      </c>
    </row>
    <row r="35" spans="1:3" s="29" customFormat="1">
      <c r="A35" s="64">
        <v>29</v>
      </c>
      <c r="B35" s="54" t="s">
        <v>117</v>
      </c>
      <c r="C35" s="58"/>
    </row>
    <row r="36" spans="1:3" s="29" customFormat="1">
      <c r="A36" s="64">
        <v>30</v>
      </c>
      <c r="B36" s="63" t="s">
        <v>116</v>
      </c>
      <c r="C36" s="56">
        <f>SUM(C37:C41)</f>
        <v>0</v>
      </c>
    </row>
    <row r="37" spans="1:3" s="29" customFormat="1">
      <c r="A37" s="64">
        <v>31</v>
      </c>
      <c r="B37" s="59" t="s">
        <v>115</v>
      </c>
      <c r="C37" s="58"/>
    </row>
    <row r="38" spans="1:3" s="29" customFormat="1">
      <c r="A38" s="64">
        <v>32</v>
      </c>
      <c r="B38" s="60" t="s">
        <v>114</v>
      </c>
      <c r="C38" s="58"/>
    </row>
    <row r="39" spans="1:3" s="29" customFormat="1">
      <c r="A39" s="64">
        <v>33</v>
      </c>
      <c r="B39" s="59" t="s">
        <v>113</v>
      </c>
      <c r="C39" s="58"/>
    </row>
    <row r="40" spans="1:3" s="29" customFormat="1" ht="26.4">
      <c r="A40" s="64">
        <v>34</v>
      </c>
      <c r="B40" s="59" t="s">
        <v>102</v>
      </c>
      <c r="C40" s="58"/>
    </row>
    <row r="41" spans="1:3" s="29" customFormat="1">
      <c r="A41" s="64">
        <v>35</v>
      </c>
      <c r="B41" s="61" t="s">
        <v>112</v>
      </c>
      <c r="C41" s="58"/>
    </row>
    <row r="42" spans="1:3" s="29" customFormat="1">
      <c r="A42" s="64">
        <v>36</v>
      </c>
      <c r="B42" s="63" t="s">
        <v>111</v>
      </c>
      <c r="C42" s="56">
        <f>C31-C36</f>
        <v>13544000</v>
      </c>
    </row>
    <row r="43" spans="1:3" s="29" customFormat="1">
      <c r="A43" s="64"/>
      <c r="B43" s="65"/>
      <c r="C43" s="58"/>
    </row>
    <row r="44" spans="1:3" s="29" customFormat="1">
      <c r="A44" s="64">
        <v>37</v>
      </c>
      <c r="B44" s="68" t="s">
        <v>110</v>
      </c>
      <c r="C44" s="56">
        <f>SUM(C45:C47)</f>
        <v>109557573.44000001</v>
      </c>
    </row>
    <row r="45" spans="1:3" s="29" customFormat="1">
      <c r="A45" s="64">
        <v>38</v>
      </c>
      <c r="B45" s="54" t="s">
        <v>109</v>
      </c>
      <c r="C45" s="58">
        <v>109557573.44000001</v>
      </c>
    </row>
    <row r="46" spans="1:3" s="29" customFormat="1">
      <c r="A46" s="64">
        <v>39</v>
      </c>
      <c r="B46" s="54" t="s">
        <v>108</v>
      </c>
      <c r="C46" s="58"/>
    </row>
    <row r="47" spans="1:3" s="29" customFormat="1">
      <c r="A47" s="64">
        <v>40</v>
      </c>
      <c r="B47" s="54" t="s">
        <v>107</v>
      </c>
      <c r="C47" s="58"/>
    </row>
    <row r="48" spans="1:3" s="29" customFormat="1">
      <c r="A48" s="64">
        <v>41</v>
      </c>
      <c r="B48" s="68" t="s">
        <v>106</v>
      </c>
      <c r="C48" s="56">
        <f>SUM(C49:C52)</f>
        <v>0</v>
      </c>
    </row>
    <row r="49" spans="1:3" s="29" customFormat="1">
      <c r="A49" s="64">
        <v>42</v>
      </c>
      <c r="B49" s="59" t="s">
        <v>105</v>
      </c>
      <c r="C49" s="58"/>
    </row>
    <row r="50" spans="1:3" s="29" customFormat="1">
      <c r="A50" s="64">
        <v>43</v>
      </c>
      <c r="B50" s="60" t="s">
        <v>104</v>
      </c>
      <c r="C50" s="58"/>
    </row>
    <row r="51" spans="1:3" s="29" customFormat="1">
      <c r="A51" s="64">
        <v>44</v>
      </c>
      <c r="B51" s="59" t="s">
        <v>103</v>
      </c>
      <c r="C51" s="58"/>
    </row>
    <row r="52" spans="1:3" s="29" customFormat="1" ht="26.4">
      <c r="A52" s="64">
        <v>45</v>
      </c>
      <c r="B52" s="59" t="s">
        <v>102</v>
      </c>
      <c r="C52" s="58"/>
    </row>
    <row r="53" spans="1:3" s="29" customFormat="1" ht="13.8" thickBot="1">
      <c r="A53" s="64">
        <v>46</v>
      </c>
      <c r="B53" s="69" t="s">
        <v>101</v>
      </c>
      <c r="C53" s="70">
        <f>C44-C48</f>
        <v>109557573.44000001</v>
      </c>
    </row>
    <row r="56" spans="1:3">
      <c r="B56" s="7" t="s">
        <v>8</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G18" sqref="G18"/>
    </sheetView>
  </sheetViews>
  <sheetFormatPr defaultColWidth="9.21875" defaultRowHeight="13.8"/>
  <cols>
    <col min="1" max="1" width="9.44140625" style="132" bestFit="1" customWidth="1"/>
    <col min="2" max="2" width="59" style="132" customWidth="1"/>
    <col min="3" max="3" width="16.77734375" style="132" bestFit="1" customWidth="1"/>
    <col min="4" max="4" width="14.33203125" style="132" bestFit="1" customWidth="1"/>
    <col min="5" max="16384" width="9.21875" style="132"/>
  </cols>
  <sheetData>
    <row r="1" spans="1:4">
      <c r="A1" s="130" t="s">
        <v>31</v>
      </c>
      <c r="B1" s="6" t="str">
        <f>'Info '!C2</f>
        <v>JSC "CREDOBANK"</v>
      </c>
    </row>
    <row r="2" spans="1:4" s="130" customFormat="1" ht="15.75" customHeight="1">
      <c r="A2" s="130" t="s">
        <v>32</v>
      </c>
      <c r="B2" s="261">
        <f>'1. key ratios '!B2</f>
        <v>45930</v>
      </c>
    </row>
    <row r="3" spans="1:4" s="130" customFormat="1" ht="15.75" customHeight="1"/>
    <row r="4" spans="1:4" ht="14.4" thickBot="1">
      <c r="A4" s="132" t="s">
        <v>269</v>
      </c>
      <c r="B4" s="210" t="s">
        <v>270</v>
      </c>
    </row>
    <row r="5" spans="1:4" s="137" customFormat="1" ht="12.75" customHeight="1">
      <c r="A5" s="239"/>
      <c r="B5" s="240" t="s">
        <v>273</v>
      </c>
      <c r="C5" s="203" t="s">
        <v>271</v>
      </c>
      <c r="D5" s="204" t="s">
        <v>272</v>
      </c>
    </row>
    <row r="6" spans="1:4" s="211" customFormat="1">
      <c r="A6" s="205">
        <v>1</v>
      </c>
      <c r="B6" s="235" t="s">
        <v>274</v>
      </c>
      <c r="C6" s="235"/>
      <c r="D6" s="206"/>
    </row>
    <row r="7" spans="1:4" s="211" customFormat="1">
      <c r="A7" s="207" t="s">
        <v>260</v>
      </c>
      <c r="B7" s="236" t="s">
        <v>275</v>
      </c>
      <c r="C7" s="228">
        <v>4.4999999999999998E-2</v>
      </c>
      <c r="D7" s="612">
        <f>C7*'5. RWA '!$C$13</f>
        <v>134507302.62466922</v>
      </c>
    </row>
    <row r="8" spans="1:4" s="211" customFormat="1">
      <c r="A8" s="207" t="s">
        <v>261</v>
      </c>
      <c r="B8" s="236" t="s">
        <v>276</v>
      </c>
      <c r="C8" s="229">
        <v>0.06</v>
      </c>
      <c r="D8" s="612">
        <f>C8*'5. RWA '!$C$13</f>
        <v>179343070.16622561</v>
      </c>
    </row>
    <row r="9" spans="1:4" s="211" customFormat="1">
      <c r="A9" s="207" t="s">
        <v>262</v>
      </c>
      <c r="B9" s="236" t="s">
        <v>277</v>
      </c>
      <c r="C9" s="229">
        <v>0.08</v>
      </c>
      <c r="D9" s="612">
        <f>C9*'5. RWA '!$C$13</f>
        <v>239124093.55496749</v>
      </c>
    </row>
    <row r="10" spans="1:4" s="211" customFormat="1">
      <c r="A10" s="205" t="s">
        <v>263</v>
      </c>
      <c r="B10" s="235" t="s">
        <v>278</v>
      </c>
      <c r="C10" s="230"/>
      <c r="D10" s="613"/>
    </row>
    <row r="11" spans="1:4" s="212" customFormat="1">
      <c r="A11" s="208" t="s">
        <v>264</v>
      </c>
      <c r="B11" s="227" t="s">
        <v>747</v>
      </c>
      <c r="C11" s="611">
        <v>2.5000000000000001E-2</v>
      </c>
      <c r="D11" s="612">
        <f>C11*'5. RWA '!$C$13</f>
        <v>74726279.235927343</v>
      </c>
    </row>
    <row r="12" spans="1:4" s="212" customFormat="1">
      <c r="A12" s="208" t="s">
        <v>265</v>
      </c>
      <c r="B12" s="227" t="s">
        <v>279</v>
      </c>
      <c r="C12" s="611">
        <v>5.0000000000000001E-3</v>
      </c>
      <c r="D12" s="612">
        <f>C12*'5. RWA '!$C$13</f>
        <v>14945255.847185468</v>
      </c>
    </row>
    <row r="13" spans="1:4" s="212" customFormat="1">
      <c r="A13" s="208" t="s">
        <v>266</v>
      </c>
      <c r="B13" s="227" t="s">
        <v>280</v>
      </c>
      <c r="C13" s="231"/>
      <c r="D13" s="612">
        <f>C13*'5. RWA '!$C$13</f>
        <v>0</v>
      </c>
    </row>
    <row r="14" spans="1:4" s="212" customFormat="1">
      <c r="A14" s="205" t="s">
        <v>267</v>
      </c>
      <c r="B14" s="235" t="s">
        <v>327</v>
      </c>
      <c r="C14" s="232"/>
      <c r="D14" s="613"/>
    </row>
    <row r="15" spans="1:4" s="212" customFormat="1">
      <c r="A15" s="208">
        <v>3.1</v>
      </c>
      <c r="B15" s="227" t="s">
        <v>285</v>
      </c>
      <c r="C15" s="611">
        <v>4.0577315765815636E-2</v>
      </c>
      <c r="D15" s="612">
        <f>C15*'5. RWA '!$C$13</f>
        <v>121287673.14242944</v>
      </c>
    </row>
    <row r="16" spans="1:4" s="212" customFormat="1">
      <c r="A16" s="208">
        <v>3.2</v>
      </c>
      <c r="B16" s="227" t="s">
        <v>286</v>
      </c>
      <c r="C16" s="611">
        <v>4.6523979505780078E-2</v>
      </c>
      <c r="D16" s="612">
        <f>C16*'5. RWA '!$C$13</f>
        <v>139062555.34861931</v>
      </c>
    </row>
    <row r="17" spans="1:4" s="211" customFormat="1">
      <c r="A17" s="208">
        <v>3.3</v>
      </c>
      <c r="B17" s="227" t="s">
        <v>287</v>
      </c>
      <c r="C17" s="611">
        <v>5.4348537058364871E-2</v>
      </c>
      <c r="D17" s="612">
        <f>C17*'5. RWA '!$C$13</f>
        <v>162450558.25150076</v>
      </c>
    </row>
    <row r="18" spans="1:4" s="137" customFormat="1" ht="12.75" customHeight="1">
      <c r="A18" s="237"/>
      <c r="B18" s="238" t="s">
        <v>326</v>
      </c>
      <c r="C18" s="233" t="s">
        <v>271</v>
      </c>
      <c r="D18" s="614" t="s">
        <v>272</v>
      </c>
    </row>
    <row r="19" spans="1:4" s="211" customFormat="1">
      <c r="A19" s="209">
        <v>4</v>
      </c>
      <c r="B19" s="227" t="s">
        <v>281</v>
      </c>
      <c r="C19" s="231">
        <f>C7+C11+C12+C13+C15</f>
        <v>0.11557731576581565</v>
      </c>
      <c r="D19" s="612">
        <f>C19*'5. RWA '!$C$13</f>
        <v>345466510.8502115</v>
      </c>
    </row>
    <row r="20" spans="1:4" s="211" customFormat="1">
      <c r="A20" s="209">
        <v>5</v>
      </c>
      <c r="B20" s="227" t="s">
        <v>91</v>
      </c>
      <c r="C20" s="231">
        <f>C8+C11+C12+C13+C16</f>
        <v>0.13652397950578007</v>
      </c>
      <c r="D20" s="612">
        <f>C20*'5. RWA '!$C$13</f>
        <v>408077160.59795773</v>
      </c>
    </row>
    <row r="21" spans="1:4" s="211" customFormat="1" ht="14.4" thickBot="1">
      <c r="A21" s="213" t="s">
        <v>268</v>
      </c>
      <c r="B21" s="214" t="s">
        <v>282</v>
      </c>
      <c r="C21" s="234">
        <f>C9+C11+C12+C13+C17</f>
        <v>0.16434853705836489</v>
      </c>
      <c r="D21" s="615">
        <f>C21*'5. RWA '!$C$13</f>
        <v>491246186.88958108</v>
      </c>
    </row>
    <row r="23" spans="1:4">
      <c r="B23" s="172"/>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38" sqref="C38"/>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42" t="str">
        <f>'9.1. Capital Requirements'!A1</f>
        <v>Bank:</v>
      </c>
      <c r="B1" s="443">
        <v>0</v>
      </c>
    </row>
    <row r="2" spans="1:3">
      <c r="A2" s="442" t="str">
        <f>'9.1. Capital Requirements'!A2</f>
        <v>Date:</v>
      </c>
      <c r="B2" s="444">
        <v>45016</v>
      </c>
    </row>
    <row r="3" spans="1:3">
      <c r="A3" s="445" t="s">
        <v>675</v>
      </c>
      <c r="B3" s="446" t="s">
        <v>676</v>
      </c>
    </row>
    <row r="4" spans="1:3" ht="15" thickBot="1"/>
    <row r="5" spans="1:3">
      <c r="A5" s="447"/>
      <c r="B5" s="448" t="s">
        <v>677</v>
      </c>
      <c r="C5" s="479"/>
    </row>
    <row r="6" spans="1:3">
      <c r="A6" s="449" t="s">
        <v>697</v>
      </c>
      <c r="B6" s="450">
        <f>SUM(B7,B11)</f>
        <v>530617084.17331797</v>
      </c>
      <c r="C6" s="479"/>
    </row>
    <row r="7" spans="1:3" ht="15.6">
      <c r="A7" s="449" t="s">
        <v>683</v>
      </c>
      <c r="B7" s="450">
        <f>SUM(B8:B10)</f>
        <v>530617084.17331797</v>
      </c>
      <c r="C7" s="479"/>
    </row>
    <row r="8" spans="1:3">
      <c r="A8" s="451" t="s">
        <v>678</v>
      </c>
      <c r="B8" s="452">
        <f>'9.Capital'!C29</f>
        <v>407515510.73331797</v>
      </c>
      <c r="C8" s="479"/>
    </row>
    <row r="9" spans="1:3">
      <c r="A9" s="451" t="s">
        <v>679</v>
      </c>
      <c r="B9" s="452">
        <f>'9.Capital'!C42</f>
        <v>13544000</v>
      </c>
      <c r="C9" s="479"/>
    </row>
    <row r="10" spans="1:3">
      <c r="A10" s="451" t="s">
        <v>680</v>
      </c>
      <c r="B10" s="452">
        <f>'9.Capital'!C53</f>
        <v>109557573.44000001</v>
      </c>
      <c r="C10" s="479"/>
    </row>
    <row r="11" spans="1:3">
      <c r="A11" s="449" t="s">
        <v>684</v>
      </c>
      <c r="B11" s="450">
        <f>SUM(B12:B13)</f>
        <v>0</v>
      </c>
      <c r="C11" s="479"/>
    </row>
    <row r="12" spans="1:3" ht="15.6">
      <c r="A12" s="451" t="s">
        <v>703</v>
      </c>
      <c r="B12" s="452"/>
      <c r="C12" s="479"/>
    </row>
    <row r="13" spans="1:3" ht="15.6">
      <c r="A13" s="451" t="s">
        <v>685</v>
      </c>
      <c r="B13" s="452"/>
      <c r="C13" s="479"/>
    </row>
    <row r="14" spans="1:3">
      <c r="A14" s="449" t="s">
        <v>686</v>
      </c>
      <c r="B14" s="450">
        <f>SUM(B15:B16)</f>
        <v>530617084.17331797</v>
      </c>
      <c r="C14" s="479"/>
    </row>
    <row r="15" spans="1:3">
      <c r="A15" s="453" t="s">
        <v>687</v>
      </c>
      <c r="B15" s="452"/>
      <c r="C15" s="479"/>
    </row>
    <row r="16" spans="1:3">
      <c r="A16" s="453" t="s">
        <v>688</v>
      </c>
      <c r="B16" s="452">
        <f>B7</f>
        <v>530617084.17331797</v>
      </c>
      <c r="C16" s="479"/>
    </row>
    <row r="17" spans="1:5">
      <c r="A17" s="449" t="s">
        <v>691</v>
      </c>
      <c r="B17" s="450"/>
      <c r="C17" s="479"/>
    </row>
    <row r="18" spans="1:5">
      <c r="A18" s="453" t="s">
        <v>689</v>
      </c>
      <c r="B18" s="452">
        <f>'5. RWA '!C13</f>
        <v>2989051169.4370937</v>
      </c>
      <c r="C18" s="479"/>
    </row>
    <row r="19" spans="1:5">
      <c r="A19" s="453" t="s">
        <v>690</v>
      </c>
      <c r="B19" s="452">
        <f>'15.1 LR'!C32</f>
        <v>3636531260.8664451</v>
      </c>
      <c r="C19" s="479"/>
    </row>
    <row r="20" spans="1:5">
      <c r="A20" s="449" t="s">
        <v>705</v>
      </c>
      <c r="B20" s="450"/>
      <c r="C20" s="479"/>
    </row>
    <row r="21" spans="1:5">
      <c r="A21" s="454" t="s">
        <v>692</v>
      </c>
      <c r="B21" s="455">
        <f>IFERROR(B6/B18,0)</f>
        <v>0.17752024107143177</v>
      </c>
      <c r="C21" s="479"/>
    </row>
    <row r="22" spans="1:5">
      <c r="A22" s="454" t="s">
        <v>709</v>
      </c>
      <c r="B22" s="455">
        <f>IFERROR(B6/B19,0)</f>
        <v>0.14591297203557996</v>
      </c>
      <c r="C22" s="479"/>
    </row>
    <row r="23" spans="1:5" ht="15" thickBot="1">
      <c r="A23" s="456" t="s">
        <v>693</v>
      </c>
      <c r="B23" s="457">
        <f>IFERROR(B6/B14,0)</f>
        <v>1</v>
      </c>
    </row>
    <row r="24" spans="1:5" ht="16.5" customHeight="1">
      <c r="A24" s="458" t="s">
        <v>681</v>
      </c>
      <c r="B24" s="459"/>
      <c r="C24" s="459"/>
      <c r="D24" s="459"/>
      <c r="E24" s="459"/>
    </row>
    <row r="25" spans="1:5" ht="25.5" customHeight="1">
      <c r="A25" s="458" t="s">
        <v>702</v>
      </c>
    </row>
    <row r="26" spans="1:5" ht="42.45" customHeight="1">
      <c r="A26" s="458" t="s">
        <v>704</v>
      </c>
      <c r="B26" s="13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9" sqref="B29"/>
    </sheetView>
  </sheetViews>
  <sheetFormatPr defaultRowHeight="14.4"/>
  <cols>
    <col min="1" max="1" width="56.77734375" customWidth="1"/>
    <col min="2" max="2" width="28.109375" bestFit="1" customWidth="1"/>
    <col min="3" max="3" width="28.21875" customWidth="1"/>
    <col min="4" max="6" width="28.109375" customWidth="1"/>
  </cols>
  <sheetData>
    <row r="1" spans="1:7">
      <c r="A1" s="442" t="s">
        <v>31</v>
      </c>
      <c r="B1" s="443">
        <v>0</v>
      </c>
      <c r="C1" s="132"/>
    </row>
    <row r="2" spans="1:7">
      <c r="A2" s="442" t="s">
        <v>32</v>
      </c>
      <c r="B2" s="444">
        <v>45016</v>
      </c>
      <c r="C2" s="132"/>
    </row>
    <row r="3" spans="1:7">
      <c r="A3" s="445" t="s">
        <v>682</v>
      </c>
      <c r="B3" s="446" t="s">
        <v>676</v>
      </c>
      <c r="C3" s="132"/>
    </row>
    <row r="5" spans="1:7">
      <c r="A5" s="460"/>
    </row>
    <row r="6" spans="1:7" ht="15" thickBot="1">
      <c r="A6" s="461"/>
      <c r="B6" s="461"/>
      <c r="C6" s="461"/>
      <c r="D6" s="461"/>
      <c r="E6" s="461"/>
      <c r="F6" s="461"/>
    </row>
    <row r="7" spans="1:7">
      <c r="A7" s="751"/>
      <c r="B7" s="753" t="s">
        <v>708</v>
      </c>
      <c r="C7" s="753"/>
      <c r="D7" s="753"/>
      <c r="E7" s="753"/>
      <c r="F7" s="754" t="s">
        <v>65</v>
      </c>
    </row>
    <row r="8" spans="1:7">
      <c r="A8" s="752"/>
      <c r="B8" s="462" t="s">
        <v>694</v>
      </c>
      <c r="C8" s="462" t="s">
        <v>695</v>
      </c>
      <c r="D8" s="462" t="s">
        <v>696</v>
      </c>
      <c r="E8" s="462" t="s">
        <v>706</v>
      </c>
      <c r="F8" s="755"/>
    </row>
    <row r="9" spans="1:7">
      <c r="A9" s="463" t="s">
        <v>697</v>
      </c>
      <c r="B9" s="464">
        <f>B13+B17</f>
        <v>0</v>
      </c>
      <c r="C9" s="464">
        <f t="shared" ref="C9:E9" si="0">C13+C17</f>
        <v>0</v>
      </c>
      <c r="D9" s="464">
        <f t="shared" si="0"/>
        <v>0</v>
      </c>
      <c r="E9" s="464">
        <f t="shared" si="0"/>
        <v>0</v>
      </c>
      <c r="F9" s="465">
        <f>F13+F17</f>
        <v>0</v>
      </c>
    </row>
    <row r="10" spans="1:7">
      <c r="A10" s="466" t="s">
        <v>699</v>
      </c>
      <c r="B10" s="467">
        <f t="shared" ref="B10:E12" si="1">B14+B18</f>
        <v>0</v>
      </c>
      <c r="C10" s="467">
        <f t="shared" si="1"/>
        <v>0</v>
      </c>
      <c r="D10" s="467">
        <f t="shared" si="1"/>
        <v>0</v>
      </c>
      <c r="E10" s="467">
        <f t="shared" si="1"/>
        <v>0</v>
      </c>
      <c r="F10" s="465">
        <f>SUM(B10:E10)</f>
        <v>0</v>
      </c>
      <c r="G10" s="479"/>
    </row>
    <row r="11" spans="1:7">
      <c r="A11" s="466" t="s">
        <v>707</v>
      </c>
      <c r="B11" s="467">
        <f t="shared" si="1"/>
        <v>0</v>
      </c>
      <c r="C11" s="467">
        <f t="shared" si="1"/>
        <v>0</v>
      </c>
      <c r="D11" s="467">
        <f t="shared" si="1"/>
        <v>0</v>
      </c>
      <c r="E11" s="467">
        <f t="shared" si="1"/>
        <v>0</v>
      </c>
      <c r="F11" s="465">
        <f t="shared" ref="F11:F12" si="2">SUM(B11:E11)</f>
        <v>0</v>
      </c>
      <c r="G11" s="479"/>
    </row>
    <row r="12" spans="1:7">
      <c r="A12" s="468" t="s">
        <v>698</v>
      </c>
      <c r="B12" s="467">
        <f t="shared" si="1"/>
        <v>0</v>
      </c>
      <c r="C12" s="467">
        <f t="shared" si="1"/>
        <v>0</v>
      </c>
      <c r="D12" s="467">
        <f t="shared" si="1"/>
        <v>0</v>
      </c>
      <c r="E12" s="467">
        <f t="shared" si="1"/>
        <v>0</v>
      </c>
      <c r="F12" s="465">
        <f t="shared" si="2"/>
        <v>0</v>
      </c>
      <c r="G12" s="479"/>
    </row>
    <row r="13" spans="1:7">
      <c r="A13" s="469" t="s">
        <v>688</v>
      </c>
      <c r="B13" s="470"/>
      <c r="C13" s="470"/>
      <c r="D13" s="470"/>
      <c r="E13" s="470"/>
      <c r="F13" s="471"/>
    </row>
    <row r="14" spans="1:7">
      <c r="A14" s="466" t="s">
        <v>699</v>
      </c>
      <c r="B14" s="472"/>
      <c r="C14" s="472"/>
      <c r="D14" s="472"/>
      <c r="E14" s="472"/>
      <c r="F14" s="473"/>
    </row>
    <row r="15" spans="1:7">
      <c r="A15" s="466" t="s">
        <v>707</v>
      </c>
      <c r="B15" s="472"/>
      <c r="C15" s="472"/>
      <c r="D15" s="472"/>
      <c r="E15" s="472"/>
      <c r="F15" s="473"/>
    </row>
    <row r="16" spans="1:7">
      <c r="A16" s="468" t="s">
        <v>698</v>
      </c>
      <c r="B16" s="472"/>
      <c r="C16" s="472"/>
      <c r="D16" s="472"/>
      <c r="E16" s="472"/>
      <c r="F16" s="473"/>
    </row>
    <row r="17" spans="1:6">
      <c r="A17" s="469" t="s">
        <v>684</v>
      </c>
      <c r="B17" s="470"/>
      <c r="C17" s="470"/>
      <c r="D17" s="470"/>
      <c r="E17" s="470"/>
      <c r="F17" s="473"/>
    </row>
    <row r="18" spans="1:6">
      <c r="A18" s="466" t="s">
        <v>699</v>
      </c>
      <c r="B18" s="472"/>
      <c r="C18" s="472"/>
      <c r="D18" s="472"/>
      <c r="E18" s="472"/>
      <c r="F18" s="473"/>
    </row>
    <row r="19" spans="1:6">
      <c r="A19" s="466" t="s">
        <v>707</v>
      </c>
      <c r="B19" s="472"/>
      <c r="C19" s="472"/>
      <c r="D19" s="472"/>
      <c r="E19" s="472"/>
      <c r="F19" s="473"/>
    </row>
    <row r="20" spans="1:6" ht="15" thickBot="1">
      <c r="A20" s="468" t="s">
        <v>698</v>
      </c>
      <c r="B20" s="474"/>
      <c r="C20" s="474"/>
      <c r="D20" s="474"/>
      <c r="E20" s="474"/>
      <c r="F20" s="475"/>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50" activePane="bottomRight" state="frozen"/>
      <selection activeCell="B19" sqref="B19"/>
      <selection pane="topRight" activeCell="B19" sqref="B19"/>
      <selection pane="bottomLeft" activeCell="B19" sqref="B19"/>
      <selection pane="bottomRight" activeCell="D67" sqref="D67"/>
    </sheetView>
  </sheetViews>
  <sheetFormatPr defaultColWidth="9.21875" defaultRowHeight="13.8"/>
  <cols>
    <col min="1" max="1" width="10.77734375" style="7" customWidth="1"/>
    <col min="2" max="2" width="91.77734375" style="7" customWidth="1"/>
    <col min="3" max="3" width="53.21875" style="7" customWidth="1"/>
    <col min="4" max="4" width="32.21875" style="7" customWidth="1"/>
    <col min="5" max="5" width="9.44140625" style="8" customWidth="1"/>
    <col min="6" max="16384" width="9.21875" style="8"/>
  </cols>
  <sheetData>
    <row r="1" spans="1:6">
      <c r="A1" s="5" t="s">
        <v>31</v>
      </c>
      <c r="B1" s="6" t="str">
        <f>'Info '!C2</f>
        <v>JSC "CREDOBANK"</v>
      </c>
      <c r="E1" s="7"/>
      <c r="F1" s="7"/>
    </row>
    <row r="2" spans="1:6" s="5" customFormat="1" ht="15.75" customHeight="1">
      <c r="A2" s="5" t="s">
        <v>32</v>
      </c>
      <c r="B2" s="261">
        <f>'1. key ratios '!B2</f>
        <v>45930</v>
      </c>
    </row>
    <row r="3" spans="1:6" s="5" customFormat="1" ht="15.75" customHeight="1">
      <c r="A3" s="71"/>
    </row>
    <row r="4" spans="1:6" s="5" customFormat="1" ht="15.75" customHeight="1" thickBot="1">
      <c r="A4" s="5" t="s">
        <v>48</v>
      </c>
      <c r="B4" s="126" t="s">
        <v>166</v>
      </c>
      <c r="D4" s="20" t="s">
        <v>36</v>
      </c>
    </row>
    <row r="5" spans="1:6" ht="26.4">
      <c r="A5" s="72" t="s">
        <v>7</v>
      </c>
      <c r="B5" s="144" t="s">
        <v>206</v>
      </c>
      <c r="C5" s="73" t="s">
        <v>625</v>
      </c>
      <c r="D5" s="74" t="s">
        <v>50</v>
      </c>
    </row>
    <row r="6" spans="1:6" ht="14.4">
      <c r="A6" s="305">
        <v>1</v>
      </c>
      <c r="B6" s="306" t="s">
        <v>526</v>
      </c>
      <c r="C6" s="616">
        <f>SUM(C7:C9)</f>
        <v>464785833.45967305</v>
      </c>
      <c r="D6" s="617"/>
      <c r="E6" s="75"/>
    </row>
    <row r="7" spans="1:6" ht="14.4">
      <c r="A7" s="305">
        <v>1.1000000000000001</v>
      </c>
      <c r="B7" s="307" t="s">
        <v>527</v>
      </c>
      <c r="C7" s="618">
        <v>101498534.2</v>
      </c>
      <c r="D7" s="619"/>
      <c r="E7" s="75"/>
    </row>
    <row r="8" spans="1:6" ht="14.4">
      <c r="A8" s="305">
        <v>1.2</v>
      </c>
      <c r="B8" s="307" t="s">
        <v>528</v>
      </c>
      <c r="C8" s="618">
        <v>187232237.14803767</v>
      </c>
      <c r="D8" s="619"/>
      <c r="E8" s="75"/>
    </row>
    <row r="9" spans="1:6" ht="14.4">
      <c r="A9" s="305">
        <v>1.3</v>
      </c>
      <c r="B9" s="307" t="s">
        <v>529</v>
      </c>
      <c r="C9" s="618">
        <v>176055062.11163539</v>
      </c>
      <c r="D9" s="619"/>
      <c r="E9" s="75"/>
    </row>
    <row r="10" spans="1:6" ht="14.4">
      <c r="A10" s="305">
        <v>2</v>
      </c>
      <c r="B10" s="308" t="s">
        <v>530</v>
      </c>
      <c r="C10" s="620">
        <v>461883.99</v>
      </c>
      <c r="D10" s="619"/>
      <c r="E10" s="75"/>
    </row>
    <row r="11" spans="1:6" ht="14.4">
      <c r="A11" s="305">
        <v>2.1</v>
      </c>
      <c r="B11" s="309" t="s">
        <v>531</v>
      </c>
      <c r="C11" s="621">
        <v>461883.99</v>
      </c>
      <c r="D11" s="622"/>
      <c r="E11" s="76"/>
    </row>
    <row r="12" spans="1:6" ht="14.4">
      <c r="A12" s="305">
        <v>3</v>
      </c>
      <c r="B12" s="310" t="s">
        <v>532</v>
      </c>
      <c r="C12" s="623"/>
      <c r="D12" s="622"/>
      <c r="E12" s="76"/>
    </row>
    <row r="13" spans="1:6" ht="14.4">
      <c r="A13" s="305">
        <v>4</v>
      </c>
      <c r="B13" s="311" t="s">
        <v>533</v>
      </c>
      <c r="C13" s="623"/>
      <c r="D13" s="622"/>
      <c r="E13" s="76"/>
    </row>
    <row r="14" spans="1:6" ht="14.4">
      <c r="A14" s="305">
        <v>5</v>
      </c>
      <c r="B14" s="312" t="s">
        <v>534</v>
      </c>
      <c r="C14" s="623">
        <f>SUM(C15:C17)</f>
        <v>0</v>
      </c>
      <c r="D14" s="622"/>
      <c r="E14" s="76"/>
    </row>
    <row r="15" spans="1:6" ht="14.4">
      <c r="A15" s="305">
        <v>5.0999999999999996</v>
      </c>
      <c r="B15" s="313" t="s">
        <v>535</v>
      </c>
      <c r="C15" s="618"/>
      <c r="D15" s="622"/>
      <c r="E15" s="75"/>
    </row>
    <row r="16" spans="1:6" ht="14.4">
      <c r="A16" s="305">
        <v>5.2</v>
      </c>
      <c r="B16" s="313" t="s">
        <v>536</v>
      </c>
      <c r="C16" s="618"/>
      <c r="D16" s="619"/>
      <c r="E16" s="75"/>
    </row>
    <row r="17" spans="1:5" ht="14.4">
      <c r="A17" s="305">
        <v>5.3</v>
      </c>
      <c r="B17" s="314" t="s">
        <v>537</v>
      </c>
      <c r="C17" s="618"/>
      <c r="D17" s="619"/>
      <c r="E17" s="75"/>
    </row>
    <row r="18" spans="1:5" ht="14.4">
      <c r="A18" s="305">
        <v>6</v>
      </c>
      <c r="B18" s="310" t="s">
        <v>538</v>
      </c>
      <c r="C18" s="620">
        <f>SUM(C19:C20)</f>
        <v>2938360151.7178798</v>
      </c>
      <c r="D18" s="619"/>
      <c r="E18" s="75"/>
    </row>
    <row r="19" spans="1:5" ht="14.4">
      <c r="A19" s="305">
        <v>6.1</v>
      </c>
      <c r="B19" s="313" t="s">
        <v>536</v>
      </c>
      <c r="C19" s="621">
        <v>81543753.829999998</v>
      </c>
      <c r="D19" s="619"/>
      <c r="E19" s="75"/>
    </row>
    <row r="20" spans="1:5" ht="14.4">
      <c r="A20" s="305">
        <v>6.2</v>
      </c>
      <c r="B20" s="314" t="s">
        <v>537</v>
      </c>
      <c r="C20" s="621">
        <v>2856816397.8878798</v>
      </c>
      <c r="D20" s="619"/>
      <c r="E20" s="75"/>
    </row>
    <row r="21" spans="1:5" ht="14.4">
      <c r="A21" s="305">
        <v>7</v>
      </c>
      <c r="B21" s="308" t="s">
        <v>539</v>
      </c>
      <c r="C21" s="623">
        <v>1991498.97</v>
      </c>
      <c r="D21" s="619"/>
      <c r="E21" s="75"/>
    </row>
    <row r="22" spans="1:5" ht="14.4">
      <c r="A22" s="305">
        <v>8</v>
      </c>
      <c r="B22" s="315" t="s">
        <v>540</v>
      </c>
      <c r="C22" s="620"/>
      <c r="D22" s="619"/>
      <c r="E22" s="75"/>
    </row>
    <row r="23" spans="1:5" ht="14.4">
      <c r="A23" s="305">
        <v>9</v>
      </c>
      <c r="B23" s="311" t="s">
        <v>541</v>
      </c>
      <c r="C23" s="620">
        <f>SUM(C24:C25)</f>
        <v>53365415.600000016</v>
      </c>
      <c r="D23" s="624"/>
      <c r="E23" s="75"/>
    </row>
    <row r="24" spans="1:5" ht="14.4">
      <c r="A24" s="305">
        <v>9.1</v>
      </c>
      <c r="B24" s="313" t="s">
        <v>542</v>
      </c>
      <c r="C24" s="625">
        <v>53365415.600000016</v>
      </c>
      <c r="D24" s="626"/>
      <c r="E24" s="75"/>
    </row>
    <row r="25" spans="1:5" ht="14.4">
      <c r="A25" s="305">
        <v>9.1999999999999993</v>
      </c>
      <c r="B25" s="313" t="s">
        <v>543</v>
      </c>
      <c r="C25" s="627"/>
      <c r="D25" s="628"/>
      <c r="E25" s="77"/>
    </row>
    <row r="26" spans="1:5" ht="14.4">
      <c r="A26" s="305">
        <v>10</v>
      </c>
      <c r="B26" s="311" t="s">
        <v>544</v>
      </c>
      <c r="C26" s="629">
        <f>SUM(C27:C28)</f>
        <v>37235905.250000007</v>
      </c>
      <c r="D26" s="441" t="s">
        <v>787</v>
      </c>
      <c r="E26" s="75"/>
    </row>
    <row r="27" spans="1:5" ht="14.4">
      <c r="A27" s="305">
        <v>10.1</v>
      </c>
      <c r="B27" s="313" t="s">
        <v>545</v>
      </c>
      <c r="C27" s="618"/>
      <c r="D27" s="619"/>
      <c r="E27" s="75"/>
    </row>
    <row r="28" spans="1:5" ht="14.4">
      <c r="A28" s="305">
        <v>10.199999999999999</v>
      </c>
      <c r="B28" s="313" t="s">
        <v>546</v>
      </c>
      <c r="C28" s="618">
        <v>37235905.250000007</v>
      </c>
      <c r="D28" s="619"/>
      <c r="E28" s="75"/>
    </row>
    <row r="29" spans="1:5" ht="14.4">
      <c r="A29" s="305">
        <v>11</v>
      </c>
      <c r="B29" s="311" t="s">
        <v>547</v>
      </c>
      <c r="C29" s="620">
        <f>SUM(C30:C31)</f>
        <v>355395.73999999277</v>
      </c>
      <c r="D29" s="619"/>
      <c r="E29" s="75"/>
    </row>
    <row r="30" spans="1:5" ht="14.4">
      <c r="A30" s="305">
        <v>11.1</v>
      </c>
      <c r="B30" s="313" t="s">
        <v>548</v>
      </c>
      <c r="C30" s="618">
        <v>355395.73999999277</v>
      </c>
      <c r="D30" s="619"/>
      <c r="E30" s="75"/>
    </row>
    <row r="31" spans="1:5" ht="14.4">
      <c r="A31" s="305">
        <v>11.2</v>
      </c>
      <c r="B31" s="313" t="s">
        <v>549</v>
      </c>
      <c r="C31" s="618"/>
      <c r="D31" s="619"/>
      <c r="E31" s="75"/>
    </row>
    <row r="32" spans="1:5" ht="14.4">
      <c r="A32" s="305">
        <v>13</v>
      </c>
      <c r="B32" s="311" t="s">
        <v>550</v>
      </c>
      <c r="C32" s="620">
        <v>58453360.470000014</v>
      </c>
      <c r="D32" s="619"/>
      <c r="E32" s="75"/>
    </row>
    <row r="33" spans="1:5" ht="14.4">
      <c r="A33" s="305">
        <v>13.1</v>
      </c>
      <c r="B33" s="316" t="s">
        <v>551</v>
      </c>
      <c r="C33" s="618">
        <v>31594315.879999995</v>
      </c>
      <c r="D33" s="619"/>
      <c r="E33" s="75"/>
    </row>
    <row r="34" spans="1:5" ht="14.4">
      <c r="A34" s="305">
        <v>13.2</v>
      </c>
      <c r="B34" s="316" t="s">
        <v>552</v>
      </c>
      <c r="C34" s="625"/>
      <c r="D34" s="626"/>
      <c r="E34" s="75"/>
    </row>
    <row r="35" spans="1:5" ht="14.4">
      <c r="A35" s="305">
        <v>14</v>
      </c>
      <c r="B35" s="317" t="s">
        <v>553</v>
      </c>
      <c r="C35" s="630">
        <f>SUM(C6,C10,C12,C13,C14,C18,C21,C22,C23,C26,C29,C32)</f>
        <v>3555009445.1975522</v>
      </c>
      <c r="D35" s="626"/>
      <c r="E35" s="75"/>
    </row>
    <row r="36" spans="1:5" ht="14.4">
      <c r="A36" s="305"/>
      <c r="B36" s="318" t="s">
        <v>554</v>
      </c>
      <c r="C36" s="631"/>
      <c r="D36" s="632"/>
      <c r="E36" s="75"/>
    </row>
    <row r="37" spans="1:5" ht="14.4">
      <c r="A37" s="305">
        <v>15</v>
      </c>
      <c r="B37" s="319" t="s">
        <v>555</v>
      </c>
      <c r="C37" s="627">
        <v>550776.5</v>
      </c>
      <c r="D37" s="628"/>
      <c r="E37" s="77"/>
    </row>
    <row r="38" spans="1:5" ht="14.4">
      <c r="A38" s="320">
        <v>15.1</v>
      </c>
      <c r="B38" s="321" t="s">
        <v>531</v>
      </c>
      <c r="C38" s="618">
        <v>550776.5</v>
      </c>
      <c r="D38" s="619"/>
      <c r="E38" s="75"/>
    </row>
    <row r="39" spans="1:5" ht="14.4">
      <c r="A39" s="320">
        <v>16</v>
      </c>
      <c r="B39" s="308" t="s">
        <v>556</v>
      </c>
      <c r="C39" s="620"/>
      <c r="D39" s="619"/>
      <c r="E39" s="75"/>
    </row>
    <row r="40" spans="1:5" ht="14.4">
      <c r="A40" s="320">
        <v>17</v>
      </c>
      <c r="B40" s="308" t="s">
        <v>557</v>
      </c>
      <c r="C40" s="620">
        <f>SUM(C41:C44)</f>
        <v>2863208994.77</v>
      </c>
      <c r="D40" s="619"/>
      <c r="E40" s="75"/>
    </row>
    <row r="41" spans="1:5" ht="14.4">
      <c r="A41" s="320">
        <v>17.100000000000001</v>
      </c>
      <c r="B41" s="322" t="s">
        <v>558</v>
      </c>
      <c r="C41" s="618">
        <v>1578042819</v>
      </c>
      <c r="D41" s="619"/>
      <c r="E41" s="75"/>
    </row>
    <row r="42" spans="1:5" ht="14.4">
      <c r="A42" s="320">
        <v>17.2</v>
      </c>
      <c r="B42" s="323" t="s">
        <v>559</v>
      </c>
      <c r="C42" s="625">
        <v>1261907640.8699999</v>
      </c>
      <c r="D42" s="626"/>
      <c r="E42" s="75"/>
    </row>
    <row r="43" spans="1:5" ht="14.4">
      <c r="A43" s="320">
        <v>17.3</v>
      </c>
      <c r="B43" s="349" t="s">
        <v>560</v>
      </c>
      <c r="C43" s="633"/>
      <c r="D43" s="634"/>
      <c r="E43" s="75"/>
    </row>
    <row r="44" spans="1:5" ht="14.4">
      <c r="A44" s="320">
        <v>17.399999999999999</v>
      </c>
      <c r="B44" s="350" t="s">
        <v>561</v>
      </c>
      <c r="C44" s="633">
        <v>23258534.899999999</v>
      </c>
      <c r="D44" s="634"/>
      <c r="E44" s="75"/>
    </row>
    <row r="45" spans="1:5" ht="14.4">
      <c r="A45" s="320">
        <v>18</v>
      </c>
      <c r="B45" s="328" t="s">
        <v>562</v>
      </c>
      <c r="C45" s="635">
        <v>2086272.12</v>
      </c>
      <c r="D45" s="634"/>
      <c r="E45" s="77"/>
    </row>
    <row r="46" spans="1:5" ht="14.4">
      <c r="A46" s="320">
        <v>19</v>
      </c>
      <c r="B46" s="328" t="s">
        <v>563</v>
      </c>
      <c r="C46" s="620">
        <f>SUM(C47:C48)</f>
        <v>6415343.4500000002</v>
      </c>
      <c r="D46" s="636"/>
    </row>
    <row r="47" spans="1:5" ht="14.4">
      <c r="A47" s="320">
        <v>19.100000000000001</v>
      </c>
      <c r="B47" s="351" t="s">
        <v>564</v>
      </c>
      <c r="C47" s="637"/>
      <c r="D47" s="636"/>
    </row>
    <row r="48" spans="1:5" ht="14.4">
      <c r="A48" s="320">
        <v>19.2</v>
      </c>
      <c r="B48" s="351" t="s">
        <v>565</v>
      </c>
      <c r="C48" s="633">
        <v>6415343.4500000002</v>
      </c>
      <c r="D48" s="636"/>
    </row>
    <row r="49" spans="1:4" ht="14.4">
      <c r="A49" s="320">
        <v>20</v>
      </c>
      <c r="B49" s="324" t="s">
        <v>566</v>
      </c>
      <c r="C49" s="620">
        <v>185354869.15000001</v>
      </c>
      <c r="D49" s="441" t="s">
        <v>788</v>
      </c>
    </row>
    <row r="50" spans="1:4" ht="14.4">
      <c r="A50" s="320">
        <v>21</v>
      </c>
      <c r="B50" s="352" t="s">
        <v>567</v>
      </c>
      <c r="C50" s="620">
        <v>52641775.199999981</v>
      </c>
      <c r="D50" s="636"/>
    </row>
    <row r="51" spans="1:4" ht="14.4">
      <c r="A51" s="320">
        <v>21.1</v>
      </c>
      <c r="B51" s="323" t="s">
        <v>568</v>
      </c>
      <c r="C51" s="637"/>
      <c r="D51" s="636"/>
    </row>
    <row r="52" spans="1:4" ht="14.4">
      <c r="A52" s="320">
        <v>22</v>
      </c>
      <c r="B52" s="325" t="s">
        <v>569</v>
      </c>
      <c r="C52" s="620">
        <f>SUM(C37,C39,C40,C45,C46,C49,C50)</f>
        <v>3110258031.1899996</v>
      </c>
      <c r="D52" s="636"/>
    </row>
    <row r="53" spans="1:4" ht="14.4">
      <c r="A53" s="320"/>
      <c r="B53" s="326" t="s">
        <v>570</v>
      </c>
      <c r="C53" s="636"/>
      <c r="D53" s="636"/>
    </row>
    <row r="54" spans="1:4" ht="14.4">
      <c r="A54" s="320">
        <v>23</v>
      </c>
      <c r="B54" s="324" t="s">
        <v>571</v>
      </c>
      <c r="C54" s="620">
        <v>5270620</v>
      </c>
      <c r="D54" s="441" t="s">
        <v>789</v>
      </c>
    </row>
    <row r="55" spans="1:4" ht="14.4">
      <c r="A55" s="320">
        <v>24</v>
      </c>
      <c r="B55" s="324" t="s">
        <v>572</v>
      </c>
      <c r="C55" s="638"/>
      <c r="D55" s="636"/>
    </row>
    <row r="56" spans="1:4" ht="14.4">
      <c r="A56" s="320">
        <v>25</v>
      </c>
      <c r="B56" s="328" t="s">
        <v>573</v>
      </c>
      <c r="C56" s="620">
        <v>41797125.479999997</v>
      </c>
      <c r="D56" s="441" t="s">
        <v>790</v>
      </c>
    </row>
    <row r="57" spans="1:4" ht="14.4">
      <c r="A57" s="320">
        <v>26</v>
      </c>
      <c r="B57" s="328" t="s">
        <v>574</v>
      </c>
      <c r="C57" s="638"/>
      <c r="D57" s="636"/>
    </row>
    <row r="58" spans="1:4" ht="14.4">
      <c r="A58" s="320">
        <v>27</v>
      </c>
      <c r="B58" s="328" t="s">
        <v>575</v>
      </c>
      <c r="C58" s="638">
        <f>SUM(C59:C60)</f>
        <v>0</v>
      </c>
      <c r="D58" s="636"/>
    </row>
    <row r="59" spans="1:4" ht="14.4">
      <c r="A59" s="320">
        <v>27.1</v>
      </c>
      <c r="B59" s="350" t="s">
        <v>576</v>
      </c>
      <c r="C59" s="639"/>
      <c r="D59" s="636"/>
    </row>
    <row r="60" spans="1:4" ht="14.4">
      <c r="A60" s="320">
        <v>27.2</v>
      </c>
      <c r="B60" s="350" t="s">
        <v>577</v>
      </c>
      <c r="C60" s="639"/>
      <c r="D60" s="636"/>
    </row>
    <row r="61" spans="1:4" ht="14.4">
      <c r="A61" s="320">
        <v>28</v>
      </c>
      <c r="B61" s="327" t="s">
        <v>578</v>
      </c>
      <c r="C61" s="638"/>
      <c r="D61" s="636"/>
    </row>
    <row r="62" spans="1:4" ht="14.4">
      <c r="A62" s="320">
        <v>29</v>
      </c>
      <c r="B62" s="328" t="s">
        <v>579</v>
      </c>
      <c r="C62" s="638">
        <f>SUM(C63:C65)</f>
        <v>0</v>
      </c>
      <c r="D62" s="636"/>
    </row>
    <row r="63" spans="1:4" ht="14.4">
      <c r="A63" s="320">
        <v>29.1</v>
      </c>
      <c r="B63" s="353" t="s">
        <v>580</v>
      </c>
      <c r="C63" s="639"/>
      <c r="D63" s="636"/>
    </row>
    <row r="64" spans="1:4" ht="14.4">
      <c r="A64" s="320">
        <v>29.2</v>
      </c>
      <c r="B64" s="351" t="s">
        <v>581</v>
      </c>
      <c r="C64" s="639"/>
      <c r="D64" s="636"/>
    </row>
    <row r="65" spans="1:4" ht="14.4">
      <c r="A65" s="320">
        <v>29.3</v>
      </c>
      <c r="B65" s="351" t="s">
        <v>582</v>
      </c>
      <c r="C65" s="639"/>
      <c r="D65" s="636"/>
    </row>
    <row r="66" spans="1:4" ht="14.4">
      <c r="A66" s="320">
        <v>30</v>
      </c>
      <c r="B66" s="328" t="s">
        <v>583</v>
      </c>
      <c r="C66" s="620">
        <v>397683670.03318</v>
      </c>
      <c r="D66" s="441" t="s">
        <v>791</v>
      </c>
    </row>
    <row r="67" spans="1:4" ht="14.4">
      <c r="A67" s="320">
        <v>31</v>
      </c>
      <c r="B67" s="354" t="s">
        <v>584</v>
      </c>
      <c r="C67" s="620">
        <f>SUM(C54,C55,C56,C57,C58,C61,C62,C66)</f>
        <v>444751415.51318002</v>
      </c>
      <c r="D67" s="636"/>
    </row>
    <row r="68" spans="1:4" ht="14.4">
      <c r="A68" s="320">
        <v>32</v>
      </c>
      <c r="B68" s="328" t="s">
        <v>585</v>
      </c>
      <c r="C68" s="620">
        <f>SUM(C52,C67)</f>
        <v>3555009446.7031794</v>
      </c>
      <c r="D68" s="63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J7" activePane="bottomRight" state="frozen"/>
      <selection activeCell="B19" sqref="B19"/>
      <selection pane="topRight" activeCell="B19" sqref="B19"/>
      <selection pane="bottomLeft" activeCell="B19" sqref="B19"/>
      <selection pane="bottomRight" activeCell="C8" sqref="C8:R21"/>
    </sheetView>
  </sheetViews>
  <sheetFormatPr defaultColWidth="9.21875" defaultRowHeight="13.2"/>
  <cols>
    <col min="1" max="1" width="10.5546875" style="7" bestFit="1" customWidth="1"/>
    <col min="2" max="2" width="95" style="7" customWidth="1"/>
    <col min="3" max="3" width="13" style="7" bestFit="1" customWidth="1"/>
    <col min="4" max="4" width="16.44140625" style="7" bestFit="1" customWidth="1"/>
    <col min="5" max="5" width="13" style="7" bestFit="1" customWidth="1"/>
    <col min="6" max="6" width="16.44140625" style="7" bestFit="1" customWidth="1"/>
    <col min="7" max="7" width="13" style="7" bestFit="1" customWidth="1"/>
    <col min="8" max="8" width="13.21875" style="7" bestFit="1" customWidth="1"/>
    <col min="9" max="9" width="13" style="7" bestFit="1" customWidth="1"/>
    <col min="10" max="10" width="13.21875" style="7" bestFit="1" customWidth="1"/>
    <col min="11" max="11" width="13" style="7"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5" t="s">
        <v>31</v>
      </c>
      <c r="B1" s="6" t="str">
        <f>'Info '!C2</f>
        <v>JSC "CREDOBANK"</v>
      </c>
    </row>
    <row r="2" spans="1:19">
      <c r="A2" s="5" t="s">
        <v>32</v>
      </c>
      <c r="B2" s="261">
        <f>'1. key ratios '!B2</f>
        <v>45930</v>
      </c>
    </row>
    <row r="4" spans="1:19" ht="27" thickBot="1">
      <c r="A4" s="7" t="s">
        <v>147</v>
      </c>
      <c r="B4" s="163" t="s">
        <v>239</v>
      </c>
    </row>
    <row r="5" spans="1:19" s="151" customFormat="1" ht="13.8">
      <c r="A5" s="146"/>
      <c r="B5" s="147"/>
      <c r="C5" s="148" t="s">
        <v>0</v>
      </c>
      <c r="D5" s="148" t="s">
        <v>1</v>
      </c>
      <c r="E5" s="148" t="s">
        <v>2</v>
      </c>
      <c r="F5" s="148" t="s">
        <v>3</v>
      </c>
      <c r="G5" s="148" t="s">
        <v>4</v>
      </c>
      <c r="H5" s="148" t="s">
        <v>6</v>
      </c>
      <c r="I5" s="148" t="s">
        <v>9</v>
      </c>
      <c r="J5" s="148" t="s">
        <v>10</v>
      </c>
      <c r="K5" s="148" t="s">
        <v>11</v>
      </c>
      <c r="L5" s="148" t="s">
        <v>12</v>
      </c>
      <c r="M5" s="148" t="s">
        <v>13</v>
      </c>
      <c r="N5" s="148" t="s">
        <v>14</v>
      </c>
      <c r="O5" s="148" t="s">
        <v>223</v>
      </c>
      <c r="P5" s="148" t="s">
        <v>224</v>
      </c>
      <c r="Q5" s="148" t="s">
        <v>225</v>
      </c>
      <c r="R5" s="149" t="s">
        <v>226</v>
      </c>
      <c r="S5" s="150" t="s">
        <v>227</v>
      </c>
    </row>
    <row r="6" spans="1:19" s="151" customFormat="1" ht="99" customHeight="1">
      <c r="A6" s="152"/>
      <c r="B6" s="760" t="s">
        <v>228</v>
      </c>
      <c r="C6" s="756">
        <v>0</v>
      </c>
      <c r="D6" s="757"/>
      <c r="E6" s="756">
        <v>0.2</v>
      </c>
      <c r="F6" s="757"/>
      <c r="G6" s="756">
        <v>0.35</v>
      </c>
      <c r="H6" s="757"/>
      <c r="I6" s="756">
        <v>0.5</v>
      </c>
      <c r="J6" s="757"/>
      <c r="K6" s="756">
        <v>0.75</v>
      </c>
      <c r="L6" s="757"/>
      <c r="M6" s="756">
        <v>1</v>
      </c>
      <c r="N6" s="757"/>
      <c r="O6" s="756">
        <v>1.5</v>
      </c>
      <c r="P6" s="757"/>
      <c r="Q6" s="756">
        <v>2.5</v>
      </c>
      <c r="R6" s="757"/>
      <c r="S6" s="758" t="s">
        <v>146</v>
      </c>
    </row>
    <row r="7" spans="1:19" s="151" customFormat="1" ht="30.75" customHeight="1">
      <c r="A7" s="152"/>
      <c r="B7" s="761"/>
      <c r="C7" s="143" t="s">
        <v>149</v>
      </c>
      <c r="D7" s="143" t="s">
        <v>148</v>
      </c>
      <c r="E7" s="143" t="s">
        <v>149</v>
      </c>
      <c r="F7" s="143" t="s">
        <v>148</v>
      </c>
      <c r="G7" s="143" t="s">
        <v>149</v>
      </c>
      <c r="H7" s="143" t="s">
        <v>148</v>
      </c>
      <c r="I7" s="143" t="s">
        <v>149</v>
      </c>
      <c r="J7" s="143" t="s">
        <v>148</v>
      </c>
      <c r="K7" s="143" t="s">
        <v>149</v>
      </c>
      <c r="L7" s="143" t="s">
        <v>148</v>
      </c>
      <c r="M7" s="143" t="s">
        <v>149</v>
      </c>
      <c r="N7" s="143" t="s">
        <v>148</v>
      </c>
      <c r="O7" s="143" t="s">
        <v>149</v>
      </c>
      <c r="P7" s="143" t="s">
        <v>148</v>
      </c>
      <c r="Q7" s="143" t="s">
        <v>149</v>
      </c>
      <c r="R7" s="143" t="s">
        <v>148</v>
      </c>
      <c r="S7" s="759"/>
    </row>
    <row r="8" spans="1:19" ht="13.8">
      <c r="A8" s="78">
        <v>1</v>
      </c>
      <c r="B8" s="4" t="s">
        <v>52</v>
      </c>
      <c r="C8" s="640">
        <v>205392001.58803767</v>
      </c>
      <c r="D8" s="640"/>
      <c r="E8" s="640"/>
      <c r="F8" s="641"/>
      <c r="G8" s="640"/>
      <c r="H8" s="640"/>
      <c r="I8" s="640"/>
      <c r="J8" s="640"/>
      <c r="K8" s="640"/>
      <c r="L8" s="640"/>
      <c r="M8" s="640">
        <v>63383989.387588508</v>
      </c>
      <c r="N8" s="640"/>
      <c r="O8" s="640"/>
      <c r="P8" s="640"/>
      <c r="Q8" s="640"/>
      <c r="R8" s="641"/>
      <c r="S8" s="164">
        <f>$C$6*SUM(C8:D8)+$E$6*SUM(E8:F8)+$G$6*SUM(G8:H8)+$I$6*SUM(I8:J8)+$K$6*SUM(K8:L8)+$M$6*SUM(M8:N8)+$O$6*SUM(O8:P8)+$Q$6*SUM(Q8:R8)</f>
        <v>63383989.387588508</v>
      </c>
    </row>
    <row r="9" spans="1:19" ht="13.8">
      <c r="A9" s="78">
        <v>2</v>
      </c>
      <c r="B9" s="4" t="s">
        <v>53</v>
      </c>
      <c r="C9" s="642"/>
      <c r="D9" s="640"/>
      <c r="E9" s="640"/>
      <c r="F9" s="640"/>
      <c r="G9" s="640"/>
      <c r="H9" s="640"/>
      <c r="I9" s="640"/>
      <c r="J9" s="640"/>
      <c r="K9" s="640"/>
      <c r="L9" s="640"/>
      <c r="M9" s="640"/>
      <c r="N9" s="640"/>
      <c r="O9" s="640"/>
      <c r="P9" s="640"/>
      <c r="Q9" s="640"/>
      <c r="R9" s="641"/>
      <c r="S9" s="164">
        <f t="shared" ref="S9:S21" si="0">$C$6*SUM(C9:D9)+$E$6*SUM(E9:F9)+$G$6*SUM(G9:H9)+$I$6*SUM(I9:J9)+$K$6*SUM(K9:L9)+$M$6*SUM(M9:N9)+$O$6*SUM(O9:P9)+$Q$6*SUM(Q9:R9)</f>
        <v>0</v>
      </c>
    </row>
    <row r="10" spans="1:19" ht="13.8">
      <c r="A10" s="78">
        <v>3</v>
      </c>
      <c r="B10" s="4" t="s">
        <v>153</v>
      </c>
      <c r="C10" s="642"/>
      <c r="D10" s="640"/>
      <c r="E10" s="640"/>
      <c r="F10" s="640"/>
      <c r="G10" s="640"/>
      <c r="H10" s="640"/>
      <c r="I10" s="640"/>
      <c r="J10" s="640"/>
      <c r="K10" s="640"/>
      <c r="L10" s="640"/>
      <c r="M10" s="640"/>
      <c r="N10" s="640"/>
      <c r="O10" s="640"/>
      <c r="P10" s="640"/>
      <c r="Q10" s="640"/>
      <c r="R10" s="641"/>
      <c r="S10" s="164">
        <f t="shared" si="0"/>
        <v>0</v>
      </c>
    </row>
    <row r="11" spans="1:19" ht="13.8">
      <c r="A11" s="78">
        <v>4</v>
      </c>
      <c r="B11" s="4" t="s">
        <v>54</v>
      </c>
      <c r="C11" s="640"/>
      <c r="D11" s="640"/>
      <c r="E11" s="640"/>
      <c r="F11" s="640"/>
      <c r="G11" s="640"/>
      <c r="H11" s="640"/>
      <c r="I11" s="640"/>
      <c r="J11" s="640"/>
      <c r="K11" s="640"/>
      <c r="L11" s="640"/>
      <c r="M11" s="640"/>
      <c r="N11" s="640"/>
      <c r="O11" s="640"/>
      <c r="P11" s="640"/>
      <c r="Q11" s="640"/>
      <c r="R11" s="641"/>
      <c r="S11" s="164">
        <f t="shared" si="0"/>
        <v>0</v>
      </c>
    </row>
    <row r="12" spans="1:19" ht="13.8">
      <c r="A12" s="78">
        <v>5</v>
      </c>
      <c r="B12" s="4" t="s">
        <v>55</v>
      </c>
      <c r="C12" s="640"/>
      <c r="D12" s="640"/>
      <c r="E12" s="640"/>
      <c r="F12" s="640"/>
      <c r="G12" s="640"/>
      <c r="H12" s="640"/>
      <c r="I12" s="640"/>
      <c r="J12" s="640"/>
      <c r="K12" s="640"/>
      <c r="L12" s="640"/>
      <c r="M12" s="640"/>
      <c r="N12" s="640"/>
      <c r="O12" s="640"/>
      <c r="P12" s="640"/>
      <c r="Q12" s="640"/>
      <c r="R12" s="641"/>
      <c r="S12" s="164">
        <f t="shared" si="0"/>
        <v>0</v>
      </c>
    </row>
    <row r="13" spans="1:19" ht="13.8">
      <c r="A13" s="78">
        <v>6</v>
      </c>
      <c r="B13" s="4" t="s">
        <v>56</v>
      </c>
      <c r="C13" s="640"/>
      <c r="D13" s="640"/>
      <c r="E13" s="640">
        <v>130395303.88173689</v>
      </c>
      <c r="F13" s="640"/>
      <c r="G13" s="640"/>
      <c r="H13" s="640"/>
      <c r="I13" s="640">
        <v>45492559.896446496</v>
      </c>
      <c r="J13" s="640"/>
      <c r="K13" s="640"/>
      <c r="L13" s="640"/>
      <c r="M13" s="640">
        <v>153993.0910861755</v>
      </c>
      <c r="N13" s="640"/>
      <c r="O13" s="640">
        <v>13205.236365490391</v>
      </c>
      <c r="P13" s="640"/>
      <c r="Q13" s="640"/>
      <c r="R13" s="641"/>
      <c r="S13" s="164">
        <f t="shared" si="0"/>
        <v>48999141.670205049</v>
      </c>
    </row>
    <row r="14" spans="1:19" ht="13.8">
      <c r="A14" s="78">
        <v>7</v>
      </c>
      <c r="B14" s="4" t="s">
        <v>57</v>
      </c>
      <c r="C14" s="640"/>
      <c r="D14" s="640"/>
      <c r="E14" s="640"/>
      <c r="F14" s="640"/>
      <c r="G14" s="640"/>
      <c r="H14" s="640"/>
      <c r="I14" s="640"/>
      <c r="J14" s="640"/>
      <c r="K14" s="640"/>
      <c r="L14" s="640"/>
      <c r="M14" s="640">
        <v>106389590.00907707</v>
      </c>
      <c r="N14" s="640">
        <v>9681550.5</v>
      </c>
      <c r="O14" s="640"/>
      <c r="P14" s="640"/>
      <c r="Q14" s="640"/>
      <c r="R14" s="641"/>
      <c r="S14" s="164">
        <f t="shared" si="0"/>
        <v>116071140.50907707</v>
      </c>
    </row>
    <row r="15" spans="1:19" ht="13.8">
      <c r="A15" s="78">
        <v>8</v>
      </c>
      <c r="B15" s="4" t="s">
        <v>58</v>
      </c>
      <c r="C15" s="640"/>
      <c r="D15" s="640"/>
      <c r="E15" s="640"/>
      <c r="F15" s="640"/>
      <c r="G15" s="640"/>
      <c r="H15" s="640"/>
      <c r="I15" s="640" t="s">
        <v>5</v>
      </c>
      <c r="J15" s="640"/>
      <c r="K15" s="640">
        <v>2598157275.9244156</v>
      </c>
      <c r="L15" s="640">
        <v>102240928</v>
      </c>
      <c r="M15" s="640"/>
      <c r="N15" s="640"/>
      <c r="O15" s="640"/>
      <c r="P15" s="640"/>
      <c r="Q15" s="640"/>
      <c r="R15" s="641"/>
      <c r="S15" s="164">
        <f t="shared" si="0"/>
        <v>2025298652.9433117</v>
      </c>
    </row>
    <row r="16" spans="1:19" ht="13.8">
      <c r="A16" s="78">
        <v>9</v>
      </c>
      <c r="B16" s="4" t="s">
        <v>59</v>
      </c>
      <c r="C16" s="640"/>
      <c r="D16" s="640"/>
      <c r="E16" s="640"/>
      <c r="F16" s="640"/>
      <c r="G16" s="640">
        <v>147049761.7362324</v>
      </c>
      <c r="H16" s="640"/>
      <c r="I16" s="640"/>
      <c r="J16" s="640"/>
      <c r="K16" s="640"/>
      <c r="L16" s="640"/>
      <c r="M16" s="640"/>
      <c r="N16" s="640"/>
      <c r="O16" s="640"/>
      <c r="P16" s="640"/>
      <c r="Q16" s="640"/>
      <c r="R16" s="641"/>
      <c r="S16" s="164">
        <f t="shared" si="0"/>
        <v>51467416.607681334</v>
      </c>
    </row>
    <row r="17" spans="1:19" ht="13.8">
      <c r="A17" s="78">
        <v>10</v>
      </c>
      <c r="B17" s="4" t="s">
        <v>60</v>
      </c>
      <c r="C17" s="640"/>
      <c r="D17" s="640"/>
      <c r="E17" s="640"/>
      <c r="F17" s="640"/>
      <c r="G17" s="640"/>
      <c r="H17" s="640"/>
      <c r="I17" s="640">
        <v>88707.400723332306</v>
      </c>
      <c r="J17" s="640"/>
      <c r="K17" s="640"/>
      <c r="L17" s="640"/>
      <c r="M17" s="640">
        <v>5131063.254381977</v>
      </c>
      <c r="N17" s="640"/>
      <c r="O17" s="640"/>
      <c r="P17" s="640"/>
      <c r="Q17" s="640"/>
      <c r="R17" s="641"/>
      <c r="S17" s="164">
        <f t="shared" si="0"/>
        <v>5175416.9547436433</v>
      </c>
    </row>
    <row r="18" spans="1:19" ht="13.8">
      <c r="A18" s="78">
        <v>11</v>
      </c>
      <c r="B18" s="4" t="s">
        <v>61</v>
      </c>
      <c r="C18" s="640"/>
      <c r="D18" s="640"/>
      <c r="E18" s="640"/>
      <c r="F18" s="640"/>
      <c r="G18" s="640"/>
      <c r="H18" s="640"/>
      <c r="I18" s="640"/>
      <c r="J18" s="640"/>
      <c r="K18" s="640"/>
      <c r="L18" s="640"/>
      <c r="M18" s="640"/>
      <c r="N18" s="640"/>
      <c r="O18" s="640"/>
      <c r="P18" s="640"/>
      <c r="Q18" s="640"/>
      <c r="R18" s="641"/>
      <c r="S18" s="164">
        <f t="shared" si="0"/>
        <v>0</v>
      </c>
    </row>
    <row r="19" spans="1:19" ht="13.8">
      <c r="A19" s="78">
        <v>12</v>
      </c>
      <c r="B19" s="4" t="s">
        <v>62</v>
      </c>
      <c r="C19" s="640"/>
      <c r="D19" s="640"/>
      <c r="E19" s="640"/>
      <c r="F19" s="640"/>
      <c r="G19" s="640"/>
      <c r="H19" s="640"/>
      <c r="I19" s="640"/>
      <c r="J19" s="640"/>
      <c r="K19" s="640"/>
      <c r="L19" s="640"/>
      <c r="M19" s="640"/>
      <c r="N19" s="640"/>
      <c r="O19" s="640"/>
      <c r="P19" s="640"/>
      <c r="Q19" s="640"/>
      <c r="R19" s="641"/>
      <c r="S19" s="164">
        <f t="shared" si="0"/>
        <v>0</v>
      </c>
    </row>
    <row r="20" spans="1:19" ht="13.8">
      <c r="A20" s="78">
        <v>13</v>
      </c>
      <c r="B20" s="4" t="s">
        <v>145</v>
      </c>
      <c r="C20" s="640"/>
      <c r="D20" s="640"/>
      <c r="E20" s="640"/>
      <c r="F20" s="640"/>
      <c r="G20" s="640"/>
      <c r="H20" s="640"/>
      <c r="I20" s="640"/>
      <c r="J20" s="640"/>
      <c r="K20" s="640"/>
      <c r="L20" s="640"/>
      <c r="M20" s="640"/>
      <c r="N20" s="640"/>
      <c r="O20" s="640"/>
      <c r="P20" s="640"/>
      <c r="Q20" s="640"/>
      <c r="R20" s="641"/>
      <c r="S20" s="164">
        <f t="shared" si="0"/>
        <v>0</v>
      </c>
    </row>
    <row r="21" spans="1:19" ht="13.8">
      <c r="A21" s="78">
        <v>14</v>
      </c>
      <c r="B21" s="4" t="s">
        <v>64</v>
      </c>
      <c r="C21" s="640">
        <v>101498534.20000002</v>
      </c>
      <c r="D21" s="640"/>
      <c r="E21" s="640"/>
      <c r="F21" s="640"/>
      <c r="G21" s="640"/>
      <c r="H21" s="640"/>
      <c r="I21" s="640"/>
      <c r="J21" s="640"/>
      <c r="K21" s="640"/>
      <c r="L21" s="640"/>
      <c r="M21" s="640">
        <v>112636055.80000004</v>
      </c>
      <c r="N21" s="640"/>
      <c r="O21" s="640"/>
      <c r="P21" s="640"/>
      <c r="Q21" s="640"/>
      <c r="R21" s="641">
        <v>1991498.97</v>
      </c>
      <c r="S21" s="164">
        <f t="shared" si="0"/>
        <v>117614803.22500004</v>
      </c>
    </row>
    <row r="22" spans="1:19" ht="13.8" thickBot="1">
      <c r="A22" s="80"/>
      <c r="B22" s="81" t="s">
        <v>65</v>
      </c>
      <c r="C22" s="82">
        <f>SUM(C8:C21)</f>
        <v>306890535.78803766</v>
      </c>
      <c r="D22" s="82">
        <f t="shared" ref="D22:J22" si="1">SUM(D8:D21)</f>
        <v>0</v>
      </c>
      <c r="E22" s="82">
        <f t="shared" si="1"/>
        <v>130395303.88173689</v>
      </c>
      <c r="F22" s="82">
        <f t="shared" si="1"/>
        <v>0</v>
      </c>
      <c r="G22" s="82">
        <f t="shared" si="1"/>
        <v>147049761.7362324</v>
      </c>
      <c r="H22" s="82">
        <f t="shared" si="1"/>
        <v>0</v>
      </c>
      <c r="I22" s="82">
        <f t="shared" si="1"/>
        <v>45581267.297169827</v>
      </c>
      <c r="J22" s="82">
        <f t="shared" si="1"/>
        <v>0</v>
      </c>
      <c r="K22" s="82">
        <f t="shared" ref="K22:S22" si="2">SUM(K8:K21)</f>
        <v>2598157275.9244156</v>
      </c>
      <c r="L22" s="82">
        <f t="shared" si="2"/>
        <v>102240928</v>
      </c>
      <c r="M22" s="82">
        <f t="shared" si="2"/>
        <v>287694691.54213381</v>
      </c>
      <c r="N22" s="82">
        <f t="shared" si="2"/>
        <v>9681550.5</v>
      </c>
      <c r="O22" s="82">
        <f t="shared" si="2"/>
        <v>13205.236365490391</v>
      </c>
      <c r="P22" s="82">
        <f t="shared" si="2"/>
        <v>0</v>
      </c>
      <c r="Q22" s="82">
        <f t="shared" si="2"/>
        <v>0</v>
      </c>
      <c r="R22" s="82">
        <f t="shared" si="2"/>
        <v>1991498.97</v>
      </c>
      <c r="S22" s="165">
        <f t="shared" si="2"/>
        <v>2428010561.2976074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14" sqref="D14"/>
    </sheetView>
  </sheetViews>
  <sheetFormatPr defaultColWidth="9.21875" defaultRowHeight="13.2"/>
  <cols>
    <col min="1" max="1" width="10.5546875" style="7" bestFit="1" customWidth="1"/>
    <col min="2" max="2" width="63.77734375" style="7" bestFit="1" customWidth="1"/>
    <col min="3" max="3" width="19" style="7" customWidth="1"/>
    <col min="4" max="4" width="19.5546875" style="7" customWidth="1"/>
    <col min="5" max="5" width="31.21875" style="7" customWidth="1"/>
    <col min="6" max="6" width="29.21875" style="7" customWidth="1"/>
    <col min="7" max="7" width="28.5546875" style="7" customWidth="1"/>
    <col min="8" max="8" width="26.44140625" style="7" customWidth="1"/>
    <col min="9" max="9" width="23.77734375" style="7" customWidth="1"/>
    <col min="10" max="10" width="21.5546875" style="7" customWidth="1"/>
    <col min="11" max="11" width="15.77734375" style="7" customWidth="1"/>
    <col min="12" max="12" width="13.21875" style="7" customWidth="1"/>
    <col min="13" max="13" width="20.77734375" style="7" customWidth="1"/>
    <col min="14" max="14" width="19.21875" style="7" customWidth="1"/>
    <col min="15" max="15" width="18.44140625" style="7" customWidth="1"/>
    <col min="16" max="16" width="19" style="7" customWidth="1"/>
    <col min="17" max="17" width="20.21875" style="7" customWidth="1"/>
    <col min="18" max="18" width="18" style="7" customWidth="1"/>
    <col min="19" max="19" width="36" style="7" customWidth="1"/>
    <col min="20" max="20" width="26.21875" style="7" customWidth="1"/>
    <col min="21" max="21" width="24.77734375" style="7" customWidth="1"/>
    <col min="22" max="22" width="20" style="7" customWidth="1"/>
    <col min="23" max="16384" width="9.21875" style="19"/>
  </cols>
  <sheetData>
    <row r="1" spans="1:22">
      <c r="A1" s="5" t="s">
        <v>31</v>
      </c>
      <c r="B1" s="6" t="str">
        <f>'Info '!C2</f>
        <v>JSC "CREDOBANK"</v>
      </c>
    </row>
    <row r="2" spans="1:22">
      <c r="A2" s="5" t="s">
        <v>32</v>
      </c>
      <c r="B2" s="261">
        <f>'1. key ratios '!B2</f>
        <v>45930</v>
      </c>
    </row>
    <row r="4" spans="1:22" ht="13.8" thickBot="1">
      <c r="A4" s="7" t="s">
        <v>231</v>
      </c>
      <c r="B4" s="83" t="s">
        <v>51</v>
      </c>
      <c r="V4" s="20" t="s">
        <v>36</v>
      </c>
    </row>
    <row r="5" spans="1:22" ht="12.75" customHeight="1">
      <c r="A5" s="84"/>
      <c r="B5" s="85"/>
      <c r="C5" s="762" t="s">
        <v>157</v>
      </c>
      <c r="D5" s="763"/>
      <c r="E5" s="763"/>
      <c r="F5" s="763"/>
      <c r="G5" s="763"/>
      <c r="H5" s="763"/>
      <c r="I5" s="763"/>
      <c r="J5" s="763"/>
      <c r="K5" s="763"/>
      <c r="L5" s="764"/>
      <c r="M5" s="765" t="s">
        <v>158</v>
      </c>
      <c r="N5" s="766"/>
      <c r="O5" s="766"/>
      <c r="P5" s="766"/>
      <c r="Q5" s="766"/>
      <c r="R5" s="766"/>
      <c r="S5" s="767"/>
      <c r="T5" s="770" t="s">
        <v>229</v>
      </c>
      <c r="U5" s="770" t="s">
        <v>230</v>
      </c>
      <c r="V5" s="768" t="s">
        <v>77</v>
      </c>
    </row>
    <row r="6" spans="1:22" s="45" customFormat="1" ht="105.6">
      <c r="A6" s="43"/>
      <c r="B6" s="86"/>
      <c r="C6" s="87" t="s">
        <v>66</v>
      </c>
      <c r="D6" s="127" t="s">
        <v>67</v>
      </c>
      <c r="E6" s="105" t="s">
        <v>160</v>
      </c>
      <c r="F6" s="105" t="s">
        <v>161</v>
      </c>
      <c r="G6" s="127" t="s">
        <v>164</v>
      </c>
      <c r="H6" s="127" t="s">
        <v>159</v>
      </c>
      <c r="I6" s="127" t="s">
        <v>68</v>
      </c>
      <c r="J6" s="127" t="s">
        <v>69</v>
      </c>
      <c r="K6" s="88" t="s">
        <v>70</v>
      </c>
      <c r="L6" s="89" t="s">
        <v>71</v>
      </c>
      <c r="M6" s="87" t="s">
        <v>162</v>
      </c>
      <c r="N6" s="88" t="s">
        <v>72</v>
      </c>
      <c r="O6" s="88" t="s">
        <v>73</v>
      </c>
      <c r="P6" s="88" t="s">
        <v>74</v>
      </c>
      <c r="Q6" s="88" t="s">
        <v>75</v>
      </c>
      <c r="R6" s="88" t="s">
        <v>76</v>
      </c>
      <c r="S6" s="145" t="s">
        <v>163</v>
      </c>
      <c r="T6" s="771"/>
      <c r="U6" s="771"/>
      <c r="V6" s="769"/>
    </row>
    <row r="7" spans="1:22">
      <c r="A7" s="90">
        <v>1</v>
      </c>
      <c r="B7" s="4" t="s">
        <v>52</v>
      </c>
      <c r="C7" s="91"/>
      <c r="D7" s="79"/>
      <c r="E7" s="79"/>
      <c r="F7" s="79"/>
      <c r="G7" s="79"/>
      <c r="H7" s="79"/>
      <c r="I7" s="79"/>
      <c r="J7" s="79"/>
      <c r="K7" s="79"/>
      <c r="L7" s="92"/>
      <c r="M7" s="91"/>
      <c r="N7" s="79"/>
      <c r="O7" s="79"/>
      <c r="P7" s="79"/>
      <c r="Q7" s="79"/>
      <c r="R7" s="79"/>
      <c r="S7" s="92"/>
      <c r="T7" s="153"/>
      <c r="U7" s="153"/>
      <c r="V7" s="93">
        <f>SUM(C7:S7)</f>
        <v>0</v>
      </c>
    </row>
    <row r="8" spans="1:22">
      <c r="A8" s="90">
        <v>2</v>
      </c>
      <c r="B8" s="4" t="s">
        <v>53</v>
      </c>
      <c r="C8" s="91"/>
      <c r="D8" s="79"/>
      <c r="E8" s="79"/>
      <c r="F8" s="79"/>
      <c r="G8" s="79"/>
      <c r="H8" s="79"/>
      <c r="I8" s="79"/>
      <c r="J8" s="79"/>
      <c r="K8" s="79"/>
      <c r="L8" s="92"/>
      <c r="M8" s="91"/>
      <c r="N8" s="79"/>
      <c r="O8" s="79"/>
      <c r="P8" s="79"/>
      <c r="Q8" s="79"/>
      <c r="R8" s="79"/>
      <c r="S8" s="92"/>
      <c r="T8" s="153"/>
      <c r="U8" s="153"/>
      <c r="V8" s="93">
        <f t="shared" ref="V8:V20" si="0">SUM(C8:S8)</f>
        <v>0</v>
      </c>
    </row>
    <row r="9" spans="1:22">
      <c r="A9" s="90">
        <v>3</v>
      </c>
      <c r="B9" s="4" t="s">
        <v>154</v>
      </c>
      <c r="C9" s="91"/>
      <c r="D9" s="79"/>
      <c r="E9" s="79"/>
      <c r="F9" s="79"/>
      <c r="G9" s="79"/>
      <c r="H9" s="79"/>
      <c r="I9" s="79"/>
      <c r="J9" s="79"/>
      <c r="K9" s="79"/>
      <c r="L9" s="92"/>
      <c r="M9" s="91"/>
      <c r="N9" s="79"/>
      <c r="O9" s="79"/>
      <c r="P9" s="79"/>
      <c r="Q9" s="79"/>
      <c r="R9" s="79"/>
      <c r="S9" s="92"/>
      <c r="T9" s="153"/>
      <c r="U9" s="153"/>
      <c r="V9" s="93">
        <f t="shared" si="0"/>
        <v>0</v>
      </c>
    </row>
    <row r="10" spans="1:22">
      <c r="A10" s="90">
        <v>4</v>
      </c>
      <c r="B10" s="4" t="s">
        <v>54</v>
      </c>
      <c r="C10" s="91"/>
      <c r="D10" s="79"/>
      <c r="E10" s="79"/>
      <c r="F10" s="79"/>
      <c r="G10" s="79"/>
      <c r="H10" s="79"/>
      <c r="I10" s="79"/>
      <c r="J10" s="79"/>
      <c r="K10" s="79"/>
      <c r="L10" s="92"/>
      <c r="M10" s="91"/>
      <c r="N10" s="79"/>
      <c r="O10" s="79"/>
      <c r="P10" s="79"/>
      <c r="Q10" s="79"/>
      <c r="R10" s="79"/>
      <c r="S10" s="92"/>
      <c r="T10" s="153"/>
      <c r="U10" s="153"/>
      <c r="V10" s="93">
        <f t="shared" si="0"/>
        <v>0</v>
      </c>
    </row>
    <row r="11" spans="1:22">
      <c r="A11" s="90">
        <v>5</v>
      </c>
      <c r="B11" s="4" t="s">
        <v>55</v>
      </c>
      <c r="C11" s="91"/>
      <c r="D11" s="79"/>
      <c r="E11" s="79"/>
      <c r="F11" s="79"/>
      <c r="G11" s="79"/>
      <c r="H11" s="79"/>
      <c r="I11" s="79"/>
      <c r="J11" s="79"/>
      <c r="K11" s="79"/>
      <c r="L11" s="92"/>
      <c r="M11" s="91"/>
      <c r="N11" s="79"/>
      <c r="O11" s="79"/>
      <c r="P11" s="79"/>
      <c r="Q11" s="79"/>
      <c r="R11" s="79"/>
      <c r="S11" s="92"/>
      <c r="T11" s="153"/>
      <c r="U11" s="153"/>
      <c r="V11" s="93">
        <f t="shared" si="0"/>
        <v>0</v>
      </c>
    </row>
    <row r="12" spans="1:22">
      <c r="A12" s="90">
        <v>6</v>
      </c>
      <c r="B12" s="4" t="s">
        <v>56</v>
      </c>
      <c r="C12" s="91"/>
      <c r="D12" s="79"/>
      <c r="E12" s="79"/>
      <c r="F12" s="79"/>
      <c r="G12" s="79"/>
      <c r="H12" s="79"/>
      <c r="I12" s="79"/>
      <c r="J12" s="79"/>
      <c r="K12" s="79"/>
      <c r="L12" s="92"/>
      <c r="M12" s="91"/>
      <c r="N12" s="79"/>
      <c r="O12" s="79"/>
      <c r="P12" s="79"/>
      <c r="Q12" s="79"/>
      <c r="R12" s="79"/>
      <c r="S12" s="92"/>
      <c r="T12" s="153"/>
      <c r="U12" s="153"/>
      <c r="V12" s="93">
        <f t="shared" si="0"/>
        <v>0</v>
      </c>
    </row>
    <row r="13" spans="1:22">
      <c r="A13" s="90">
        <v>7</v>
      </c>
      <c r="B13" s="4" t="s">
        <v>57</v>
      </c>
      <c r="C13" s="91"/>
      <c r="D13" s="79"/>
      <c r="E13" s="79"/>
      <c r="F13" s="79"/>
      <c r="G13" s="79"/>
      <c r="H13" s="79"/>
      <c r="I13" s="79"/>
      <c r="J13" s="79"/>
      <c r="K13" s="79"/>
      <c r="L13" s="92"/>
      <c r="M13" s="91"/>
      <c r="N13" s="79"/>
      <c r="O13" s="79"/>
      <c r="P13" s="79"/>
      <c r="Q13" s="79"/>
      <c r="R13" s="79"/>
      <c r="S13" s="92"/>
      <c r="T13" s="153"/>
      <c r="U13" s="153"/>
      <c r="V13" s="93">
        <f t="shared" si="0"/>
        <v>0</v>
      </c>
    </row>
    <row r="14" spans="1:22" ht="13.8">
      <c r="A14" s="90">
        <v>8</v>
      </c>
      <c r="B14" s="4" t="s">
        <v>58</v>
      </c>
      <c r="C14" s="91"/>
      <c r="D14" s="640">
        <v>5149236.0710000014</v>
      </c>
      <c r="E14" s="79"/>
      <c r="F14" s="79"/>
      <c r="G14" s="79"/>
      <c r="H14" s="79"/>
      <c r="I14" s="79"/>
      <c r="J14" s="79"/>
      <c r="K14" s="79"/>
      <c r="L14" s="92"/>
      <c r="M14" s="91"/>
      <c r="N14" s="79"/>
      <c r="O14" s="79"/>
      <c r="P14" s="79"/>
      <c r="Q14" s="79"/>
      <c r="R14" s="79"/>
      <c r="S14" s="92"/>
      <c r="T14" s="153"/>
      <c r="U14" s="153"/>
      <c r="V14" s="93">
        <f t="shared" si="0"/>
        <v>5149236.0710000014</v>
      </c>
    </row>
    <row r="15" spans="1:22">
      <c r="A15" s="90">
        <v>9</v>
      </c>
      <c r="B15" s="4" t="s">
        <v>59</v>
      </c>
      <c r="C15" s="91"/>
      <c r="D15" s="79"/>
      <c r="E15" s="79"/>
      <c r="F15" s="79"/>
      <c r="G15" s="79"/>
      <c r="H15" s="79"/>
      <c r="I15" s="79"/>
      <c r="J15" s="79"/>
      <c r="K15" s="79"/>
      <c r="L15" s="92"/>
      <c r="M15" s="91"/>
      <c r="N15" s="79"/>
      <c r="O15" s="79"/>
      <c r="P15" s="79"/>
      <c r="Q15" s="79"/>
      <c r="R15" s="79"/>
      <c r="S15" s="92"/>
      <c r="T15" s="153"/>
      <c r="U15" s="153"/>
      <c r="V15" s="93">
        <f t="shared" si="0"/>
        <v>0</v>
      </c>
    </row>
    <row r="16" spans="1:22">
      <c r="A16" s="90">
        <v>10</v>
      </c>
      <c r="B16" s="4" t="s">
        <v>60</v>
      </c>
      <c r="C16" s="91"/>
      <c r="D16" s="79"/>
      <c r="E16" s="79"/>
      <c r="F16" s="79"/>
      <c r="G16" s="79"/>
      <c r="H16" s="79"/>
      <c r="I16" s="79"/>
      <c r="J16" s="79"/>
      <c r="K16" s="79"/>
      <c r="L16" s="92"/>
      <c r="M16" s="91"/>
      <c r="N16" s="79"/>
      <c r="O16" s="79"/>
      <c r="P16" s="79"/>
      <c r="Q16" s="79"/>
      <c r="R16" s="79"/>
      <c r="S16" s="92"/>
      <c r="T16" s="153"/>
      <c r="U16" s="153"/>
      <c r="V16" s="93">
        <f t="shared" si="0"/>
        <v>0</v>
      </c>
    </row>
    <row r="17" spans="1:22">
      <c r="A17" s="90">
        <v>11</v>
      </c>
      <c r="B17" s="4" t="s">
        <v>61</v>
      </c>
      <c r="C17" s="91"/>
      <c r="D17" s="79"/>
      <c r="E17" s="79"/>
      <c r="F17" s="79"/>
      <c r="G17" s="79"/>
      <c r="H17" s="79"/>
      <c r="I17" s="79"/>
      <c r="J17" s="79"/>
      <c r="K17" s="79"/>
      <c r="L17" s="92"/>
      <c r="M17" s="91"/>
      <c r="N17" s="79"/>
      <c r="O17" s="79"/>
      <c r="P17" s="79"/>
      <c r="Q17" s="79"/>
      <c r="R17" s="79"/>
      <c r="S17" s="92"/>
      <c r="T17" s="153"/>
      <c r="U17" s="153"/>
      <c r="V17" s="93">
        <f t="shared" si="0"/>
        <v>0</v>
      </c>
    </row>
    <row r="18" spans="1:22">
      <c r="A18" s="90">
        <v>12</v>
      </c>
      <c r="B18" s="4" t="s">
        <v>62</v>
      </c>
      <c r="C18" s="91"/>
      <c r="D18" s="79"/>
      <c r="E18" s="79"/>
      <c r="F18" s="79"/>
      <c r="G18" s="79"/>
      <c r="H18" s="79"/>
      <c r="I18" s="79"/>
      <c r="J18" s="79"/>
      <c r="K18" s="79"/>
      <c r="L18" s="92"/>
      <c r="M18" s="91"/>
      <c r="N18" s="79"/>
      <c r="O18" s="79"/>
      <c r="P18" s="79"/>
      <c r="Q18" s="79"/>
      <c r="R18" s="79"/>
      <c r="S18" s="92"/>
      <c r="T18" s="153"/>
      <c r="U18" s="153"/>
      <c r="V18" s="93">
        <f t="shared" si="0"/>
        <v>0</v>
      </c>
    </row>
    <row r="19" spans="1:22">
      <c r="A19" s="90">
        <v>13</v>
      </c>
      <c r="B19" s="4" t="s">
        <v>63</v>
      </c>
      <c r="C19" s="91"/>
      <c r="D19" s="79"/>
      <c r="E19" s="79"/>
      <c r="F19" s="79"/>
      <c r="G19" s="79"/>
      <c r="H19" s="79"/>
      <c r="I19" s="79"/>
      <c r="J19" s="79"/>
      <c r="K19" s="79"/>
      <c r="L19" s="92"/>
      <c r="M19" s="91"/>
      <c r="N19" s="79"/>
      <c r="O19" s="79"/>
      <c r="P19" s="79"/>
      <c r="Q19" s="79"/>
      <c r="R19" s="79"/>
      <c r="S19" s="92"/>
      <c r="T19" s="153"/>
      <c r="U19" s="153"/>
      <c r="V19" s="93">
        <f t="shared" si="0"/>
        <v>0</v>
      </c>
    </row>
    <row r="20" spans="1:22">
      <c r="A20" s="90">
        <v>14</v>
      </c>
      <c r="B20" s="4" t="s">
        <v>64</v>
      </c>
      <c r="C20" s="91"/>
      <c r="D20" s="79"/>
      <c r="E20" s="79"/>
      <c r="F20" s="79"/>
      <c r="G20" s="79"/>
      <c r="H20" s="79"/>
      <c r="I20" s="79"/>
      <c r="J20" s="79"/>
      <c r="K20" s="79"/>
      <c r="L20" s="92"/>
      <c r="M20" s="91"/>
      <c r="N20" s="79"/>
      <c r="O20" s="79"/>
      <c r="P20" s="79"/>
      <c r="Q20" s="79"/>
      <c r="R20" s="79"/>
      <c r="S20" s="92"/>
      <c r="T20" s="153"/>
      <c r="U20" s="153"/>
      <c r="V20" s="93">
        <f t="shared" si="0"/>
        <v>0</v>
      </c>
    </row>
    <row r="21" spans="1:22" ht="13.8" thickBot="1">
      <c r="A21" s="80"/>
      <c r="B21" s="94" t="s">
        <v>65</v>
      </c>
      <c r="C21" s="95">
        <f>SUM(C7:C20)</f>
        <v>0</v>
      </c>
      <c r="D21" s="82">
        <f t="shared" ref="D21:V21" si="1">SUM(D7:D20)</f>
        <v>5149236.0710000014</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0</v>
      </c>
      <c r="U21" s="96">
        <f t="shared" ref="U21" si="2">SUM(U7:U20)</f>
        <v>0</v>
      </c>
      <c r="V21" s="97">
        <f t="shared" si="1"/>
        <v>5149236.0710000014</v>
      </c>
    </row>
    <row r="24" spans="1:22">
      <c r="C24" s="27"/>
      <c r="D24" s="27"/>
      <c r="E24" s="27"/>
    </row>
    <row r="25" spans="1:22">
      <c r="A25" s="42"/>
      <c r="B25" s="42"/>
      <c r="D25" s="27"/>
      <c r="E25" s="27"/>
    </row>
    <row r="26" spans="1:22">
      <c r="A26" s="42"/>
      <c r="B26" s="28"/>
      <c r="D26" s="27"/>
      <c r="E26" s="27"/>
    </row>
    <row r="27" spans="1:22">
      <c r="A27" s="42"/>
      <c r="B27" s="42"/>
      <c r="D27" s="27"/>
      <c r="E27" s="27"/>
    </row>
    <row r="28" spans="1:22">
      <c r="A28" s="42"/>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12" sqref="B12"/>
    </sheetView>
  </sheetViews>
  <sheetFormatPr defaultColWidth="9.21875" defaultRowHeight="13.8"/>
  <cols>
    <col min="1" max="1" width="10.5546875" style="7" bestFit="1" customWidth="1"/>
    <col min="2" max="2" width="101.77734375" style="7" customWidth="1"/>
    <col min="3" max="3" width="13.77734375" style="132" customWidth="1"/>
    <col min="4" max="4" width="14.77734375" style="132" bestFit="1" customWidth="1"/>
    <col min="5" max="5" width="17.77734375" style="132" customWidth="1"/>
    <col min="6" max="6" width="15.77734375" style="132" customWidth="1"/>
    <col min="7" max="7" width="17.44140625" style="132" customWidth="1"/>
    <col min="8" max="8" width="15.21875" style="132" customWidth="1"/>
    <col min="9" max="16384" width="9.21875" style="19"/>
  </cols>
  <sheetData>
    <row r="1" spans="1:9">
      <c r="A1" s="5" t="s">
        <v>31</v>
      </c>
      <c r="B1" s="7" t="str">
        <f>'Info '!C2</f>
        <v>JSC "CREDOBANK"</v>
      </c>
      <c r="C1" s="6"/>
    </row>
    <row r="2" spans="1:9">
      <c r="A2" s="5" t="s">
        <v>32</v>
      </c>
      <c r="B2" s="261">
        <f>'1. key ratios '!B2</f>
        <v>45930</v>
      </c>
      <c r="C2" s="261"/>
    </row>
    <row r="4" spans="1:9" ht="14.4" thickBot="1">
      <c r="A4" s="5" t="s">
        <v>151</v>
      </c>
      <c r="B4" s="83" t="s">
        <v>240</v>
      </c>
    </row>
    <row r="5" spans="1:9">
      <c r="A5" s="84"/>
      <c r="B5" s="98"/>
      <c r="C5" s="154" t="s">
        <v>0</v>
      </c>
      <c r="D5" s="154" t="s">
        <v>1</v>
      </c>
      <c r="E5" s="154" t="s">
        <v>2</v>
      </c>
      <c r="F5" s="154" t="s">
        <v>3</v>
      </c>
      <c r="G5" s="155" t="s">
        <v>4</v>
      </c>
      <c r="H5" s="156" t="s">
        <v>6</v>
      </c>
      <c r="I5" s="99"/>
    </row>
    <row r="6" spans="1:9" s="99" customFormat="1" ht="12.75" customHeight="1">
      <c r="A6" s="100"/>
      <c r="B6" s="774" t="s">
        <v>150</v>
      </c>
      <c r="C6" s="760" t="s">
        <v>233</v>
      </c>
      <c r="D6" s="776" t="s">
        <v>232</v>
      </c>
      <c r="E6" s="777"/>
      <c r="F6" s="760" t="s">
        <v>237</v>
      </c>
      <c r="G6" s="760" t="s">
        <v>238</v>
      </c>
      <c r="H6" s="772" t="s">
        <v>236</v>
      </c>
    </row>
    <row r="7" spans="1:9" ht="41.4">
      <c r="A7" s="102"/>
      <c r="B7" s="775"/>
      <c r="C7" s="761"/>
      <c r="D7" s="157" t="s">
        <v>235</v>
      </c>
      <c r="E7" s="157" t="s">
        <v>234</v>
      </c>
      <c r="F7" s="761"/>
      <c r="G7" s="761"/>
      <c r="H7" s="773"/>
      <c r="I7" s="99"/>
    </row>
    <row r="8" spans="1:9">
      <c r="A8" s="100">
        <v>1</v>
      </c>
      <c r="B8" s="4" t="s">
        <v>52</v>
      </c>
      <c r="C8" s="158">
        <v>268775990.97562617</v>
      </c>
      <c r="D8" s="158"/>
      <c r="E8" s="158"/>
      <c r="F8" s="158">
        <v>63383989.387588508</v>
      </c>
      <c r="G8" s="159">
        <v>63383989.387588508</v>
      </c>
      <c r="H8" s="161">
        <f>G8/(C8+E8)</f>
        <v>0.23582459563263766</v>
      </c>
    </row>
    <row r="9" spans="1:9" ht="15" customHeight="1">
      <c r="A9" s="100">
        <v>2</v>
      </c>
      <c r="B9" s="4" t="s">
        <v>53</v>
      </c>
      <c r="C9" s="158"/>
      <c r="D9" s="158"/>
      <c r="E9" s="158"/>
      <c r="F9" s="158"/>
      <c r="G9" s="159"/>
      <c r="H9" s="161"/>
    </row>
    <row r="10" spans="1:9">
      <c r="A10" s="100">
        <v>3</v>
      </c>
      <c r="B10" s="4" t="s">
        <v>154</v>
      </c>
      <c r="C10" s="158"/>
      <c r="D10" s="158"/>
      <c r="E10" s="158"/>
      <c r="F10" s="158"/>
      <c r="G10" s="159"/>
      <c r="H10" s="161"/>
    </row>
    <row r="11" spans="1:9">
      <c r="A11" s="100">
        <v>4</v>
      </c>
      <c r="B11" s="4" t="s">
        <v>54</v>
      </c>
      <c r="C11" s="158"/>
      <c r="D11" s="158"/>
      <c r="E11" s="158"/>
      <c r="F11" s="158"/>
      <c r="G11" s="159"/>
      <c r="H11" s="161"/>
    </row>
    <row r="12" spans="1:9">
      <c r="A12" s="100">
        <v>5</v>
      </c>
      <c r="B12" s="4" t="s">
        <v>55</v>
      </c>
      <c r="C12" s="158"/>
      <c r="D12" s="158"/>
      <c r="E12" s="158"/>
      <c r="F12" s="158"/>
      <c r="G12" s="159"/>
      <c r="H12" s="161"/>
    </row>
    <row r="13" spans="1:9">
      <c r="A13" s="100">
        <v>6</v>
      </c>
      <c r="B13" s="4" t="s">
        <v>56</v>
      </c>
      <c r="C13" s="158">
        <v>176055062.10563508</v>
      </c>
      <c r="D13" s="158"/>
      <c r="E13" s="158"/>
      <c r="F13" s="158">
        <v>48999141.670205049</v>
      </c>
      <c r="G13" s="159">
        <v>48999141.670205049</v>
      </c>
      <c r="H13" s="161">
        <f t="shared" ref="H13:H21" si="0">G13/(C13+E13)</f>
        <v>0.2783171417178848</v>
      </c>
    </row>
    <row r="14" spans="1:9">
      <c r="A14" s="100">
        <v>7</v>
      </c>
      <c r="B14" s="4" t="s">
        <v>57</v>
      </c>
      <c r="C14" s="158">
        <v>106389590.00907707</v>
      </c>
      <c r="D14" s="158">
        <v>19363101</v>
      </c>
      <c r="E14" s="158">
        <v>9681550.5</v>
      </c>
      <c r="F14" s="158">
        <v>116071140.50907707</v>
      </c>
      <c r="G14" s="159">
        <v>116071140.50907707</v>
      </c>
      <c r="H14" s="161">
        <f t="shared" si="0"/>
        <v>1</v>
      </c>
    </row>
    <row r="15" spans="1:9">
      <c r="A15" s="100">
        <v>8</v>
      </c>
      <c r="B15" s="4" t="s">
        <v>58</v>
      </c>
      <c r="C15" s="158">
        <v>2598157275.9244156</v>
      </c>
      <c r="D15" s="158">
        <v>395903987</v>
      </c>
      <c r="E15" s="158">
        <v>102240928</v>
      </c>
      <c r="F15" s="158">
        <v>2025298652.94331</v>
      </c>
      <c r="G15" s="159">
        <v>2020149417.1223099</v>
      </c>
      <c r="H15" s="161">
        <f t="shared" si="0"/>
        <v>0.74809315684867572</v>
      </c>
    </row>
    <row r="16" spans="1:9">
      <c r="A16" s="100">
        <v>9</v>
      </c>
      <c r="B16" s="4" t="s">
        <v>59</v>
      </c>
      <c r="C16" s="158">
        <v>147049761.7362324</v>
      </c>
      <c r="D16" s="158"/>
      <c r="E16" s="158"/>
      <c r="F16" s="158">
        <v>51467416.607681334</v>
      </c>
      <c r="G16" s="159">
        <v>51467416.607681334</v>
      </c>
      <c r="H16" s="161">
        <f t="shared" si="0"/>
        <v>0.35</v>
      </c>
    </row>
    <row r="17" spans="1:8">
      <c r="A17" s="100">
        <v>10</v>
      </c>
      <c r="B17" s="4" t="s">
        <v>60</v>
      </c>
      <c r="C17" s="158">
        <v>5219770.6551053096</v>
      </c>
      <c r="D17" s="158"/>
      <c r="E17" s="158"/>
      <c r="F17" s="158">
        <v>5175416.9547436433</v>
      </c>
      <c r="G17" s="159">
        <v>5175416.9547436433</v>
      </c>
      <c r="H17" s="161">
        <f t="shared" si="0"/>
        <v>0.99150274920253723</v>
      </c>
    </row>
    <row r="18" spans="1:8">
      <c r="A18" s="100">
        <v>11</v>
      </c>
      <c r="B18" s="4" t="s">
        <v>61</v>
      </c>
      <c r="C18" s="158"/>
      <c r="D18" s="158"/>
      <c r="E18" s="158"/>
      <c r="F18" s="158"/>
      <c r="G18" s="159"/>
      <c r="H18" s="161"/>
    </row>
    <row r="19" spans="1:8">
      <c r="A19" s="100">
        <v>12</v>
      </c>
      <c r="B19" s="4" t="s">
        <v>62</v>
      </c>
      <c r="C19" s="158"/>
      <c r="D19" s="158"/>
      <c r="E19" s="158"/>
      <c r="F19" s="158"/>
      <c r="G19" s="159"/>
      <c r="H19" s="161"/>
    </row>
    <row r="20" spans="1:8">
      <c r="A20" s="100">
        <v>13</v>
      </c>
      <c r="B20" s="4" t="s">
        <v>145</v>
      </c>
      <c r="C20" s="158"/>
      <c r="D20" s="158"/>
      <c r="E20" s="158"/>
      <c r="F20" s="158"/>
      <c r="G20" s="159"/>
      <c r="H20" s="161"/>
    </row>
    <row r="21" spans="1:8">
      <c r="A21" s="100">
        <v>14</v>
      </c>
      <c r="B21" s="4" t="s">
        <v>64</v>
      </c>
      <c r="C21" s="158">
        <v>216126088.97000006</v>
      </c>
      <c r="D21" s="158"/>
      <c r="E21" s="158"/>
      <c r="F21" s="158">
        <v>117614803.22500002</v>
      </c>
      <c r="G21" s="159">
        <v>117614803.22500002</v>
      </c>
      <c r="H21" s="161">
        <f t="shared" si="0"/>
        <v>0.54419530647836711</v>
      </c>
    </row>
    <row r="22" spans="1:8" ht="14.4" thickBot="1">
      <c r="A22" s="103"/>
      <c r="B22" s="104" t="s">
        <v>65</v>
      </c>
      <c r="C22" s="160">
        <f>SUM(C8:C21)</f>
        <v>3517773540.3760915</v>
      </c>
      <c r="D22" s="160">
        <f>SUM(D8:D21)</f>
        <v>415267088</v>
      </c>
      <c r="E22" s="160">
        <f>SUM(E8:E21)</f>
        <v>111922478.5</v>
      </c>
      <c r="F22" s="160">
        <f>SUM(F8:F21)</f>
        <v>2428010561.2976055</v>
      </c>
      <c r="G22" s="160">
        <f>SUM(G8:G21)</f>
        <v>2422861325.4766054</v>
      </c>
      <c r="H22" s="162">
        <f>G22/(C22+E22)</f>
        <v>0.66751080886019387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21875" defaultRowHeight="13.8"/>
  <cols>
    <col min="1" max="1" width="10.5546875" style="132" bestFit="1" customWidth="1"/>
    <col min="2" max="2" width="104.21875" style="132" customWidth="1"/>
    <col min="3" max="11" width="12.77734375" style="132" customWidth="1"/>
    <col min="12" max="16384" width="9.21875" style="132"/>
  </cols>
  <sheetData>
    <row r="1" spans="1:11">
      <c r="A1" s="132" t="s">
        <v>31</v>
      </c>
      <c r="B1" s="6" t="str">
        <f>'Info '!C2</f>
        <v>JSC "CREDOBANK"</v>
      </c>
    </row>
    <row r="2" spans="1:11">
      <c r="A2" s="132" t="s">
        <v>32</v>
      </c>
      <c r="B2" s="261">
        <f>'1. key ratios '!B2</f>
        <v>45930</v>
      </c>
    </row>
    <row r="4" spans="1:11" ht="14.4" thickBot="1">
      <c r="A4" s="132" t="s">
        <v>147</v>
      </c>
      <c r="B4" s="200" t="s">
        <v>241</v>
      </c>
    </row>
    <row r="5" spans="1:11" ht="30" customHeight="1">
      <c r="A5" s="778"/>
      <c r="B5" s="779"/>
      <c r="C5" s="780" t="s">
        <v>293</v>
      </c>
      <c r="D5" s="780"/>
      <c r="E5" s="780"/>
      <c r="F5" s="780" t="s">
        <v>294</v>
      </c>
      <c r="G5" s="780"/>
      <c r="H5" s="780"/>
      <c r="I5" s="780" t="s">
        <v>295</v>
      </c>
      <c r="J5" s="780"/>
      <c r="K5" s="781"/>
    </row>
    <row r="6" spans="1:11">
      <c r="A6" s="173"/>
      <c r="B6" s="174"/>
      <c r="C6" s="21" t="s">
        <v>33</v>
      </c>
      <c r="D6" s="21" t="s">
        <v>34</v>
      </c>
      <c r="E6" s="21" t="s">
        <v>35</v>
      </c>
      <c r="F6" s="21" t="s">
        <v>33</v>
      </c>
      <c r="G6" s="21" t="s">
        <v>34</v>
      </c>
      <c r="H6" s="21" t="s">
        <v>35</v>
      </c>
      <c r="I6" s="21" t="s">
        <v>33</v>
      </c>
      <c r="J6" s="21" t="s">
        <v>34</v>
      </c>
      <c r="K6" s="21" t="s">
        <v>35</v>
      </c>
    </row>
    <row r="7" spans="1:11">
      <c r="A7" s="175" t="s">
        <v>244</v>
      </c>
      <c r="B7" s="176"/>
      <c r="C7" s="176"/>
      <c r="D7" s="176"/>
      <c r="E7" s="176"/>
      <c r="F7" s="176"/>
      <c r="G7" s="176"/>
      <c r="H7" s="176"/>
      <c r="I7" s="176"/>
      <c r="J7" s="176"/>
      <c r="K7" s="177"/>
    </row>
    <row r="8" spans="1:11">
      <c r="A8" s="178">
        <v>1</v>
      </c>
      <c r="B8" s="179" t="s">
        <v>242</v>
      </c>
      <c r="C8" s="180"/>
      <c r="D8" s="180"/>
      <c r="E8" s="180"/>
      <c r="F8" s="181">
        <v>230624034.01554352</v>
      </c>
      <c r="G8" s="181">
        <v>281496861.00728244</v>
      </c>
      <c r="H8" s="644">
        <f>F8+G8</f>
        <v>512120895.02282596</v>
      </c>
      <c r="I8" s="654">
        <v>135131888.98391303</v>
      </c>
      <c r="J8" s="654">
        <v>107678219.09369564</v>
      </c>
      <c r="K8" s="645">
        <f>I8+J8</f>
        <v>242810108.07760867</v>
      </c>
    </row>
    <row r="9" spans="1:11">
      <c r="A9" s="175" t="s">
        <v>245</v>
      </c>
      <c r="B9" s="176"/>
      <c r="C9" s="176"/>
      <c r="D9" s="176"/>
      <c r="E9" s="176"/>
      <c r="F9" s="176"/>
      <c r="G9" s="176"/>
      <c r="H9" s="176"/>
      <c r="I9" s="176"/>
      <c r="J9" s="176"/>
      <c r="K9" s="177"/>
    </row>
    <row r="10" spans="1:11">
      <c r="A10" s="182">
        <v>2</v>
      </c>
      <c r="B10" s="183" t="s">
        <v>253</v>
      </c>
      <c r="C10" s="605">
        <v>502724928.52404481</v>
      </c>
      <c r="D10" s="643">
        <v>425054577.10657883</v>
      </c>
      <c r="E10" s="644">
        <f>C10+D10</f>
        <v>927779505.63062358</v>
      </c>
      <c r="F10" s="643">
        <v>89299689.779646754</v>
      </c>
      <c r="G10" s="643">
        <v>123550620.44807975</v>
      </c>
      <c r="H10" s="644">
        <f t="shared" ref="H10:H15" si="0">F10+G10</f>
        <v>212850310.22772652</v>
      </c>
      <c r="I10" s="643">
        <v>25735945.163804356</v>
      </c>
      <c r="J10" s="643">
        <v>36139482.17852629</v>
      </c>
      <c r="K10" s="645">
        <f t="shared" ref="K10:K15" si="1">I10+J10</f>
        <v>61875427.342330649</v>
      </c>
    </row>
    <row r="11" spans="1:11">
      <c r="A11" s="182">
        <v>3</v>
      </c>
      <c r="B11" s="183" t="s">
        <v>247</v>
      </c>
      <c r="C11" s="605">
        <v>1727693948.6560001</v>
      </c>
      <c r="D11" s="643">
        <v>721126536.52475476</v>
      </c>
      <c r="E11" s="644">
        <f t="shared" ref="E11:E15" si="2">C11+D11</f>
        <v>2448820485.1807547</v>
      </c>
      <c r="F11" s="643">
        <v>65694506.52178634</v>
      </c>
      <c r="G11" s="643">
        <v>41513710.343750209</v>
      </c>
      <c r="H11" s="644">
        <f t="shared" si="0"/>
        <v>107208216.86553654</v>
      </c>
      <c r="I11" s="643">
        <v>59958971.962005436</v>
      </c>
      <c r="J11" s="643">
        <v>41272297.773181297</v>
      </c>
      <c r="K11" s="645">
        <f t="shared" si="1"/>
        <v>101231269.73518673</v>
      </c>
    </row>
    <row r="12" spans="1:11">
      <c r="A12" s="182">
        <v>4</v>
      </c>
      <c r="B12" s="183" t="s">
        <v>248</v>
      </c>
      <c r="C12" s="605">
        <v>51333333.333333336</v>
      </c>
      <c r="D12" s="643">
        <v>0</v>
      </c>
      <c r="E12" s="644">
        <f t="shared" si="2"/>
        <v>51333333.333333336</v>
      </c>
      <c r="F12" s="643"/>
      <c r="G12" s="643"/>
      <c r="H12" s="644">
        <f t="shared" si="0"/>
        <v>0</v>
      </c>
      <c r="I12" s="643"/>
      <c r="J12" s="643"/>
      <c r="K12" s="645">
        <f t="shared" si="1"/>
        <v>0</v>
      </c>
    </row>
    <row r="13" spans="1:11">
      <c r="A13" s="182">
        <v>5</v>
      </c>
      <c r="B13" s="183" t="s">
        <v>256</v>
      </c>
      <c r="C13" s="605">
        <v>393410174.1647777</v>
      </c>
      <c r="D13" s="643">
        <v>42197872.945777774</v>
      </c>
      <c r="E13" s="644">
        <f t="shared" si="2"/>
        <v>435608047.11055547</v>
      </c>
      <c r="F13" s="643">
        <v>63131692.7076011</v>
      </c>
      <c r="G13" s="643">
        <v>9052956.2161467411</v>
      </c>
      <c r="H13" s="644">
        <f t="shared" si="0"/>
        <v>72184648.923747838</v>
      </c>
      <c r="I13" s="643">
        <v>19653723.635054354</v>
      </c>
      <c r="J13" s="643">
        <v>4624628.4727717396</v>
      </c>
      <c r="K13" s="645">
        <f t="shared" si="1"/>
        <v>24278352.107826091</v>
      </c>
    </row>
    <row r="14" spans="1:11">
      <c r="A14" s="182">
        <v>6</v>
      </c>
      <c r="B14" s="183" t="s">
        <v>288</v>
      </c>
      <c r="C14" s="605"/>
      <c r="D14" s="643"/>
      <c r="E14" s="644">
        <f t="shared" si="2"/>
        <v>0</v>
      </c>
      <c r="F14" s="643"/>
      <c r="G14" s="643"/>
      <c r="H14" s="644">
        <f t="shared" si="0"/>
        <v>0</v>
      </c>
      <c r="I14" s="643"/>
      <c r="J14" s="643"/>
      <c r="K14" s="645">
        <f t="shared" si="1"/>
        <v>0</v>
      </c>
    </row>
    <row r="15" spans="1:11">
      <c r="A15" s="182">
        <v>7</v>
      </c>
      <c r="B15" s="183" t="s">
        <v>289</v>
      </c>
      <c r="C15" s="605">
        <v>11179018.645222221</v>
      </c>
      <c r="D15" s="643">
        <v>2508650.5997777781</v>
      </c>
      <c r="E15" s="644">
        <f t="shared" si="2"/>
        <v>13687669.244999999</v>
      </c>
      <c r="F15" s="643">
        <v>11169555.29423913</v>
      </c>
      <c r="G15" s="643">
        <v>2490365.369239131</v>
      </c>
      <c r="H15" s="644">
        <f t="shared" si="0"/>
        <v>13659920.663478261</v>
      </c>
      <c r="I15" s="643">
        <v>11169555.29423913</v>
      </c>
      <c r="J15" s="643">
        <v>2490365.369239131</v>
      </c>
      <c r="K15" s="645">
        <f t="shared" si="1"/>
        <v>13659920.663478261</v>
      </c>
    </row>
    <row r="16" spans="1:11">
      <c r="A16" s="182">
        <v>8</v>
      </c>
      <c r="B16" s="184" t="s">
        <v>249</v>
      </c>
      <c r="C16" s="605">
        <f>SUM(C10:C15)</f>
        <v>2686341403.3233786</v>
      </c>
      <c r="D16" s="605">
        <f t="shared" ref="D16:E16" si="3">SUM(D10:D15)</f>
        <v>1190887637.1768889</v>
      </c>
      <c r="E16" s="606">
        <f t="shared" si="3"/>
        <v>3877229040.5002675</v>
      </c>
      <c r="F16" s="643">
        <f>SUM(F10:F15)</f>
        <v>229295444.30327332</v>
      </c>
      <c r="G16" s="643">
        <f>SUM(G10:G15)</f>
        <v>176607652.3772158</v>
      </c>
      <c r="H16" s="644">
        <f>SUM(H10:H15)</f>
        <v>405903096.68048912</v>
      </c>
      <c r="I16" s="643">
        <f>SUM(I10:I15)</f>
        <v>116518196.05510327</v>
      </c>
      <c r="J16" s="643">
        <f t="shared" ref="J16:K16" si="4">SUM(J10:J15)</f>
        <v>84526773.793718457</v>
      </c>
      <c r="K16" s="644">
        <f t="shared" si="4"/>
        <v>201044969.84882173</v>
      </c>
    </row>
    <row r="17" spans="1:11">
      <c r="A17" s="175" t="s">
        <v>246</v>
      </c>
      <c r="B17" s="176"/>
      <c r="C17" s="646"/>
      <c r="D17" s="646"/>
      <c r="E17" s="646"/>
      <c r="F17" s="646"/>
      <c r="G17" s="646"/>
      <c r="H17" s="646"/>
      <c r="I17" s="646"/>
      <c r="J17" s="646"/>
      <c r="K17" s="647"/>
    </row>
    <row r="18" spans="1:11">
      <c r="A18" s="182">
        <v>9</v>
      </c>
      <c r="B18" s="183" t="s">
        <v>252</v>
      </c>
      <c r="C18" s="605">
        <v>0</v>
      </c>
      <c r="D18" s="643">
        <v>0</v>
      </c>
      <c r="E18" s="644">
        <f t="shared" ref="E18:E20" si="5">C18+D18</f>
        <v>0</v>
      </c>
      <c r="F18" s="643"/>
      <c r="G18" s="643"/>
      <c r="H18" s="644">
        <f t="shared" ref="H18:H20" si="6">F18+G18</f>
        <v>0</v>
      </c>
      <c r="I18" s="643"/>
      <c r="J18" s="643"/>
      <c r="K18" s="648">
        <f>I18+J18</f>
        <v>0</v>
      </c>
    </row>
    <row r="19" spans="1:11">
      <c r="A19" s="182">
        <v>10</v>
      </c>
      <c r="B19" s="183" t="s">
        <v>290</v>
      </c>
      <c r="C19" s="605">
        <v>2323350027.6174917</v>
      </c>
      <c r="D19" s="643">
        <v>273375861.05350655</v>
      </c>
      <c r="E19" s="644">
        <f t="shared" si="5"/>
        <v>2596725888.6709981</v>
      </c>
      <c r="F19" s="643">
        <v>56147290.233280078</v>
      </c>
      <c r="G19" s="643">
        <v>3090375.2894288711</v>
      </c>
      <c r="H19" s="644">
        <f t="shared" si="6"/>
        <v>59237665.522708952</v>
      </c>
      <c r="I19" s="643">
        <v>151639435.26491052</v>
      </c>
      <c r="J19" s="643">
        <v>177077263.5883418</v>
      </c>
      <c r="K19" s="648">
        <f t="shared" ref="K19:K21" si="7">I19+J19</f>
        <v>328716698.85325229</v>
      </c>
    </row>
    <row r="20" spans="1:11">
      <c r="A20" s="182">
        <v>11</v>
      </c>
      <c r="B20" s="183" t="s">
        <v>251</v>
      </c>
      <c r="C20" s="605">
        <v>393605.78888888872</v>
      </c>
      <c r="D20" s="643">
        <v>0</v>
      </c>
      <c r="E20" s="644">
        <f t="shared" si="5"/>
        <v>393605.78888888872</v>
      </c>
      <c r="F20" s="643">
        <v>135081.29347826095</v>
      </c>
      <c r="G20" s="643">
        <v>0</v>
      </c>
      <c r="H20" s="644">
        <f t="shared" si="6"/>
        <v>135081.29347826095</v>
      </c>
      <c r="I20" s="643">
        <v>135081.29347826095</v>
      </c>
      <c r="J20" s="643">
        <v>0</v>
      </c>
      <c r="K20" s="648">
        <f t="shared" si="7"/>
        <v>135081.29347826095</v>
      </c>
    </row>
    <row r="21" spans="1:11" ht="14.4" thickBot="1">
      <c r="A21" s="185">
        <v>12</v>
      </c>
      <c r="B21" s="186" t="s">
        <v>250</v>
      </c>
      <c r="C21" s="649">
        <f>SUM(C18:C20)</f>
        <v>2323743633.4063807</v>
      </c>
      <c r="D21" s="649">
        <f t="shared" ref="D21:E21" si="8">SUM(D18:D20)</f>
        <v>273375861.05350655</v>
      </c>
      <c r="E21" s="650">
        <f t="shared" si="8"/>
        <v>2597119494.459887</v>
      </c>
      <c r="F21" s="651">
        <f>SUM(F19:F20)</f>
        <v>56282371.526758336</v>
      </c>
      <c r="G21" s="651">
        <f>SUM(G19:G20)</f>
        <v>3090375.2894288711</v>
      </c>
      <c r="H21" s="652">
        <f>SUM(H18:H20)</f>
        <v>59372746.81618721</v>
      </c>
      <c r="I21" s="651">
        <f>SUM(I19:I20)</f>
        <v>151774516.55838877</v>
      </c>
      <c r="J21" s="651">
        <f>SUM(J19:J20)</f>
        <v>177077263.5883418</v>
      </c>
      <c r="K21" s="653">
        <f t="shared" si="7"/>
        <v>328851780.14673054</v>
      </c>
    </row>
    <row r="22" spans="1:11" ht="38.25" customHeight="1" thickBot="1">
      <c r="A22" s="187"/>
      <c r="B22" s="188"/>
      <c r="C22" s="188"/>
      <c r="D22" s="188"/>
      <c r="E22" s="188"/>
      <c r="F22" s="782" t="s">
        <v>292</v>
      </c>
      <c r="G22" s="780"/>
      <c r="H22" s="780"/>
      <c r="I22" s="782" t="s">
        <v>257</v>
      </c>
      <c r="J22" s="780"/>
      <c r="K22" s="781"/>
    </row>
    <row r="23" spans="1:11">
      <c r="A23" s="189">
        <v>13</v>
      </c>
      <c r="B23" s="190" t="s">
        <v>242</v>
      </c>
      <c r="C23" s="191"/>
      <c r="D23" s="191"/>
      <c r="E23" s="191"/>
      <c r="F23" s="659">
        <f>F8</f>
        <v>230624034.01554352</v>
      </c>
      <c r="G23" s="659">
        <f>G8</f>
        <v>281496861.00728244</v>
      </c>
      <c r="H23" s="660">
        <f>F23+G23</f>
        <v>512120895.02282596</v>
      </c>
      <c r="I23" s="659">
        <f>I8</f>
        <v>135131888.98391303</v>
      </c>
      <c r="J23" s="659">
        <f>J8</f>
        <v>107678219.09369564</v>
      </c>
      <c r="K23" s="661">
        <f>I23+J23</f>
        <v>242810108.07760867</v>
      </c>
    </row>
    <row r="24" spans="1:11" ht="14.4" thickBot="1">
      <c r="A24" s="192">
        <v>14</v>
      </c>
      <c r="B24" s="193" t="s">
        <v>254</v>
      </c>
      <c r="C24" s="194"/>
      <c r="D24" s="195"/>
      <c r="E24" s="196"/>
      <c r="F24" s="655">
        <f>MAX(F16-F21,F16*0.25)</f>
        <v>173013072.77651498</v>
      </c>
      <c r="G24" s="655">
        <f t="shared" ref="G24:H24" si="9">MAX(G16-G21,G16*0.25)</f>
        <v>173517277.08778694</v>
      </c>
      <c r="H24" s="655">
        <f t="shared" si="9"/>
        <v>346530349.86430192</v>
      </c>
      <c r="I24" s="655">
        <f>MAX(I16-I21,I16*0.25)</f>
        <v>29129549.013775818</v>
      </c>
      <c r="J24" s="655">
        <f t="shared" ref="J24:K24" si="10">MAX(J16-J21,J16*0.25)</f>
        <v>21131693.448429614</v>
      </c>
      <c r="K24" s="656">
        <f t="shared" si="10"/>
        <v>50261242.462205432</v>
      </c>
    </row>
    <row r="25" spans="1:11" ht="14.4" thickBot="1">
      <c r="A25" s="197">
        <v>15</v>
      </c>
      <c r="B25" s="198" t="s">
        <v>255</v>
      </c>
      <c r="C25" s="199"/>
      <c r="D25" s="199"/>
      <c r="E25" s="199"/>
      <c r="F25" s="657">
        <f t="shared" ref="F25:K25" si="11">F23/F24</f>
        <v>1.3329861744808496</v>
      </c>
      <c r="G25" s="657">
        <f t="shared" si="11"/>
        <v>1.6222987458756961</v>
      </c>
      <c r="H25" s="657">
        <f t="shared" si="11"/>
        <v>1.4778529361811101</v>
      </c>
      <c r="I25" s="657">
        <f t="shared" si="11"/>
        <v>4.6389969484253619</v>
      </c>
      <c r="J25" s="657">
        <f t="shared" si="11"/>
        <v>5.0955792708462591</v>
      </c>
      <c r="K25" s="658">
        <f t="shared" si="11"/>
        <v>4.8309611180064396</v>
      </c>
    </row>
    <row r="27" spans="1:11" ht="27">
      <c r="B27" s="172" t="s">
        <v>291</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P7" sqref="P7"/>
    </sheetView>
  </sheetViews>
  <sheetFormatPr defaultColWidth="9.21875" defaultRowHeight="13.2"/>
  <cols>
    <col min="1" max="1" width="10.5546875" style="7" bestFit="1" customWidth="1"/>
    <col min="2" max="2" width="95" style="7" customWidth="1"/>
    <col min="3" max="3" width="12.5546875" style="7" bestFit="1" customWidth="1"/>
    <col min="4" max="4" width="11.44140625" style="7" customWidth="1"/>
    <col min="5" max="5" width="18.21875" style="7" bestFit="1" customWidth="1"/>
    <col min="6" max="13" width="12.77734375" style="7" customWidth="1"/>
    <col min="14" max="14" width="31" style="7" bestFit="1" customWidth="1"/>
    <col min="15" max="16" width="9.21875" style="19"/>
    <col min="17" max="17" width="44.21875" style="19" customWidth="1"/>
    <col min="18" max="16384" width="9.21875" style="19"/>
  </cols>
  <sheetData>
    <row r="1" spans="1:17" ht="13.8">
      <c r="A1" s="443" t="s">
        <v>717</v>
      </c>
      <c r="B1" s="481" t="str">
        <f>'Info '!C2</f>
        <v>JSC "CREDOBANK"</v>
      </c>
      <c r="C1" s="481"/>
      <c r="D1" s="481"/>
      <c r="E1" s="481"/>
      <c r="F1" s="481"/>
      <c r="G1" s="481"/>
      <c r="H1" s="481"/>
      <c r="I1" s="481"/>
      <c r="J1" s="481"/>
      <c r="K1" s="481"/>
      <c r="L1" s="481"/>
      <c r="M1" s="481"/>
      <c r="N1" s="481"/>
      <c r="O1" s="151"/>
      <c r="P1" s="151"/>
      <c r="Q1" s="151"/>
    </row>
    <row r="2" spans="1:17" ht="14.25" customHeight="1">
      <c r="A2" s="481" t="s">
        <v>718</v>
      </c>
      <c r="B2" s="444">
        <f>'1. key ratios '!B2</f>
        <v>45930</v>
      </c>
      <c r="C2" s="481"/>
      <c r="D2" s="481"/>
      <c r="E2" s="481"/>
      <c r="F2" s="481"/>
      <c r="G2" s="481"/>
      <c r="H2" s="481"/>
      <c r="I2" s="481"/>
      <c r="J2" s="481"/>
      <c r="K2" s="481"/>
      <c r="L2" s="481"/>
      <c r="M2" s="481"/>
      <c r="N2" s="481"/>
      <c r="O2" s="151"/>
      <c r="P2" s="151"/>
      <c r="Q2" s="151"/>
    </row>
    <row r="3" spans="1:17" ht="14.25" customHeight="1">
      <c r="A3" s="481"/>
      <c r="B3" s="151"/>
      <c r="C3" s="151"/>
      <c r="D3" s="151"/>
      <c r="E3" s="151"/>
      <c r="F3" s="151"/>
      <c r="G3" s="151"/>
      <c r="H3" s="151"/>
      <c r="I3" s="151"/>
      <c r="J3" s="151"/>
      <c r="K3" s="151"/>
      <c r="L3" s="151"/>
      <c r="M3" s="151"/>
      <c r="N3" s="151"/>
      <c r="O3" s="151"/>
      <c r="P3" s="151"/>
      <c r="Q3" s="151"/>
    </row>
    <row r="4" spans="1:17" ht="14.4">
      <c r="A4" s="481"/>
      <c r="B4" s="523" t="s">
        <v>719</v>
      </c>
      <c r="C4" s="151"/>
      <c r="D4" s="151"/>
      <c r="E4" s="151"/>
      <c r="F4" s="151"/>
      <c r="G4" s="151"/>
      <c r="H4" s="151"/>
      <c r="I4" s="151"/>
      <c r="J4" s="151"/>
      <c r="K4" s="151"/>
      <c r="L4" s="151"/>
      <c r="M4" s="151"/>
      <c r="N4" s="151"/>
      <c r="O4" s="151"/>
      <c r="P4" s="151"/>
      <c r="Q4" s="151"/>
    </row>
    <row r="5" spans="1:17" ht="57.6">
      <c r="A5" s="481"/>
      <c r="B5" s="524" t="s">
        <v>720</v>
      </c>
      <c r="C5" s="525" t="s">
        <v>721</v>
      </c>
      <c r="D5" s="525" t="s">
        <v>722</v>
      </c>
      <c r="E5" s="525" t="s">
        <v>723</v>
      </c>
      <c r="F5" s="525" t="s">
        <v>724</v>
      </c>
      <c r="G5" s="525" t="s">
        <v>725</v>
      </c>
      <c r="H5" s="525" t="s">
        <v>726</v>
      </c>
      <c r="I5" s="526" t="s">
        <v>727</v>
      </c>
      <c r="J5" s="527">
        <v>0.02</v>
      </c>
      <c r="K5" s="527">
        <v>0.2</v>
      </c>
      <c r="L5" s="527">
        <v>0.35</v>
      </c>
      <c r="M5" s="527">
        <v>0.5</v>
      </c>
      <c r="N5" s="527">
        <v>0.75</v>
      </c>
      <c r="O5" s="527">
        <v>1</v>
      </c>
      <c r="P5" s="527">
        <v>1.5</v>
      </c>
      <c r="Q5" s="528" t="s">
        <v>728</v>
      </c>
    </row>
    <row r="6" spans="1:17" ht="14.4">
      <c r="A6" s="481"/>
      <c r="B6" s="529"/>
      <c r="C6" s="530">
        <f>IF(C7&gt;0,C7,IF(C8&gt;0,C8,IF(C9&gt;0,C9)))</f>
        <v>282314500</v>
      </c>
      <c r="D6" s="662">
        <f>IF(D7&gt;0,D7,IF(D8&gt;0,D8,IF(D9&gt;0,D9)))</f>
        <v>52134.074860265478</v>
      </c>
      <c r="E6" s="530">
        <f>IF(E7&gt;0,E7,IF(E8&gt;0,E8,IF(E9&gt;0,E9,0)))</f>
        <v>0</v>
      </c>
      <c r="F6" s="530">
        <f t="shared" ref="F6:Q6" si="0">IF(F7&gt;0,F7,IF(F8&gt;0,F8,IF(F9&gt;0,F9)))</f>
        <v>52134.074860265478</v>
      </c>
      <c r="G6" s="530">
        <f t="shared" si="0"/>
        <v>4830180.7167582167</v>
      </c>
      <c r="H6" s="530"/>
      <c r="I6" s="530">
        <f t="shared" si="0"/>
        <v>6762253.0034615034</v>
      </c>
      <c r="J6" s="530">
        <f>IF(J7&gt;0,J7,IF(J8&gt;0,J8,IF(J9&gt;0,J9,0)))</f>
        <v>0</v>
      </c>
      <c r="K6" s="530">
        <f>IF(K7&gt;0,K7,IF(K8&gt;0,K8,IF(K9&gt;0,K9,0)))</f>
        <v>0</v>
      </c>
      <c r="L6" s="530">
        <f>IF(L7&gt;0,L7,IF(L8&gt;0,L8,IF(L9&gt;0,L9,0)))</f>
        <v>0</v>
      </c>
      <c r="M6" s="530">
        <f t="shared" si="0"/>
        <v>6085269.2261485802</v>
      </c>
      <c r="N6" s="530">
        <f>IF(N7&gt;0,N7,IF(N8&gt;0,N8,IF(N9&gt;0,N9,0)))</f>
        <v>0</v>
      </c>
      <c r="O6" s="530">
        <f>IF(O7&gt;0,O7,IF(O8&gt;0,O8,IF(O9&gt;0,O9,0)))</f>
        <v>0</v>
      </c>
      <c r="P6" s="530">
        <f>IF(P7&gt;0,P7,IF(P8&gt;0,P8,IF(P9&gt;0,P9,0)))</f>
        <v>0</v>
      </c>
      <c r="Q6" s="530">
        <f t="shared" si="0"/>
        <v>3042634.6130742901</v>
      </c>
    </row>
    <row r="7" spans="1:17" ht="14.4">
      <c r="A7" s="481"/>
      <c r="B7" s="531" t="s">
        <v>729</v>
      </c>
      <c r="C7" s="530">
        <f>C11+C15+C19+C23+C27+C31</f>
        <v>282314500</v>
      </c>
      <c r="D7" s="662">
        <f t="shared" ref="D7:D9" si="1">D11+D15+D19+D23+D27+D31</f>
        <v>52134.074860265478</v>
      </c>
      <c r="E7" s="530">
        <f t="shared" ref="E7:E9" si="2">IF(E8&gt;0,E8,IF(E9&gt;0,E9,IF(E10&gt;0,E10,0)))</f>
        <v>0</v>
      </c>
      <c r="F7" s="530">
        <f t="shared" ref="F7:G9" si="3">F11+F15+F19+F23+F27+F31</f>
        <v>0</v>
      </c>
      <c r="G7" s="530">
        <f t="shared" si="3"/>
        <v>4830180.7167582167</v>
      </c>
      <c r="H7" s="532">
        <v>1.4</v>
      </c>
      <c r="I7" s="533">
        <f t="shared" ref="I7:I33" si="4">(F7+G7)*H7</f>
        <v>6762253.0034615034</v>
      </c>
      <c r="J7" s="530">
        <f>J11+J15+J19+J23+J27+J31</f>
        <v>0</v>
      </c>
      <c r="K7" s="530">
        <f t="shared" ref="J7:Q9" si="5">K11+K15+K19+K23+K27+K31</f>
        <v>0</v>
      </c>
      <c r="L7" s="530">
        <f t="shared" si="5"/>
        <v>0</v>
      </c>
      <c r="M7" s="530">
        <f t="shared" si="5"/>
        <v>6085269.2261485802</v>
      </c>
      <c r="N7" s="530">
        <f t="shared" si="5"/>
        <v>0</v>
      </c>
      <c r="O7" s="530">
        <f t="shared" si="5"/>
        <v>0</v>
      </c>
      <c r="P7" s="530">
        <f t="shared" si="5"/>
        <v>0</v>
      </c>
      <c r="Q7" s="530">
        <f>Q11+Q15+Q19+Q23+Q27+Q31</f>
        <v>3042634.6130742901</v>
      </c>
    </row>
    <row r="8" spans="1:17" ht="14.4">
      <c r="A8" s="481"/>
      <c r="B8" s="531" t="s">
        <v>730</v>
      </c>
      <c r="C8" s="530">
        <f>C12+C16+C20+C24+C28+C32</f>
        <v>282314500</v>
      </c>
      <c r="D8" s="662">
        <f t="shared" si="1"/>
        <v>52134.074860265478</v>
      </c>
      <c r="E8" s="530">
        <f t="shared" si="2"/>
        <v>0</v>
      </c>
      <c r="F8" s="530">
        <f t="shared" si="3"/>
        <v>0</v>
      </c>
      <c r="G8" s="530">
        <f t="shared" si="3"/>
        <v>11292580</v>
      </c>
      <c r="H8" s="532">
        <v>1.4</v>
      </c>
      <c r="I8" s="533">
        <f t="shared" si="4"/>
        <v>15809611.999999998</v>
      </c>
      <c r="J8" s="530">
        <f t="shared" si="5"/>
        <v>0</v>
      </c>
      <c r="K8" s="530">
        <f t="shared" si="5"/>
        <v>0</v>
      </c>
      <c r="L8" s="530">
        <f t="shared" si="5"/>
        <v>0</v>
      </c>
      <c r="M8" s="530">
        <f t="shared" si="5"/>
        <v>15809611.999999998</v>
      </c>
      <c r="N8" s="530">
        <f t="shared" si="5"/>
        <v>0</v>
      </c>
      <c r="O8" s="530">
        <f t="shared" si="5"/>
        <v>0</v>
      </c>
      <c r="P8" s="530">
        <f t="shared" si="5"/>
        <v>0</v>
      </c>
      <c r="Q8" s="530">
        <f>Q12+Q16+Q20+Q24+Q28+Q32</f>
        <v>7904805.9999999991</v>
      </c>
    </row>
    <row r="9" spans="1:17" ht="14.4">
      <c r="A9" s="481"/>
      <c r="B9" s="531" t="s">
        <v>737</v>
      </c>
      <c r="C9" s="530">
        <f>C13+C17+C21+C25+C29+C33</f>
        <v>282314500</v>
      </c>
      <c r="D9" s="662">
        <f t="shared" si="1"/>
        <v>52134.074860265478</v>
      </c>
      <c r="E9" s="530">
        <f t="shared" si="2"/>
        <v>0</v>
      </c>
      <c r="F9" s="530">
        <f t="shared" si="3"/>
        <v>52134.074860265478</v>
      </c>
      <c r="G9" s="530">
        <f t="shared" si="3"/>
        <v>11292582.835000008</v>
      </c>
      <c r="H9" s="532">
        <v>1.4</v>
      </c>
      <c r="I9" s="533">
        <f t="shared" si="4"/>
        <v>15882603.673804382</v>
      </c>
      <c r="J9" s="530">
        <f t="shared" si="5"/>
        <v>0</v>
      </c>
      <c r="K9" s="530">
        <f t="shared" si="5"/>
        <v>0</v>
      </c>
      <c r="L9" s="530">
        <f t="shared" si="5"/>
        <v>0</v>
      </c>
      <c r="M9" s="530">
        <f t="shared" si="5"/>
        <v>15882599.70480437</v>
      </c>
      <c r="N9" s="530">
        <f t="shared" si="5"/>
        <v>0</v>
      </c>
      <c r="O9" s="530">
        <f t="shared" si="5"/>
        <v>0</v>
      </c>
      <c r="P9" s="530">
        <f t="shared" si="5"/>
        <v>0</v>
      </c>
      <c r="Q9" s="530">
        <f t="shared" si="5"/>
        <v>7941299.8524021851</v>
      </c>
    </row>
    <row r="10" spans="1:17" ht="14.4">
      <c r="A10" s="481"/>
      <c r="B10" s="534" t="s">
        <v>731</v>
      </c>
      <c r="C10" s="535"/>
      <c r="D10" s="535"/>
      <c r="E10" s="535"/>
      <c r="F10" s="535"/>
      <c r="G10" s="535"/>
      <c r="H10" s="532">
        <v>1.4</v>
      </c>
      <c r="I10" s="533">
        <f t="shared" si="4"/>
        <v>0</v>
      </c>
      <c r="J10" s="536"/>
      <c r="K10" s="536"/>
      <c r="L10" s="536"/>
      <c r="M10" s="536"/>
      <c r="N10" s="536"/>
      <c r="O10" s="536"/>
      <c r="P10" s="536"/>
      <c r="Q10" s="530">
        <f>SUM(Q11:Q13)</f>
        <v>0</v>
      </c>
    </row>
    <row r="11" spans="1:17" ht="14.4">
      <c r="A11" s="481"/>
      <c r="B11" s="537" t="s">
        <v>729</v>
      </c>
      <c r="C11" s="535"/>
      <c r="D11" s="535"/>
      <c r="E11" s="535"/>
      <c r="F11" s="535"/>
      <c r="G11" s="535"/>
      <c r="H11" s="532">
        <v>1.4</v>
      </c>
      <c r="I11" s="533">
        <f t="shared" si="4"/>
        <v>0</v>
      </c>
      <c r="J11" s="536"/>
      <c r="K11" s="536"/>
      <c r="L11" s="536"/>
      <c r="M11" s="536"/>
      <c r="N11" s="536"/>
      <c r="O11" s="536"/>
      <c r="P11" s="536"/>
      <c r="Q11" s="530">
        <f>SUMPRODUCT($J$5:$P$5,J11:P11)</f>
        <v>0</v>
      </c>
    </row>
    <row r="12" spans="1:17" ht="14.4">
      <c r="A12" s="481"/>
      <c r="B12" s="537" t="s">
        <v>730</v>
      </c>
      <c r="C12" s="535"/>
      <c r="D12" s="535"/>
      <c r="E12" s="535"/>
      <c r="F12" s="535"/>
      <c r="G12" s="535"/>
      <c r="H12" s="532">
        <v>1.4</v>
      </c>
      <c r="I12" s="533">
        <f t="shared" si="4"/>
        <v>0</v>
      </c>
      <c r="J12" s="536"/>
      <c r="K12" s="536"/>
      <c r="L12" s="536"/>
      <c r="M12" s="536"/>
      <c r="N12" s="536"/>
      <c r="O12" s="536"/>
      <c r="P12" s="536"/>
      <c r="Q12" s="530">
        <f t="shared" ref="Q12:Q13" si="6">SUMPRODUCT($J$5:$P$5,J12:P12)</f>
        <v>0</v>
      </c>
    </row>
    <row r="13" spans="1:17" ht="14.4">
      <c r="A13" s="481"/>
      <c r="B13" s="537" t="s">
        <v>737</v>
      </c>
      <c r="C13" s="535"/>
      <c r="D13" s="535"/>
      <c r="E13" s="535"/>
      <c r="F13" s="535"/>
      <c r="G13" s="535"/>
      <c r="H13" s="532">
        <v>1.4</v>
      </c>
      <c r="I13" s="533">
        <f t="shared" si="4"/>
        <v>0</v>
      </c>
      <c r="J13" s="536"/>
      <c r="K13" s="536"/>
      <c r="L13" s="536"/>
      <c r="M13" s="536"/>
      <c r="N13" s="536"/>
      <c r="O13" s="536"/>
      <c r="P13" s="536"/>
      <c r="Q13" s="530">
        <f t="shared" si="6"/>
        <v>0</v>
      </c>
    </row>
    <row r="14" spans="1:17" ht="14.4">
      <c r="A14" s="481"/>
      <c r="B14" s="534" t="s">
        <v>732</v>
      </c>
      <c r="C14" s="535"/>
      <c r="D14" s="535"/>
      <c r="E14" s="535"/>
      <c r="F14" s="535"/>
      <c r="G14" s="535"/>
      <c r="H14" s="532">
        <v>1.4</v>
      </c>
      <c r="I14" s="533">
        <f t="shared" si="4"/>
        <v>0</v>
      </c>
      <c r="J14" s="536"/>
      <c r="K14" s="536"/>
      <c r="L14" s="536"/>
      <c r="M14" s="536"/>
      <c r="N14" s="536"/>
      <c r="O14" s="536"/>
      <c r="P14" s="536"/>
      <c r="Q14" s="530">
        <f>SUM(Q15:Q17)</f>
        <v>18888740.465476476</v>
      </c>
    </row>
    <row r="15" spans="1:17" ht="14.4">
      <c r="A15" s="481"/>
      <c r="B15" s="537" t="s">
        <v>729</v>
      </c>
      <c r="C15" s="535">
        <v>282314500</v>
      </c>
      <c r="D15" s="535">
        <v>52134.074860265478</v>
      </c>
      <c r="E15" s="535">
        <v>0</v>
      </c>
      <c r="F15" s="535">
        <v>0</v>
      </c>
      <c r="G15" s="535">
        <v>4830180.7167582167</v>
      </c>
      <c r="H15" s="532">
        <v>1.4</v>
      </c>
      <c r="I15" s="533">
        <f t="shared" si="4"/>
        <v>6762253.0034615034</v>
      </c>
      <c r="J15" s="536"/>
      <c r="K15" s="536"/>
      <c r="L15" s="536"/>
      <c r="M15" s="663">
        <v>6085269.2261485802</v>
      </c>
      <c r="N15" s="536"/>
      <c r="O15" s="536"/>
      <c r="P15" s="536"/>
      <c r="Q15" s="530">
        <f>SUMPRODUCT($J$5:$P$5,J15:P15)</f>
        <v>3042634.6130742901</v>
      </c>
    </row>
    <row r="16" spans="1:17" ht="14.4">
      <c r="A16" s="481"/>
      <c r="B16" s="537" t="s">
        <v>730</v>
      </c>
      <c r="C16" s="535">
        <v>282314500</v>
      </c>
      <c r="D16" s="535">
        <v>52134.074860265478</v>
      </c>
      <c r="E16" s="535">
        <v>0</v>
      </c>
      <c r="F16" s="535">
        <v>0</v>
      </c>
      <c r="G16" s="535">
        <v>11292580</v>
      </c>
      <c r="H16" s="532">
        <v>1.4</v>
      </c>
      <c r="I16" s="533">
        <f t="shared" si="4"/>
        <v>15809611.999999998</v>
      </c>
      <c r="J16" s="536"/>
      <c r="K16" s="536"/>
      <c r="L16" s="536"/>
      <c r="M16" s="663">
        <v>15809611.999999998</v>
      </c>
      <c r="N16" s="536"/>
      <c r="O16" s="536"/>
      <c r="P16" s="536"/>
      <c r="Q16" s="530">
        <f t="shared" ref="Q16:Q17" si="7">SUMPRODUCT($J$5:$P$5,J16:P16)</f>
        <v>7904805.9999999991</v>
      </c>
    </row>
    <row r="17" spans="1:17" ht="14.4">
      <c r="A17" s="481"/>
      <c r="B17" s="537" t="s">
        <v>737</v>
      </c>
      <c r="C17" s="535">
        <v>282314500</v>
      </c>
      <c r="D17" s="535">
        <v>52134.074860265478</v>
      </c>
      <c r="E17" s="535">
        <v>0</v>
      </c>
      <c r="F17" s="535">
        <v>52134.074860265478</v>
      </c>
      <c r="G17" s="535">
        <v>11292582.835000008</v>
      </c>
      <c r="H17" s="532">
        <v>1.4</v>
      </c>
      <c r="I17" s="533">
        <f t="shared" si="4"/>
        <v>15882603.673804382</v>
      </c>
      <c r="J17" s="536"/>
      <c r="K17" s="536"/>
      <c r="L17" s="536"/>
      <c r="M17" s="663">
        <v>15882599.70480437</v>
      </c>
      <c r="N17" s="536"/>
      <c r="O17" s="536"/>
      <c r="P17" s="536"/>
      <c r="Q17" s="530">
        <f t="shared" si="7"/>
        <v>7941299.8524021851</v>
      </c>
    </row>
    <row r="18" spans="1:17" ht="14.4">
      <c r="A18" s="481"/>
      <c r="B18" s="534" t="s">
        <v>733</v>
      </c>
      <c r="C18" s="535"/>
      <c r="D18" s="535"/>
      <c r="E18" s="535"/>
      <c r="F18" s="535"/>
      <c r="G18" s="535"/>
      <c r="H18" s="532">
        <v>1.4</v>
      </c>
      <c r="I18" s="533">
        <f t="shared" si="4"/>
        <v>0</v>
      </c>
      <c r="J18" s="536"/>
      <c r="K18" s="536"/>
      <c r="L18" s="536"/>
      <c r="M18" s="536"/>
      <c r="N18" s="536"/>
      <c r="O18" s="536"/>
      <c r="P18" s="536"/>
      <c r="Q18" s="530">
        <f>SUM(Q19:Q21)</f>
        <v>0</v>
      </c>
    </row>
    <row r="19" spans="1:17" ht="14.4">
      <c r="A19" s="481"/>
      <c r="B19" s="537" t="s">
        <v>729</v>
      </c>
      <c r="C19" s="535"/>
      <c r="D19" s="535"/>
      <c r="E19" s="535"/>
      <c r="F19" s="535"/>
      <c r="G19" s="535"/>
      <c r="H19" s="532">
        <v>1.4</v>
      </c>
      <c r="I19" s="533">
        <f t="shared" si="4"/>
        <v>0</v>
      </c>
      <c r="J19" s="536"/>
      <c r="K19" s="536"/>
      <c r="L19" s="536"/>
      <c r="M19" s="536"/>
      <c r="N19" s="536"/>
      <c r="O19" s="536"/>
      <c r="P19" s="536"/>
      <c r="Q19" s="530">
        <f>SUMPRODUCT($J$5:$P$5,J19:P19)</f>
        <v>0</v>
      </c>
    </row>
    <row r="20" spans="1:17" ht="14.4">
      <c r="A20" s="481"/>
      <c r="B20" s="537" t="s">
        <v>730</v>
      </c>
      <c r="C20" s="535"/>
      <c r="D20" s="535"/>
      <c r="E20" s="535"/>
      <c r="F20" s="535"/>
      <c r="G20" s="535"/>
      <c r="H20" s="532">
        <v>1.4</v>
      </c>
      <c r="I20" s="533">
        <f t="shared" si="4"/>
        <v>0</v>
      </c>
      <c r="J20" s="536"/>
      <c r="K20" s="536"/>
      <c r="L20" s="536"/>
      <c r="M20" s="536"/>
      <c r="N20" s="536"/>
      <c r="O20" s="536"/>
      <c r="P20" s="536"/>
      <c r="Q20" s="530">
        <f t="shared" ref="Q20:Q21" si="8">SUMPRODUCT($J$5:$P$5,J20:P20)</f>
        <v>0</v>
      </c>
    </row>
    <row r="21" spans="1:17" ht="14.4">
      <c r="A21" s="481"/>
      <c r="B21" s="537" t="s">
        <v>737</v>
      </c>
      <c r="C21" s="535"/>
      <c r="D21" s="535"/>
      <c r="E21" s="535"/>
      <c r="F21" s="535"/>
      <c r="G21" s="535"/>
      <c r="H21" s="532">
        <v>1.4</v>
      </c>
      <c r="I21" s="533">
        <f t="shared" si="4"/>
        <v>0</v>
      </c>
      <c r="J21" s="536"/>
      <c r="K21" s="536"/>
      <c r="L21" s="536"/>
      <c r="M21" s="536"/>
      <c r="N21" s="536"/>
      <c r="O21" s="536"/>
      <c r="P21" s="536"/>
      <c r="Q21" s="530">
        <f t="shared" si="8"/>
        <v>0</v>
      </c>
    </row>
    <row r="22" spans="1:17" ht="14.4">
      <c r="A22" s="481"/>
      <c r="B22" s="534" t="s">
        <v>734</v>
      </c>
      <c r="C22" s="535"/>
      <c r="D22" s="535"/>
      <c r="E22" s="535"/>
      <c r="F22" s="535"/>
      <c r="G22" s="535"/>
      <c r="H22" s="532">
        <v>1.4</v>
      </c>
      <c r="I22" s="533">
        <f t="shared" si="4"/>
        <v>0</v>
      </c>
      <c r="J22" s="536"/>
      <c r="K22" s="536"/>
      <c r="L22" s="536"/>
      <c r="M22" s="536"/>
      <c r="N22" s="536"/>
      <c r="O22" s="536"/>
      <c r="P22" s="536"/>
      <c r="Q22" s="530">
        <f>SUM(Q23:Q25)</f>
        <v>0</v>
      </c>
    </row>
    <row r="23" spans="1:17" ht="14.4">
      <c r="A23" s="481"/>
      <c r="B23" s="537" t="s">
        <v>729</v>
      </c>
      <c r="C23" s="535"/>
      <c r="D23" s="535"/>
      <c r="E23" s="535"/>
      <c r="F23" s="535"/>
      <c r="G23" s="535"/>
      <c r="H23" s="532">
        <v>1.4</v>
      </c>
      <c r="I23" s="533">
        <f t="shared" si="4"/>
        <v>0</v>
      </c>
      <c r="J23" s="536"/>
      <c r="K23" s="536"/>
      <c r="L23" s="536"/>
      <c r="M23" s="536"/>
      <c r="N23" s="536"/>
      <c r="O23" s="536"/>
      <c r="P23" s="536"/>
      <c r="Q23" s="530">
        <f>SUMPRODUCT($J$5:$P$5,J23:P23)</f>
        <v>0</v>
      </c>
    </row>
    <row r="24" spans="1:17" ht="14.4">
      <c r="A24" s="481"/>
      <c r="B24" s="537" t="s">
        <v>730</v>
      </c>
      <c r="C24" s="535"/>
      <c r="D24" s="535"/>
      <c r="E24" s="535"/>
      <c r="F24" s="535"/>
      <c r="G24" s="535"/>
      <c r="H24" s="532">
        <v>1.4</v>
      </c>
      <c r="I24" s="533">
        <f t="shared" si="4"/>
        <v>0</v>
      </c>
      <c r="J24" s="536"/>
      <c r="K24" s="536"/>
      <c r="L24" s="536"/>
      <c r="M24" s="536"/>
      <c r="N24" s="536"/>
      <c r="O24" s="536"/>
      <c r="P24" s="536"/>
      <c r="Q24" s="530">
        <f t="shared" ref="Q24:Q25" si="9">SUMPRODUCT($J$5:$P$5,J24:P24)</f>
        <v>0</v>
      </c>
    </row>
    <row r="25" spans="1:17" ht="14.4">
      <c r="A25" s="481"/>
      <c r="B25" s="537" t="s">
        <v>737</v>
      </c>
      <c r="C25" s="535"/>
      <c r="D25" s="535"/>
      <c r="E25" s="535"/>
      <c r="F25" s="535"/>
      <c r="G25" s="535"/>
      <c r="H25" s="532">
        <v>1.4</v>
      </c>
      <c r="I25" s="533">
        <f t="shared" si="4"/>
        <v>0</v>
      </c>
      <c r="J25" s="536"/>
      <c r="K25" s="536"/>
      <c r="L25" s="536"/>
      <c r="M25" s="536"/>
      <c r="N25" s="536"/>
      <c r="O25" s="536"/>
      <c r="P25" s="536"/>
      <c r="Q25" s="530">
        <f t="shared" si="9"/>
        <v>0</v>
      </c>
    </row>
    <row r="26" spans="1:17" ht="14.4">
      <c r="A26" s="481"/>
      <c r="B26" s="534" t="s">
        <v>735</v>
      </c>
      <c r="C26" s="535"/>
      <c r="D26" s="535"/>
      <c r="E26" s="535"/>
      <c r="F26" s="535"/>
      <c r="G26" s="535"/>
      <c r="H26" s="532">
        <v>1.4</v>
      </c>
      <c r="I26" s="533">
        <f t="shared" si="4"/>
        <v>0</v>
      </c>
      <c r="J26" s="536"/>
      <c r="K26" s="536"/>
      <c r="L26" s="536"/>
      <c r="M26" s="536"/>
      <c r="N26" s="536"/>
      <c r="O26" s="536"/>
      <c r="P26" s="536"/>
      <c r="Q26" s="530">
        <f>SUM(Q27:Q29)</f>
        <v>0</v>
      </c>
    </row>
    <row r="27" spans="1:17" ht="14.4">
      <c r="A27" s="481"/>
      <c r="B27" s="537" t="s">
        <v>729</v>
      </c>
      <c r="C27" s="535"/>
      <c r="D27" s="535"/>
      <c r="E27" s="535"/>
      <c r="F27" s="535"/>
      <c r="G27" s="535"/>
      <c r="H27" s="532">
        <v>1.4</v>
      </c>
      <c r="I27" s="533">
        <f t="shared" si="4"/>
        <v>0</v>
      </c>
      <c r="J27" s="536"/>
      <c r="K27" s="536"/>
      <c r="L27" s="536"/>
      <c r="M27" s="536"/>
      <c r="N27" s="536"/>
      <c r="O27" s="536"/>
      <c r="P27" s="536"/>
      <c r="Q27" s="530">
        <f>SUMPRODUCT($J$5:$P$5,J27:P27)</f>
        <v>0</v>
      </c>
    </row>
    <row r="28" spans="1:17" ht="14.4">
      <c r="A28" s="481"/>
      <c r="B28" s="537" t="s">
        <v>730</v>
      </c>
      <c r="C28" s="535"/>
      <c r="D28" s="535"/>
      <c r="E28" s="535"/>
      <c r="F28" s="535"/>
      <c r="G28" s="535"/>
      <c r="H28" s="532">
        <v>1.4</v>
      </c>
      <c r="I28" s="533">
        <f t="shared" si="4"/>
        <v>0</v>
      </c>
      <c r="J28" s="536"/>
      <c r="K28" s="536"/>
      <c r="L28" s="536"/>
      <c r="M28" s="536"/>
      <c r="N28" s="536"/>
      <c r="O28" s="536"/>
      <c r="P28" s="536"/>
      <c r="Q28" s="530">
        <f t="shared" ref="Q28:Q29" si="10">SUMPRODUCT($J$5:$P$5,J28:P28)</f>
        <v>0</v>
      </c>
    </row>
    <row r="29" spans="1:17" ht="14.4">
      <c r="A29" s="481"/>
      <c r="B29" s="537" t="s">
        <v>737</v>
      </c>
      <c r="C29" s="535"/>
      <c r="D29" s="535"/>
      <c r="E29" s="535"/>
      <c r="F29" s="535"/>
      <c r="G29" s="535"/>
      <c r="H29" s="532">
        <v>1.4</v>
      </c>
      <c r="I29" s="533">
        <f t="shared" si="4"/>
        <v>0</v>
      </c>
      <c r="J29" s="536"/>
      <c r="K29" s="536"/>
      <c r="L29" s="536"/>
      <c r="M29" s="536"/>
      <c r="N29" s="536"/>
      <c r="O29" s="536"/>
      <c r="P29" s="536"/>
      <c r="Q29" s="530">
        <f t="shared" si="10"/>
        <v>0</v>
      </c>
    </row>
    <row r="30" spans="1:17" ht="14.4">
      <c r="A30" s="481"/>
      <c r="B30" s="538" t="s">
        <v>736</v>
      </c>
      <c r="C30" s="535"/>
      <c r="D30" s="535"/>
      <c r="E30" s="535"/>
      <c r="F30" s="535"/>
      <c r="G30" s="535"/>
      <c r="H30" s="532">
        <v>1.4</v>
      </c>
      <c r="I30" s="533">
        <f t="shared" si="4"/>
        <v>0</v>
      </c>
      <c r="J30" s="536"/>
      <c r="K30" s="536"/>
      <c r="L30" s="536"/>
      <c r="M30" s="536"/>
      <c r="N30" s="536"/>
      <c r="O30" s="536"/>
      <c r="P30" s="536"/>
      <c r="Q30" s="530">
        <f>SUM(Q31:Q33)</f>
        <v>0</v>
      </c>
    </row>
    <row r="31" spans="1:17" ht="14.4">
      <c r="A31" s="481"/>
      <c r="B31" s="537" t="s">
        <v>729</v>
      </c>
      <c r="C31" s="535"/>
      <c r="D31" s="535"/>
      <c r="E31" s="535"/>
      <c r="F31" s="535"/>
      <c r="G31" s="535"/>
      <c r="H31" s="532">
        <v>1.4</v>
      </c>
      <c r="I31" s="533">
        <f t="shared" si="4"/>
        <v>0</v>
      </c>
      <c r="J31" s="536"/>
      <c r="K31" s="536"/>
      <c r="L31" s="536"/>
      <c r="M31" s="536"/>
      <c r="N31" s="536"/>
      <c r="O31" s="536"/>
      <c r="P31" s="536"/>
      <c r="Q31" s="530">
        <f>SUMPRODUCT($J$5:$P$5,J31:P31)</f>
        <v>0</v>
      </c>
    </row>
    <row r="32" spans="1:17" ht="14.4">
      <c r="A32" s="481"/>
      <c r="B32" s="537" t="s">
        <v>730</v>
      </c>
      <c r="C32" s="535"/>
      <c r="D32" s="535"/>
      <c r="E32" s="535"/>
      <c r="F32" s="535"/>
      <c r="G32" s="535"/>
      <c r="H32" s="532">
        <v>1.4</v>
      </c>
      <c r="I32" s="533">
        <f t="shared" si="4"/>
        <v>0</v>
      </c>
      <c r="J32" s="536"/>
      <c r="K32" s="536"/>
      <c r="L32" s="536"/>
      <c r="M32" s="536"/>
      <c r="N32" s="536"/>
      <c r="O32" s="536"/>
      <c r="P32" s="536"/>
      <c r="Q32" s="530">
        <f t="shared" ref="Q32:Q33" si="11">SUMPRODUCT($J$5:$P$5,J32:P32)</f>
        <v>0</v>
      </c>
    </row>
    <row r="33" spans="1:17" ht="14.4">
      <c r="A33" s="481"/>
      <c r="B33" s="537" t="s">
        <v>737</v>
      </c>
      <c r="C33" s="535"/>
      <c r="D33" s="535"/>
      <c r="E33" s="535"/>
      <c r="F33" s="535"/>
      <c r="G33" s="535"/>
      <c r="H33" s="532">
        <v>1.4</v>
      </c>
      <c r="I33" s="533">
        <f t="shared" si="4"/>
        <v>0</v>
      </c>
      <c r="J33" s="536"/>
      <c r="K33" s="536"/>
      <c r="L33" s="536"/>
      <c r="M33" s="536"/>
      <c r="N33" s="536"/>
      <c r="O33" s="536"/>
      <c r="P33" s="536"/>
      <c r="Q33" s="530">
        <f t="shared" si="11"/>
        <v>0</v>
      </c>
    </row>
    <row r="34" spans="1:17" ht="14.4">
      <c r="A34" s="481"/>
      <c r="B34" s="539" t="s">
        <v>65</v>
      </c>
      <c r="C34" s="540">
        <f>C6</f>
        <v>282314500</v>
      </c>
      <c r="D34" s="540">
        <f t="shared" ref="D34:G34" si="12">D6</f>
        <v>52134.074860265478</v>
      </c>
      <c r="E34" s="540">
        <f t="shared" si="12"/>
        <v>0</v>
      </c>
      <c r="F34" s="540">
        <f t="shared" si="12"/>
        <v>52134.074860265478</v>
      </c>
      <c r="G34" s="540">
        <f t="shared" si="12"/>
        <v>4830180.7167582167</v>
      </c>
      <c r="H34" s="532">
        <v>1.4</v>
      </c>
      <c r="I34" s="533">
        <f>(F34+G34)*H34</f>
        <v>6835240.7082658745</v>
      </c>
      <c r="J34" s="540">
        <f t="shared" ref="J34:Q34" si="13">J6</f>
        <v>0</v>
      </c>
      <c r="K34" s="540">
        <f t="shared" si="13"/>
        <v>0</v>
      </c>
      <c r="L34" s="540">
        <f t="shared" si="13"/>
        <v>0</v>
      </c>
      <c r="M34" s="540">
        <f t="shared" si="13"/>
        <v>6085269.2261485802</v>
      </c>
      <c r="N34" s="540">
        <f t="shared" si="13"/>
        <v>0</v>
      </c>
      <c r="O34" s="540">
        <f t="shared" si="13"/>
        <v>0</v>
      </c>
      <c r="P34" s="540">
        <f t="shared" si="13"/>
        <v>0</v>
      </c>
      <c r="Q34" s="540">
        <f t="shared" si="13"/>
        <v>3042634.6130742901</v>
      </c>
    </row>
  </sheetData>
  <conditionalFormatting sqref="I7:I34">
    <cfRule type="expression" dxfId="18" priority="1">
      <formula>(C7*#REF!)&lt;&gt;SUM(#REF!)</formula>
    </cfRule>
  </conditionalFormatting>
  <pageMargins left="0.7" right="0.7" top="0.75" bottom="0.75" header="0.3" footer="0.3"/>
  <pageSetup paperSize="9" orientation="portrait" r:id="rId1"/>
  <ignoredErrors>
    <ignoredError sqref="E6 E7:E9"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48" sqref="C48:G50"/>
    </sheetView>
  </sheetViews>
  <sheetFormatPr defaultColWidth="9.21875" defaultRowHeight="13.8"/>
  <cols>
    <col min="1" max="1" width="9.5546875" style="6" bestFit="1" customWidth="1"/>
    <col min="2" max="2" width="86" style="6" customWidth="1"/>
    <col min="3" max="3" width="12.77734375" style="6" customWidth="1"/>
    <col min="4" max="7" width="12.77734375" style="7" customWidth="1"/>
    <col min="8" max="8" width="9.21875" style="8" customWidth="1"/>
    <col min="9" max="12" width="9.21875" style="8"/>
    <col min="13" max="13" width="6.77734375" style="8" customWidth="1"/>
    <col min="14" max="16384" width="9.21875" style="8"/>
  </cols>
  <sheetData>
    <row r="1" spans="1:7">
      <c r="A1" s="5" t="s">
        <v>31</v>
      </c>
      <c r="B1" s="6" t="str">
        <f>'Info '!C2</f>
        <v>JSC "CREDOBANK"</v>
      </c>
    </row>
    <row r="2" spans="1:7">
      <c r="A2" s="5" t="s">
        <v>32</v>
      </c>
      <c r="B2" s="261">
        <v>45930</v>
      </c>
    </row>
    <row r="3" spans="1:7" ht="14.4" thickBot="1">
      <c r="A3" s="5"/>
    </row>
    <row r="4" spans="1:7" ht="15" customHeight="1" thickBot="1">
      <c r="A4" s="9" t="s">
        <v>94</v>
      </c>
      <c r="B4" s="10" t="s">
        <v>93</v>
      </c>
      <c r="C4" s="10"/>
      <c r="D4" s="721" t="s">
        <v>665</v>
      </c>
      <c r="E4" s="722"/>
      <c r="F4" s="722"/>
      <c r="G4" s="723"/>
    </row>
    <row r="5" spans="1:7">
      <c r="A5" s="11" t="s">
        <v>7</v>
      </c>
      <c r="B5" s="12"/>
      <c r="C5" s="259" t="str">
        <f>INT((MONTH($B$2))/3)&amp;"Q"&amp;"-"&amp;YEAR($B$2)</f>
        <v>3Q-2025</v>
      </c>
      <c r="D5" s="259" t="str">
        <f>IF(INT(MONTH($B$2))=3, "4"&amp;"Q"&amp;"-"&amp;YEAR($B$2)-1, IF(INT(MONTH($B$2))=6, "1"&amp;"Q"&amp;"-"&amp;YEAR($B$2), IF(INT(MONTH($B$2))=9, "2"&amp;"Q"&amp;"-"&amp;YEAR($B$2),IF(INT(MONTH($B$2))=12, "3"&amp;"Q"&amp;"-"&amp;YEAR($B$2), 0))))</f>
        <v>2Q-2025</v>
      </c>
      <c r="E5" s="259" t="str">
        <f>IF(INT(MONTH($B$2))=3, "3"&amp;"Q"&amp;"-"&amp;YEAR($B$2)-1, IF(INT(MONTH($B$2))=6, "4"&amp;"Q"&amp;"-"&amp;YEAR($B$2)-1, IF(INT(MONTH($B$2))=9, "1"&amp;"Q"&amp;"-"&amp;YEAR($B$2),IF(INT(MONTH($B$2))=12, "2"&amp;"Q"&amp;"-"&amp;YEAR($B$2), 0))))</f>
        <v>1Q-2025</v>
      </c>
      <c r="F5" s="259" t="str">
        <f>IF(INT(MONTH($B$2))=3, "2"&amp;"Q"&amp;"-"&amp;YEAR($B$2)-1, IF(INT(MONTH($B$2))=6, "3"&amp;"Q"&amp;"-"&amp;YEAR($B$2)-1, IF(INT(MONTH($B$2))=9, "4"&amp;"Q"&amp;"-"&amp;YEAR($B$2)-1,IF(INT(MONTH($B$2))=12, "1"&amp;"Q"&amp;"-"&amp;YEAR($B$2), 0))))</f>
        <v>4Q-2024</v>
      </c>
      <c r="G5" s="260" t="str">
        <f>IF(INT(MONTH($B$2))=3, "1"&amp;"Q"&amp;"-"&amp;YEAR($B$2)-1, IF(INT(MONTH($B$2))=6, "2"&amp;"Q"&amp;"-"&amp;YEAR($B$2)-1, IF(INT(MONTH($B$2))=9, "3"&amp;"Q"&amp;"-"&amp;YEAR($B$2)-1,IF(INT(MONTH($B$2))=12, "4"&amp;"Q"&amp;"-"&amp;YEAR($B$2)-1, 0))))</f>
        <v>3Q-2024</v>
      </c>
    </row>
    <row r="6" spans="1:7">
      <c r="B6" s="112" t="s">
        <v>92</v>
      </c>
      <c r="C6" s="262"/>
      <c r="D6" s="262"/>
      <c r="E6" s="262"/>
      <c r="F6" s="262"/>
      <c r="G6" s="263"/>
    </row>
    <row r="7" spans="1:7">
      <c r="A7" s="13"/>
      <c r="B7" s="113" t="s">
        <v>90</v>
      </c>
      <c r="C7" s="262"/>
      <c r="D7" s="262"/>
      <c r="E7" s="262"/>
      <c r="F7" s="262"/>
      <c r="G7" s="263"/>
    </row>
    <row r="8" spans="1:7">
      <c r="A8" s="11">
        <v>1</v>
      </c>
      <c r="B8" s="14" t="s">
        <v>328</v>
      </c>
      <c r="C8" s="15">
        <v>407515510.73331797</v>
      </c>
      <c r="D8" s="16">
        <v>387976547.78696764</v>
      </c>
      <c r="E8" s="16">
        <v>367975692.77275252</v>
      </c>
      <c r="F8" s="16">
        <v>347648418</v>
      </c>
      <c r="G8" s="17">
        <v>327467119.3300088</v>
      </c>
    </row>
    <row r="9" spans="1:7">
      <c r="A9" s="11">
        <v>2</v>
      </c>
      <c r="B9" s="14" t="s">
        <v>329</v>
      </c>
      <c r="C9" s="15">
        <v>421059510.73331797</v>
      </c>
      <c r="D9" s="16">
        <v>401594547.78696764</v>
      </c>
      <c r="E9" s="16">
        <v>367975692.77275252</v>
      </c>
      <c r="F9" s="16">
        <v>347648418</v>
      </c>
      <c r="G9" s="17">
        <v>327467119.3300088</v>
      </c>
    </row>
    <row r="10" spans="1:7">
      <c r="A10" s="11">
        <v>3</v>
      </c>
      <c r="B10" s="14" t="s">
        <v>143</v>
      </c>
      <c r="C10" s="15">
        <v>530617084.17331797</v>
      </c>
      <c r="D10" s="16">
        <v>497794876.50696766</v>
      </c>
      <c r="E10" s="16">
        <v>466776392.41275251</v>
      </c>
      <c r="F10" s="16">
        <v>448625692.60000002</v>
      </c>
      <c r="G10" s="17">
        <v>406952529.3300088</v>
      </c>
    </row>
    <row r="11" spans="1:7">
      <c r="A11" s="11">
        <v>4</v>
      </c>
      <c r="B11" s="14" t="s">
        <v>331</v>
      </c>
      <c r="C11" s="15">
        <v>345466510.85021144</v>
      </c>
      <c r="D11" s="16">
        <v>327030586.23934674</v>
      </c>
      <c r="E11" s="16">
        <v>295817238.88254887</v>
      </c>
      <c r="F11" s="16">
        <v>280283119.22571325</v>
      </c>
      <c r="G11" s="17">
        <v>257793553.80787081</v>
      </c>
    </row>
    <row r="12" spans="1:7">
      <c r="A12" s="11">
        <v>5</v>
      </c>
      <c r="B12" s="14" t="s">
        <v>332</v>
      </c>
      <c r="C12" s="15">
        <v>408077160.59795773</v>
      </c>
      <c r="D12" s="16">
        <v>386528799.39315224</v>
      </c>
      <c r="E12" s="16">
        <v>352656781.29268879</v>
      </c>
      <c r="F12" s="16">
        <v>335073041.80542183</v>
      </c>
      <c r="G12" s="17">
        <v>308211457.7999177</v>
      </c>
    </row>
    <row r="13" spans="1:7">
      <c r="A13" s="11">
        <v>6</v>
      </c>
      <c r="B13" s="14" t="s">
        <v>330</v>
      </c>
      <c r="C13" s="15">
        <v>491246186.88958108</v>
      </c>
      <c r="D13" s="16">
        <v>465563738.1031093</v>
      </c>
      <c r="E13" s="16">
        <v>428160611.94416159</v>
      </c>
      <c r="F13" s="16">
        <v>407853681.9389714</v>
      </c>
      <c r="G13" s="17">
        <v>375184363.84519249</v>
      </c>
    </row>
    <row r="14" spans="1:7">
      <c r="A14" s="13"/>
      <c r="B14" s="112" t="s">
        <v>334</v>
      </c>
      <c r="C14" s="262"/>
      <c r="D14" s="262"/>
      <c r="E14" s="262"/>
      <c r="F14" s="262"/>
      <c r="G14" s="263"/>
    </row>
    <row r="15" spans="1:7" ht="15" customHeight="1">
      <c r="A15" s="11">
        <v>7</v>
      </c>
      <c r="B15" s="14" t="s">
        <v>333</v>
      </c>
      <c r="C15" s="170">
        <v>2989051169.4370937</v>
      </c>
      <c r="D15" s="16">
        <v>2841701328.8094139</v>
      </c>
      <c r="E15" s="16">
        <v>2716844425.002924</v>
      </c>
      <c r="F15" s="16">
        <v>2616819609.5615358</v>
      </c>
      <c r="G15" s="17">
        <v>2407523011.0630631</v>
      </c>
    </row>
    <row r="16" spans="1:7">
      <c r="A16" s="13"/>
      <c r="B16" s="112" t="s">
        <v>335</v>
      </c>
      <c r="C16" s="262"/>
      <c r="D16" s="262"/>
      <c r="E16" s="262"/>
      <c r="F16" s="262"/>
      <c r="G16" s="263"/>
    </row>
    <row r="17" spans="1:8">
      <c r="A17" s="11"/>
      <c r="B17" s="113" t="s">
        <v>715</v>
      </c>
      <c r="C17" s="262"/>
      <c r="D17" s="262"/>
      <c r="E17" s="262"/>
      <c r="F17" s="262"/>
      <c r="G17" s="263"/>
    </row>
    <row r="18" spans="1:8">
      <c r="A18" s="11">
        <v>8</v>
      </c>
      <c r="B18" s="14" t="s">
        <v>328</v>
      </c>
      <c r="C18" s="566">
        <v>0.13633607711374923</v>
      </c>
      <c r="D18" s="567">
        <v>0.13652967110006525</v>
      </c>
      <c r="E18" s="567">
        <v>0.13544231292241052</v>
      </c>
      <c r="F18" s="567">
        <v>0.13285150291970282</v>
      </c>
      <c r="G18" s="568">
        <v>0.13601827177713682</v>
      </c>
    </row>
    <row r="19" spans="1:8" ht="15" customHeight="1">
      <c r="A19" s="11">
        <v>9</v>
      </c>
      <c r="B19" s="14" t="s">
        <v>329</v>
      </c>
      <c r="C19" s="566">
        <v>0.14086728090794545</v>
      </c>
      <c r="D19" s="567">
        <v>0.14132187071018595</v>
      </c>
      <c r="E19" s="567">
        <v>0.13544231292241052</v>
      </c>
      <c r="F19" s="567">
        <v>0.13285150291970282</v>
      </c>
      <c r="G19" s="568">
        <v>0.13601827177713682</v>
      </c>
    </row>
    <row r="20" spans="1:8">
      <c r="A20" s="11">
        <v>10</v>
      </c>
      <c r="B20" s="14" t="s">
        <v>143</v>
      </c>
      <c r="C20" s="566">
        <v>0.17752024107143177</v>
      </c>
      <c r="D20" s="567">
        <v>0.17517494588902788</v>
      </c>
      <c r="E20" s="567">
        <v>0.17180828910078286</v>
      </c>
      <c r="F20" s="567">
        <v>0.17143928873078493</v>
      </c>
      <c r="G20" s="568">
        <v>0.16903370282809912</v>
      </c>
    </row>
    <row r="21" spans="1:8">
      <c r="A21" s="11">
        <v>11</v>
      </c>
      <c r="B21" s="14" t="s">
        <v>331</v>
      </c>
      <c r="C21" s="566">
        <v>0.11557731576581563</v>
      </c>
      <c r="D21" s="567">
        <v>0.11508267351106971</v>
      </c>
      <c r="E21" s="567">
        <v>0.10888265672180043</v>
      </c>
      <c r="F21" s="567">
        <v>0.10710830745364849</v>
      </c>
      <c r="G21" s="568">
        <v>0.10707833426444298</v>
      </c>
    </row>
    <row r="22" spans="1:8">
      <c r="A22" s="11">
        <v>12</v>
      </c>
      <c r="B22" s="14" t="s">
        <v>332</v>
      </c>
      <c r="C22" s="566">
        <v>0.13652397950578007</v>
      </c>
      <c r="D22" s="567">
        <v>0.13602020573889656</v>
      </c>
      <c r="E22" s="567">
        <v>0.12980381874685976</v>
      </c>
      <c r="F22" s="567">
        <v>0.12804590758183576</v>
      </c>
      <c r="G22" s="568">
        <v>0.12802015029059749</v>
      </c>
    </row>
    <row r="23" spans="1:8">
      <c r="A23" s="11">
        <v>13</v>
      </c>
      <c r="B23" s="14" t="s">
        <v>330</v>
      </c>
      <c r="C23" s="566">
        <v>0.16434853705836489</v>
      </c>
      <c r="D23" s="567">
        <v>0.16383274814393189</v>
      </c>
      <c r="E23" s="567">
        <v>0.15759482141141154</v>
      </c>
      <c r="F23" s="567">
        <v>0.15585853932945057</v>
      </c>
      <c r="G23" s="568">
        <v>0.15583832927237976</v>
      </c>
    </row>
    <row r="24" spans="1:8">
      <c r="A24" s="478"/>
      <c r="B24" s="112" t="s">
        <v>700</v>
      </c>
      <c r="C24" s="180"/>
      <c r="D24" s="180"/>
      <c r="E24" s="180"/>
      <c r="F24" s="180"/>
      <c r="G24" s="477"/>
    </row>
    <row r="25" spans="1:8" ht="26.4">
      <c r="A25" s="11">
        <v>14</v>
      </c>
      <c r="B25" s="14" t="s">
        <v>701</v>
      </c>
      <c r="C25" s="571"/>
      <c r="D25" s="572"/>
      <c r="E25" s="572"/>
      <c r="F25" s="572"/>
      <c r="G25" s="573"/>
      <c r="H25" s="476"/>
    </row>
    <row r="26" spans="1:8">
      <c r="A26" s="13"/>
      <c r="B26" s="112" t="s">
        <v>89</v>
      </c>
      <c r="C26" s="262"/>
      <c r="D26" s="262"/>
      <c r="E26" s="262"/>
      <c r="F26" s="262"/>
      <c r="G26" s="263"/>
    </row>
    <row r="27" spans="1:8" ht="15" customHeight="1">
      <c r="A27" s="264">
        <v>15</v>
      </c>
      <c r="B27" s="14" t="s">
        <v>88</v>
      </c>
      <c r="C27" s="569">
        <v>0.19100533529945291</v>
      </c>
      <c r="D27" s="569">
        <v>0.19332707095256682</v>
      </c>
      <c r="E27" s="570">
        <v>0.19528817622938224</v>
      </c>
      <c r="F27" s="570">
        <v>0.19204370446303029</v>
      </c>
      <c r="G27" s="570">
        <v>0.1930329747180978</v>
      </c>
    </row>
    <row r="28" spans="1:8">
      <c r="A28" s="264">
        <v>16</v>
      </c>
      <c r="B28" s="14" t="s">
        <v>87</v>
      </c>
      <c r="C28" s="569">
        <v>7.7992364859775773E-2</v>
      </c>
      <c r="D28" s="569">
        <v>7.7003161677604293E-2</v>
      </c>
      <c r="E28" s="570">
        <v>7.6818069452227314E-2</v>
      </c>
      <c r="F28" s="570">
        <v>8.0465659644047338E-2</v>
      </c>
      <c r="G28" s="570">
        <v>8.1333762250953345E-2</v>
      </c>
    </row>
    <row r="29" spans="1:8">
      <c r="A29" s="264">
        <v>17</v>
      </c>
      <c r="B29" s="14" t="s">
        <v>86</v>
      </c>
      <c r="C29" s="569">
        <v>6.4543190408098985E-2</v>
      </c>
      <c r="D29" s="569">
        <v>6.6764903738628034E-2</v>
      </c>
      <c r="E29" s="570">
        <v>6.8826707639056003E-2</v>
      </c>
      <c r="F29" s="570">
        <v>5.8738835083216256E-2</v>
      </c>
      <c r="G29" s="570">
        <v>5.9449636198153785E-2</v>
      </c>
    </row>
    <row r="30" spans="1:8">
      <c r="A30" s="264">
        <v>18</v>
      </c>
      <c r="B30" s="14" t="s">
        <v>85</v>
      </c>
      <c r="C30" s="569">
        <v>0.11301297043967715</v>
      </c>
      <c r="D30" s="569">
        <v>0.11632390927496254</v>
      </c>
      <c r="E30" s="570">
        <v>0.11847010677715493</v>
      </c>
      <c r="F30" s="570">
        <v>0.11157804481898295</v>
      </c>
      <c r="G30" s="570">
        <v>0.11169921246714447</v>
      </c>
    </row>
    <row r="31" spans="1:8">
      <c r="A31" s="264">
        <v>19</v>
      </c>
      <c r="B31" s="14" t="s">
        <v>155</v>
      </c>
      <c r="C31" s="569">
        <v>2.6117410182600317E-2</v>
      </c>
      <c r="D31" s="569">
        <v>2.5639697424846935E-2</v>
      </c>
      <c r="E31" s="570">
        <v>2.8360921108693708E-2</v>
      </c>
      <c r="F31" s="570">
        <v>2.5309343339078742E-2</v>
      </c>
      <c r="G31" s="570">
        <v>2.3250235336591665E-2</v>
      </c>
    </row>
    <row r="32" spans="1:8">
      <c r="A32" s="264">
        <v>20</v>
      </c>
      <c r="B32" s="14" t="s">
        <v>156</v>
      </c>
      <c r="C32" s="569">
        <v>0.20998718927537352</v>
      </c>
      <c r="D32" s="569">
        <v>0.20571416277916466</v>
      </c>
      <c r="E32" s="570">
        <v>0.22641363004890966</v>
      </c>
      <c r="F32" s="570">
        <v>0.20421646619790493</v>
      </c>
      <c r="G32" s="570">
        <v>0.18762054875400358</v>
      </c>
    </row>
    <row r="33" spans="1:7">
      <c r="A33" s="13"/>
      <c r="B33" s="112" t="s">
        <v>217</v>
      </c>
      <c r="C33" s="262"/>
      <c r="D33" s="262"/>
      <c r="E33" s="262"/>
      <c r="F33" s="262"/>
      <c r="G33" s="263"/>
    </row>
    <row r="34" spans="1:7">
      <c r="A34" s="264">
        <v>21</v>
      </c>
      <c r="B34" s="14" t="s">
        <v>84</v>
      </c>
      <c r="C34" s="569">
        <v>8.8900369474808651E-3</v>
      </c>
      <c r="D34" s="569">
        <v>9.6304963828985814E-3</v>
      </c>
      <c r="E34" s="570">
        <v>7.608974533531084E-3</v>
      </c>
      <c r="F34" s="570">
        <v>8.0393354016192221E-3</v>
      </c>
      <c r="G34" s="570">
        <v>1.0061993743043906E-2</v>
      </c>
    </row>
    <row r="35" spans="1:7" ht="15" customHeight="1">
      <c r="A35" s="264">
        <v>22</v>
      </c>
      <c r="B35" s="14" t="s">
        <v>674</v>
      </c>
      <c r="C35" s="569">
        <v>2.3854461028989898E-2</v>
      </c>
      <c r="D35" s="569">
        <v>2.4218495933569111E-2</v>
      </c>
      <c r="E35" s="570">
        <v>2.2351396139721494E-2</v>
      </c>
      <c r="F35" s="570">
        <v>2.0721242376222759E-2</v>
      </c>
      <c r="G35" s="570">
        <v>2.135132794413996E-2</v>
      </c>
    </row>
    <row r="36" spans="1:7">
      <c r="A36" s="264">
        <v>23</v>
      </c>
      <c r="B36" s="14" t="s">
        <v>83</v>
      </c>
      <c r="C36" s="569">
        <v>0.10483005715849104</v>
      </c>
      <c r="D36" s="569">
        <v>0.10202260530010368</v>
      </c>
      <c r="E36" s="570">
        <v>0.10079318721264928</v>
      </c>
      <c r="F36" s="570">
        <v>0.1037553386179081</v>
      </c>
      <c r="G36" s="570">
        <v>0.10225438376050315</v>
      </c>
    </row>
    <row r="37" spans="1:7" ht="15" customHeight="1">
      <c r="A37" s="264">
        <v>24</v>
      </c>
      <c r="B37" s="14" t="s">
        <v>82</v>
      </c>
      <c r="C37" s="569">
        <v>0.16560729840761365</v>
      </c>
      <c r="D37" s="569">
        <v>0.1421135265673365</v>
      </c>
      <c r="E37" s="570">
        <v>0.13854944490065235</v>
      </c>
      <c r="F37" s="570">
        <v>0.14983819609067697</v>
      </c>
      <c r="G37" s="570">
        <v>0.13439938473821492</v>
      </c>
    </row>
    <row r="38" spans="1:7">
      <c r="A38" s="264">
        <v>25</v>
      </c>
      <c r="B38" s="14" t="s">
        <v>81</v>
      </c>
      <c r="C38" s="569">
        <v>0.15105222642033289</v>
      </c>
      <c r="D38" s="569">
        <v>9.1649319680043195E-2</v>
      </c>
      <c r="E38" s="570">
        <v>3.5511579153565176E-2</v>
      </c>
      <c r="F38" s="570">
        <v>0.25552711778765769</v>
      </c>
      <c r="G38" s="570">
        <v>0.17226876043682338</v>
      </c>
    </row>
    <row r="39" spans="1:7" ht="15" customHeight="1">
      <c r="A39" s="13"/>
      <c r="B39" s="112" t="s">
        <v>218</v>
      </c>
      <c r="C39" s="262"/>
      <c r="D39" s="262"/>
      <c r="E39" s="262"/>
      <c r="F39" s="262"/>
      <c r="G39" s="263"/>
    </row>
    <row r="40" spans="1:7" ht="15" customHeight="1">
      <c r="A40" s="264">
        <v>26</v>
      </c>
      <c r="B40" s="14" t="s">
        <v>80</v>
      </c>
      <c r="C40" s="569">
        <v>0.11610159083557653</v>
      </c>
      <c r="D40" s="569">
        <v>0.12607274742867008</v>
      </c>
      <c r="E40" s="569">
        <v>9.998351951010695E-2</v>
      </c>
      <c r="F40" s="569">
        <v>0.10456548349032237</v>
      </c>
      <c r="G40" s="569">
        <v>0.126057779482041</v>
      </c>
    </row>
    <row r="41" spans="1:7" ht="15" customHeight="1">
      <c r="A41" s="264">
        <v>27</v>
      </c>
      <c r="B41" s="14" t="s">
        <v>79</v>
      </c>
      <c r="C41" s="569">
        <v>0.27861079501586511</v>
      </c>
      <c r="D41" s="569">
        <v>0.29363022332181665</v>
      </c>
      <c r="E41" s="569">
        <v>0.28190544393189232</v>
      </c>
      <c r="F41" s="569">
        <v>0.27011406939338301</v>
      </c>
      <c r="G41" s="569">
        <v>0.25086117073876729</v>
      </c>
    </row>
    <row r="42" spans="1:7" ht="15" customHeight="1">
      <c r="A42" s="264">
        <v>28</v>
      </c>
      <c r="B42" s="14" t="s">
        <v>78</v>
      </c>
      <c r="C42" s="569">
        <v>0.1260631759024764</v>
      </c>
      <c r="D42" s="569">
        <v>0.11679645504787096</v>
      </c>
      <c r="E42" s="569">
        <v>0.11421871307533431</v>
      </c>
      <c r="F42" s="569">
        <v>0.12767708937365424</v>
      </c>
      <c r="G42" s="569">
        <v>0.12510128629511069</v>
      </c>
    </row>
    <row r="43" spans="1:7" ht="15" customHeight="1">
      <c r="A43" s="265"/>
      <c r="B43" s="112" t="s">
        <v>259</v>
      </c>
      <c r="C43" s="262"/>
      <c r="D43" s="262"/>
      <c r="E43" s="262"/>
      <c r="F43" s="262"/>
      <c r="G43" s="263"/>
    </row>
    <row r="44" spans="1:7">
      <c r="A44" s="264">
        <v>29</v>
      </c>
      <c r="B44" s="14" t="s">
        <v>242</v>
      </c>
      <c r="C44" s="574">
        <v>512120895.02282596</v>
      </c>
      <c r="D44" s="575">
        <v>424668688.78186804</v>
      </c>
      <c r="E44" s="576">
        <v>345796040.55633342</v>
      </c>
      <c r="F44" s="576">
        <v>384232329.62311006</v>
      </c>
      <c r="G44" s="576">
        <v>380478455.02336955</v>
      </c>
    </row>
    <row r="45" spans="1:7" ht="15" customHeight="1">
      <c r="A45" s="264">
        <v>30</v>
      </c>
      <c r="B45" s="14" t="s">
        <v>254</v>
      </c>
      <c r="C45" s="574">
        <v>346530349.86430192</v>
      </c>
      <c r="D45" s="575">
        <v>320037655.96559638</v>
      </c>
      <c r="E45" s="577">
        <v>274703477.41600484</v>
      </c>
      <c r="F45" s="577">
        <v>245408656.99990946</v>
      </c>
      <c r="G45" s="577">
        <v>243065483.30475593</v>
      </c>
    </row>
    <row r="46" spans="1:7" ht="15" customHeight="1">
      <c r="A46" s="293">
        <v>31</v>
      </c>
      <c r="B46" s="294" t="s">
        <v>243</v>
      </c>
      <c r="C46" s="578">
        <v>1.4778529361811101</v>
      </c>
      <c r="D46" s="578">
        <v>1.3269335056857163</v>
      </c>
      <c r="E46" s="569">
        <v>1.2587974633923822</v>
      </c>
      <c r="F46" s="569">
        <v>1.5656836817425386</v>
      </c>
      <c r="G46" s="569">
        <v>1.5653331351301945</v>
      </c>
    </row>
    <row r="47" spans="1:7" ht="15" customHeight="1">
      <c r="A47" s="293"/>
      <c r="B47" s="112" t="s">
        <v>338</v>
      </c>
      <c r="C47" s="295"/>
      <c r="D47" s="296"/>
      <c r="E47" s="296"/>
      <c r="F47" s="296"/>
      <c r="G47" s="297"/>
    </row>
    <row r="48" spans="1:7" ht="15" customHeight="1">
      <c r="A48" s="293">
        <v>32</v>
      </c>
      <c r="B48" s="294" t="s">
        <v>345</v>
      </c>
      <c r="C48" s="579">
        <v>2687495564.27</v>
      </c>
      <c r="D48" s="579">
        <v>2559665228.5770578</v>
      </c>
      <c r="E48" s="580">
        <v>2311402468.1668806</v>
      </c>
      <c r="F48" s="580">
        <v>2314663069.089488</v>
      </c>
      <c r="G48" s="580">
        <v>2219767047.0275736</v>
      </c>
    </row>
    <row r="49" spans="1:7" ht="15" customHeight="1">
      <c r="A49" s="293">
        <v>33</v>
      </c>
      <c r="B49" s="294" t="s">
        <v>360</v>
      </c>
      <c r="C49" s="579">
        <v>2189643035.6148629</v>
      </c>
      <c r="D49" s="579">
        <v>2071267650.1338389</v>
      </c>
      <c r="E49" s="580">
        <v>1953393297.8604517</v>
      </c>
      <c r="F49" s="580">
        <v>1877689961.4497709</v>
      </c>
      <c r="G49" s="580">
        <v>1754681063.8609755</v>
      </c>
    </row>
    <row r="50" spans="1:7" ht="14.4" thickBot="1">
      <c r="A50" s="266">
        <v>34</v>
      </c>
      <c r="B50" s="114" t="s">
        <v>378</v>
      </c>
      <c r="C50" s="581">
        <v>1.2273669819954638</v>
      </c>
      <c r="D50" s="581">
        <v>1.2357964594347139</v>
      </c>
      <c r="E50" s="582">
        <v>1.1832755189129376</v>
      </c>
      <c r="F50" s="582">
        <v>1.2327454159680078</v>
      </c>
      <c r="G50" s="582">
        <v>1.2650544265538659</v>
      </c>
    </row>
    <row r="51" spans="1:7">
      <c r="A51" s="18"/>
    </row>
    <row r="52" spans="1:7">
      <c r="B52" s="172"/>
    </row>
    <row r="53" spans="1:7" ht="52.8">
      <c r="B53" s="172" t="s">
        <v>258</v>
      </c>
    </row>
    <row r="55" spans="1:7" ht="14.4">
      <c r="B55" s="171"/>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2" zoomScale="80" zoomScaleNormal="80" workbookViewId="0">
      <selection activeCell="C9" sqref="C9"/>
    </sheetView>
  </sheetViews>
  <sheetFormatPr defaultColWidth="8.77734375" defaultRowHeight="13.8"/>
  <cols>
    <col min="1" max="1" width="11.44140625" style="481" customWidth="1"/>
    <col min="2" max="2" width="76.77734375" style="562" customWidth="1"/>
    <col min="3" max="3" width="22.77734375" style="481" customWidth="1"/>
    <col min="4" max="16384" width="8.77734375" style="481"/>
  </cols>
  <sheetData>
    <row r="1" spans="1:3">
      <c r="A1" s="130" t="s">
        <v>31</v>
      </c>
      <c r="B1" s="480" t="str">
        <f>'Info '!C2</f>
        <v>JSC "CREDOBANK"</v>
      </c>
    </row>
    <row r="2" spans="1:3">
      <c r="A2" s="130" t="s">
        <v>32</v>
      </c>
      <c r="B2" s="482">
        <f>'1. key ratios '!B2</f>
        <v>45930</v>
      </c>
    </row>
    <row r="3" spans="1:3">
      <c r="B3" s="481"/>
    </row>
    <row r="4" spans="1:3">
      <c r="A4" s="481" t="s">
        <v>296</v>
      </c>
      <c r="B4" s="481" t="s">
        <v>297</v>
      </c>
    </row>
    <row r="5" spans="1:3">
      <c r="A5" s="544" t="s">
        <v>298</v>
      </c>
      <c r="B5" s="545"/>
      <c r="C5" s="546"/>
    </row>
    <row r="6" spans="1:3" ht="27.6">
      <c r="A6" s="550">
        <v>1</v>
      </c>
      <c r="B6" s="551" t="s">
        <v>751</v>
      </c>
      <c r="C6" s="552">
        <f>'2. SOFP'!E69</f>
        <v>3555009446.7031794</v>
      </c>
    </row>
    <row r="7" spans="1:3">
      <c r="A7" s="550">
        <v>2</v>
      </c>
      <c r="B7" s="551" t="s">
        <v>299</v>
      </c>
      <c r="C7" s="552">
        <f>'9.Capital'!C15</f>
        <v>37235905.250000007</v>
      </c>
    </row>
    <row r="8" spans="1:3" ht="27.6">
      <c r="A8" s="553">
        <v>3</v>
      </c>
      <c r="B8" s="554" t="s">
        <v>300</v>
      </c>
      <c r="C8" s="552">
        <f>C6-C7</f>
        <v>3517773541.4531794</v>
      </c>
    </row>
    <row r="9" spans="1:3">
      <c r="A9" s="544" t="s">
        <v>301</v>
      </c>
      <c r="B9" s="545"/>
      <c r="C9" s="547"/>
    </row>
    <row r="10" spans="1:3" ht="25.8" customHeight="1">
      <c r="A10" s="550">
        <v>4</v>
      </c>
      <c r="B10" s="555" t="s">
        <v>749</v>
      </c>
      <c r="C10" s="552">
        <f>'15. CCR '!F34</f>
        <v>52134.074860265478</v>
      </c>
    </row>
    <row r="11" spans="1:3" ht="25.8" customHeight="1">
      <c r="A11" s="550">
        <v>5</v>
      </c>
      <c r="B11" s="556" t="s">
        <v>750</v>
      </c>
      <c r="C11" s="552">
        <f>'15. CCR '!G34</f>
        <v>4830180.7167582167</v>
      </c>
    </row>
    <row r="12" spans="1:3" ht="25.8" customHeight="1">
      <c r="A12" s="550">
        <v>6</v>
      </c>
      <c r="B12" s="556" t="s">
        <v>743</v>
      </c>
      <c r="C12" s="557">
        <f>'15. CCR '!I34</f>
        <v>6835240.7082658745</v>
      </c>
    </row>
    <row r="13" spans="1:3" ht="25.8" customHeight="1">
      <c r="A13" s="558">
        <v>7</v>
      </c>
      <c r="B13" s="555" t="s">
        <v>744</v>
      </c>
      <c r="C13" s="552">
        <f>'15. CCR '!E34</f>
        <v>0</v>
      </c>
    </row>
    <row r="14" spans="1:3" ht="25.8" customHeight="1">
      <c r="A14" s="553">
        <v>8</v>
      </c>
      <c r="B14" s="548" t="s">
        <v>302</v>
      </c>
      <c r="C14" s="559">
        <f>C12</f>
        <v>6835240.7082658745</v>
      </c>
    </row>
    <row r="15" spans="1:3">
      <c r="A15" s="544" t="s">
        <v>303</v>
      </c>
      <c r="B15" s="545"/>
      <c r="C15" s="547"/>
    </row>
    <row r="16" spans="1:3" ht="27.6">
      <c r="A16" s="558">
        <v>9</v>
      </c>
      <c r="B16" s="555" t="s">
        <v>304</v>
      </c>
      <c r="C16" s="552"/>
    </row>
    <row r="17" spans="1:3">
      <c r="A17" s="558">
        <v>10</v>
      </c>
      <c r="B17" s="555" t="s">
        <v>305</v>
      </c>
      <c r="C17" s="552"/>
    </row>
    <row r="18" spans="1:3">
      <c r="A18" s="558">
        <v>11</v>
      </c>
      <c r="B18" s="555" t="s">
        <v>306</v>
      </c>
      <c r="C18" s="552"/>
    </row>
    <row r="19" spans="1:3" ht="27.6">
      <c r="A19" s="558">
        <v>12</v>
      </c>
      <c r="B19" s="555" t="s">
        <v>307</v>
      </c>
      <c r="C19" s="552"/>
    </row>
    <row r="20" spans="1:3">
      <c r="A20" s="558">
        <v>14</v>
      </c>
      <c r="B20" s="555" t="s">
        <v>308</v>
      </c>
      <c r="C20" s="552"/>
    </row>
    <row r="21" spans="1:3">
      <c r="A21" s="558">
        <v>14</v>
      </c>
      <c r="B21" s="555" t="s">
        <v>309</v>
      </c>
      <c r="C21" s="552"/>
    </row>
    <row r="22" spans="1:3">
      <c r="A22" s="553">
        <v>15</v>
      </c>
      <c r="B22" s="548" t="s">
        <v>310</v>
      </c>
      <c r="C22" s="559">
        <f>SUM(C16:C21)</f>
        <v>0</v>
      </c>
    </row>
    <row r="23" spans="1:3">
      <c r="A23" s="544" t="s">
        <v>311</v>
      </c>
      <c r="B23" s="545"/>
      <c r="C23" s="547"/>
    </row>
    <row r="24" spans="1:3">
      <c r="A24" s="563">
        <v>16</v>
      </c>
      <c r="B24" s="556" t="s">
        <v>312</v>
      </c>
      <c r="C24" s="552">
        <v>415267088.41000003</v>
      </c>
    </row>
    <row r="25" spans="1:3">
      <c r="A25" s="563">
        <v>17</v>
      </c>
      <c r="B25" s="556" t="s">
        <v>313</v>
      </c>
      <c r="C25" s="664">
        <v>-303344609.70500004</v>
      </c>
    </row>
    <row r="26" spans="1:3">
      <c r="A26" s="564">
        <v>18</v>
      </c>
      <c r="B26" s="548" t="s">
        <v>314</v>
      </c>
      <c r="C26" s="559">
        <f>C24+C25</f>
        <v>111922478.70499998</v>
      </c>
    </row>
    <row r="27" spans="1:3">
      <c r="A27" s="544" t="s">
        <v>315</v>
      </c>
      <c r="B27" s="545"/>
      <c r="C27" s="547"/>
    </row>
    <row r="28" spans="1:3" ht="27.6">
      <c r="A28" s="563">
        <v>19</v>
      </c>
      <c r="B28" s="555" t="s">
        <v>316</v>
      </c>
      <c r="C28" s="560"/>
    </row>
    <row r="29" spans="1:3">
      <c r="A29" s="563">
        <v>20</v>
      </c>
      <c r="B29" s="556" t="s">
        <v>317</v>
      </c>
      <c r="C29" s="560"/>
    </row>
    <row r="30" spans="1:3">
      <c r="A30" s="544" t="s">
        <v>748</v>
      </c>
      <c r="B30" s="545"/>
      <c r="C30" s="547"/>
    </row>
    <row r="31" spans="1:3">
      <c r="A31" s="564">
        <v>21</v>
      </c>
      <c r="B31" s="549" t="s">
        <v>318</v>
      </c>
      <c r="C31" s="559">
        <v>421059510.73331797</v>
      </c>
    </row>
    <row r="32" spans="1:3">
      <c r="A32" s="564">
        <v>22</v>
      </c>
      <c r="B32" s="548" t="s">
        <v>319</v>
      </c>
      <c r="C32" s="559">
        <f>C8+C14+C22+C26</f>
        <v>3636531260.8664451</v>
      </c>
    </row>
    <row r="33" spans="1:3">
      <c r="A33" s="544" t="s">
        <v>320</v>
      </c>
      <c r="B33" s="545"/>
      <c r="C33" s="547"/>
    </row>
    <row r="34" spans="1:3">
      <c r="A34" s="553">
        <v>23</v>
      </c>
      <c r="B34" s="548" t="s">
        <v>320</v>
      </c>
      <c r="C34" s="665">
        <f>C31/C32</f>
        <v>0.11578602809342982</v>
      </c>
    </row>
    <row r="35" spans="1:3">
      <c r="A35" s="544" t="s">
        <v>321</v>
      </c>
      <c r="B35" s="545"/>
      <c r="C35" s="547"/>
    </row>
    <row r="36" spans="1:3">
      <c r="A36" s="561" t="s">
        <v>322</v>
      </c>
      <c r="B36" s="555" t="s">
        <v>323</v>
      </c>
      <c r="C36" s="560"/>
    </row>
    <row r="37" spans="1:3" ht="27.6">
      <c r="A37" s="561" t="s">
        <v>324</v>
      </c>
      <c r="B37" s="551" t="s">
        <v>325</v>
      </c>
      <c r="C37" s="56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7" sqref="E7"/>
    </sheetView>
  </sheetViews>
  <sheetFormatPr defaultColWidth="8.88671875" defaultRowHeight="14.4"/>
  <cols>
    <col min="1" max="1" width="11.44140625" customWidth="1"/>
    <col min="2" max="2" width="76.77734375" style="226" customWidth="1"/>
    <col min="3" max="6" width="25.33203125" customWidth="1"/>
  </cols>
  <sheetData>
    <row r="1" spans="1:6">
      <c r="A1" s="5" t="s">
        <v>31</v>
      </c>
      <c r="B1" s="6" t="str">
        <f>'Info '!C2</f>
        <v>JSC "CREDOBANK"</v>
      </c>
    </row>
    <row r="2" spans="1:6">
      <c r="A2" s="5" t="s">
        <v>32</v>
      </c>
      <c r="B2" s="261">
        <f>'1. key ratios '!B2</f>
        <v>45930</v>
      </c>
    </row>
    <row r="3" spans="1:6">
      <c r="A3" s="7"/>
      <c r="B3"/>
    </row>
    <row r="4" spans="1:6">
      <c r="A4" s="541" t="s">
        <v>738</v>
      </c>
    </row>
    <row r="5" spans="1:6" ht="43.2">
      <c r="B5" s="536"/>
      <c r="C5" s="542" t="s">
        <v>739</v>
      </c>
      <c r="D5" s="542" t="s">
        <v>741</v>
      </c>
      <c r="E5" s="542" t="s">
        <v>740</v>
      </c>
      <c r="F5" s="542" t="s">
        <v>742</v>
      </c>
    </row>
    <row r="6" spans="1:6">
      <c r="B6" s="543" t="s">
        <v>716</v>
      </c>
      <c r="C6" s="530">
        <f>IF(C7&gt;0,C7,IF(C8&gt;0,C8,IF(C9&gt;0,C9)))</f>
        <v>671410.58962944639</v>
      </c>
      <c r="D6" s="530">
        <f>IF(D7&gt;0,D7,IF(D8&gt;0,D8,IF(D9&gt;0,D9,0)))</f>
        <v>0</v>
      </c>
      <c r="E6" s="530">
        <f>IF(E7&gt;0,E7,IF(E8&gt;0,E8,IF(E9&gt;0,E9,0)))</f>
        <v>0</v>
      </c>
      <c r="F6" s="530">
        <f>IF(F7&gt;0,F7,IF(F8&gt;0,F8,IF(F9&gt;0,F9)))</f>
        <v>671410.58962944639</v>
      </c>
    </row>
    <row r="7" spans="1:6">
      <c r="B7" s="531" t="s">
        <v>729</v>
      </c>
      <c r="C7" s="666">
        <v>671410.58962944639</v>
      </c>
      <c r="D7" s="666">
        <v>0</v>
      </c>
      <c r="E7" s="666">
        <v>0</v>
      </c>
      <c r="F7" s="666">
        <f>C7-D7-E7</f>
        <v>671410.58962944639</v>
      </c>
    </row>
    <row r="8" spans="1:6">
      <c r="B8" s="531" t="s">
        <v>730</v>
      </c>
      <c r="C8" s="666">
        <v>1657055.634110179</v>
      </c>
      <c r="D8" s="666">
        <v>0</v>
      </c>
      <c r="E8" s="666">
        <v>0</v>
      </c>
      <c r="F8" s="666">
        <f t="shared" ref="F8:F9" si="0">C8-D8-E8</f>
        <v>1657055.634110179</v>
      </c>
    </row>
    <row r="9" spans="1:6">
      <c r="B9" s="531" t="s">
        <v>737</v>
      </c>
      <c r="C9" s="666">
        <v>1661695.1256770077</v>
      </c>
      <c r="D9" s="666">
        <v>0</v>
      </c>
      <c r="E9" s="666">
        <v>0</v>
      </c>
      <c r="F9" s="666">
        <f t="shared" si="0"/>
        <v>1661695.1256770077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11" sqref="G11"/>
    </sheetView>
  </sheetViews>
  <sheetFormatPr defaultRowHeight="14.4"/>
  <cols>
    <col min="1" max="1" width="8.77734375" style="132"/>
    <col min="2" max="2" width="82.6640625" style="139" customWidth="1"/>
    <col min="3" max="7" width="17.5546875" style="132" customWidth="1"/>
  </cols>
  <sheetData>
    <row r="1" spans="1:7">
      <c r="A1" s="132" t="s">
        <v>31</v>
      </c>
      <c r="B1" s="6" t="str">
        <f>'Info '!C2</f>
        <v>JSC "CREDOBANK"</v>
      </c>
    </row>
    <row r="2" spans="1:7">
      <c r="A2" s="132" t="s">
        <v>32</v>
      </c>
      <c r="B2" s="261">
        <f>'1. key ratios '!B2</f>
        <v>45930</v>
      </c>
    </row>
    <row r="4" spans="1:7" ht="15" thickBot="1">
      <c r="A4" s="132" t="s">
        <v>377</v>
      </c>
      <c r="B4" s="267" t="s">
        <v>338</v>
      </c>
    </row>
    <row r="5" spans="1:7">
      <c r="A5" s="268"/>
      <c r="B5" s="269"/>
      <c r="C5" s="783" t="s">
        <v>339</v>
      </c>
      <c r="D5" s="783"/>
      <c r="E5" s="783"/>
      <c r="F5" s="783"/>
      <c r="G5" s="784" t="s">
        <v>340</v>
      </c>
    </row>
    <row r="6" spans="1:7">
      <c r="A6" s="270"/>
      <c r="B6" s="271"/>
      <c r="C6" s="272" t="s">
        <v>341</v>
      </c>
      <c r="D6" s="272" t="s">
        <v>342</v>
      </c>
      <c r="E6" s="272" t="s">
        <v>343</v>
      </c>
      <c r="F6" s="272" t="s">
        <v>344</v>
      </c>
      <c r="G6" s="785"/>
    </row>
    <row r="7" spans="1:7">
      <c r="A7" s="273"/>
      <c r="B7" s="274" t="s">
        <v>345</v>
      </c>
      <c r="C7" s="275"/>
      <c r="D7" s="275"/>
      <c r="E7" s="275"/>
      <c r="F7" s="275"/>
      <c r="G7" s="276"/>
    </row>
    <row r="8" spans="1:7">
      <c r="A8" s="277">
        <v>1</v>
      </c>
      <c r="B8" s="278" t="s">
        <v>346</v>
      </c>
      <c r="C8" s="667">
        <f>SUM(C9:C10)</f>
        <v>421059510.73331797</v>
      </c>
      <c r="D8" s="642">
        <f>SUM(D9:D10)</f>
        <v>0</v>
      </c>
      <c r="E8" s="642">
        <f>SUM(E9:E10)</f>
        <v>0</v>
      </c>
      <c r="F8" s="667">
        <f>SUM(F9:F10)</f>
        <v>1225209329.4400001</v>
      </c>
      <c r="G8" s="668">
        <f>SUM(G9:G10)</f>
        <v>1646268840.1733179</v>
      </c>
    </row>
    <row r="9" spans="1:7">
      <c r="A9" s="277">
        <v>2</v>
      </c>
      <c r="B9" s="279" t="s">
        <v>347</v>
      </c>
      <c r="C9" s="642">
        <v>421059510.73331797</v>
      </c>
      <c r="D9" s="642"/>
      <c r="E9" s="642"/>
      <c r="F9" s="642">
        <v>109557573.44</v>
      </c>
      <c r="G9" s="668">
        <f>C9+F9</f>
        <v>530617084.17331797</v>
      </c>
    </row>
    <row r="10" spans="1:7" ht="27.6">
      <c r="A10" s="277">
        <v>3</v>
      </c>
      <c r="B10" s="279" t="s">
        <v>348</v>
      </c>
      <c r="C10" s="669"/>
      <c r="D10" s="669"/>
      <c r="E10" s="669"/>
      <c r="F10" s="642">
        <f>849504302+221772142+(59454077-16868390)+(3458360-871899-796836)</f>
        <v>1115651756</v>
      </c>
      <c r="G10" s="668">
        <f>F10</f>
        <v>1115651756</v>
      </c>
    </row>
    <row r="11" spans="1:7" ht="14.55" customHeight="1">
      <c r="A11" s="277">
        <v>4</v>
      </c>
      <c r="B11" s="278" t="s">
        <v>349</v>
      </c>
      <c r="C11" s="667">
        <f t="shared" ref="C11:F11" si="0">SUM(C12:C13)</f>
        <v>353964947.01999998</v>
      </c>
      <c r="D11" s="667">
        <f t="shared" si="0"/>
        <v>456987465.5</v>
      </c>
      <c r="E11" s="667">
        <f t="shared" si="0"/>
        <v>195436829.07472801</v>
      </c>
      <c r="F11" s="667">
        <f t="shared" si="0"/>
        <v>10555969.280000001</v>
      </c>
      <c r="G11" s="674">
        <f>SUM(G12:G13)</f>
        <v>759742338.45949483</v>
      </c>
    </row>
    <row r="12" spans="1:7">
      <c r="A12" s="277">
        <v>5</v>
      </c>
      <c r="B12" s="279" t="s">
        <v>350</v>
      </c>
      <c r="C12" s="642">
        <v>110701981.23</v>
      </c>
      <c r="D12" s="605">
        <v>297687996.88999999</v>
      </c>
      <c r="E12" s="642">
        <v>143336563.67362401</v>
      </c>
      <c r="F12" s="642">
        <v>6650642.7000000002</v>
      </c>
      <c r="G12" s="668">
        <f>SUM(C12:F12)*0.95</f>
        <v>530458325.26894283</v>
      </c>
    </row>
    <row r="13" spans="1:7">
      <c r="A13" s="277">
        <v>6</v>
      </c>
      <c r="B13" s="279" t="s">
        <v>351</v>
      </c>
      <c r="C13" s="642">
        <v>243262965.78999999</v>
      </c>
      <c r="D13" s="605">
        <v>159299468.61000001</v>
      </c>
      <c r="E13" s="642">
        <v>52100265.401104003</v>
      </c>
      <c r="F13" s="642">
        <v>3905326.58</v>
      </c>
      <c r="G13" s="668">
        <f>SUM(C13:F13)*0.5</f>
        <v>229284013.19055197</v>
      </c>
    </row>
    <row r="14" spans="1:7">
      <c r="A14" s="277">
        <v>7</v>
      </c>
      <c r="B14" s="278" t="s">
        <v>352</v>
      </c>
      <c r="C14" s="667">
        <f t="shared" ref="C14:F14" si="1">SUM(C15:C16)</f>
        <v>94190834.170000002</v>
      </c>
      <c r="D14" s="667">
        <f t="shared" si="1"/>
        <v>385366721.12</v>
      </c>
      <c r="E14" s="667">
        <f t="shared" si="1"/>
        <v>277793145.835159</v>
      </c>
      <c r="F14" s="667">
        <f t="shared" si="1"/>
        <v>138159.87</v>
      </c>
      <c r="G14" s="668">
        <f>SUM(G15:G16)</f>
        <v>281484390.52257949</v>
      </c>
    </row>
    <row r="15" spans="1:7" ht="41.4">
      <c r="A15" s="277">
        <v>8</v>
      </c>
      <c r="B15" s="279" t="s">
        <v>353</v>
      </c>
      <c r="C15" s="642">
        <v>94190834.170000002</v>
      </c>
      <c r="D15" s="670">
        <v>190846641.16999999</v>
      </c>
      <c r="E15" s="642">
        <v>137492214.835159</v>
      </c>
      <c r="F15" s="642">
        <v>138159.87</v>
      </c>
      <c r="G15" s="668">
        <f>SUM(C15:F15)*0.5</f>
        <v>211333925.02257949</v>
      </c>
    </row>
    <row r="16" spans="1:7" ht="27.6">
      <c r="A16" s="277">
        <v>9</v>
      </c>
      <c r="B16" s="279" t="s">
        <v>354</v>
      </c>
      <c r="C16" s="642"/>
      <c r="D16" s="671">
        <f>80106488+1714940.95+112564330+134321</f>
        <v>194520079.94999999</v>
      </c>
      <c r="E16" s="642">
        <v>140300931</v>
      </c>
      <c r="F16" s="642"/>
      <c r="G16" s="668">
        <f>D16*0%+E16*50%</f>
        <v>70150465.5</v>
      </c>
    </row>
    <row r="17" spans="1:7">
      <c r="A17" s="277">
        <v>10</v>
      </c>
      <c r="B17" s="278" t="s">
        <v>355</v>
      </c>
      <c r="C17" s="642"/>
      <c r="D17" s="605"/>
      <c r="E17" s="642"/>
      <c r="F17" s="642"/>
      <c r="G17" s="668"/>
    </row>
    <row r="18" spans="1:7">
      <c r="A18" s="277">
        <v>11</v>
      </c>
      <c r="B18" s="278" t="s">
        <v>356</v>
      </c>
      <c r="C18" s="667">
        <f>SUM(C19:C20)</f>
        <v>52641775.199999981</v>
      </c>
      <c r="D18" s="606">
        <f t="shared" ref="D18:G18" si="2">SUM(D19:D20)</f>
        <v>16752194.939999999</v>
      </c>
      <c r="E18" s="667">
        <f t="shared" si="2"/>
        <v>4079481.4864991643</v>
      </c>
      <c r="F18" s="667">
        <f t="shared" si="2"/>
        <v>23597174.983500835</v>
      </c>
      <c r="G18" s="668">
        <f t="shared" si="2"/>
        <v>0</v>
      </c>
    </row>
    <row r="19" spans="1:7">
      <c r="A19" s="277">
        <v>12</v>
      </c>
      <c r="B19" s="279" t="s">
        <v>357</v>
      </c>
      <c r="C19" s="669"/>
      <c r="D19" s="605">
        <v>550776.5</v>
      </c>
      <c r="E19" s="642"/>
      <c r="F19" s="642"/>
      <c r="G19" s="668"/>
    </row>
    <row r="20" spans="1:7">
      <c r="A20" s="277">
        <v>13</v>
      </c>
      <c r="B20" s="279" t="s">
        <v>358</v>
      </c>
      <c r="C20" s="672">
        <v>52641775.199999981</v>
      </c>
      <c r="D20" s="672">
        <v>16201418.439999999</v>
      </c>
      <c r="E20" s="672">
        <v>4079481.4864991643</v>
      </c>
      <c r="F20" s="672">
        <v>23597174.983500835</v>
      </c>
      <c r="G20" s="673"/>
    </row>
    <row r="21" spans="1:7">
      <c r="A21" s="280">
        <v>14</v>
      </c>
      <c r="B21" s="281" t="s">
        <v>359</v>
      </c>
      <c r="C21" s="669"/>
      <c r="D21" s="669"/>
      <c r="E21" s="669"/>
      <c r="F21" s="669"/>
      <c r="G21" s="674">
        <f>SUM(G8,G11,G14,G17,G18)</f>
        <v>2687495569.1553922</v>
      </c>
    </row>
    <row r="22" spans="1:7">
      <c r="A22" s="282"/>
      <c r="B22" s="283" t="s">
        <v>360</v>
      </c>
      <c r="C22" s="284"/>
      <c r="D22" s="285"/>
      <c r="E22" s="284"/>
      <c r="F22" s="284"/>
      <c r="G22" s="286"/>
    </row>
    <row r="23" spans="1:7">
      <c r="A23" s="277">
        <v>15</v>
      </c>
      <c r="B23" s="278" t="s">
        <v>361</v>
      </c>
      <c r="C23" s="675">
        <v>464618635.12380999</v>
      </c>
      <c r="D23" s="676">
        <v>29669463.761666499</v>
      </c>
      <c r="E23" s="675">
        <v>34471052.928833</v>
      </c>
      <c r="F23" s="675">
        <v>35754583.309500501</v>
      </c>
      <c r="G23" s="674">
        <v>13789148.188909199</v>
      </c>
    </row>
    <row r="24" spans="1:7">
      <c r="A24" s="277">
        <v>16</v>
      </c>
      <c r="B24" s="278" t="s">
        <v>362</v>
      </c>
      <c r="C24" s="667">
        <f>SUM(C25:C27,C29,C31)</f>
        <v>167198</v>
      </c>
      <c r="D24" s="606">
        <f t="shared" ref="D24:G24" si="3">SUM(D25:D27,D29,D31)</f>
        <v>568673844.32604694</v>
      </c>
      <c r="E24" s="667">
        <f t="shared" si="3"/>
        <v>410268307.69497746</v>
      </c>
      <c r="F24" s="667">
        <f t="shared" si="3"/>
        <v>1757673780.5839081</v>
      </c>
      <c r="G24" s="674">
        <f t="shared" si="3"/>
        <v>1958825441.5780852</v>
      </c>
    </row>
    <row r="25" spans="1:7">
      <c r="A25" s="277">
        <v>17</v>
      </c>
      <c r="B25" s="279" t="s">
        <v>363</v>
      </c>
      <c r="C25" s="642"/>
      <c r="D25" s="605"/>
      <c r="E25" s="642"/>
      <c r="F25" s="642"/>
      <c r="G25" s="668"/>
    </row>
    <row r="26" spans="1:7" ht="27.6">
      <c r="A26" s="277">
        <v>18</v>
      </c>
      <c r="B26" s="279" t="s">
        <v>364</v>
      </c>
      <c r="C26" s="642">
        <v>167198</v>
      </c>
      <c r="D26" s="605"/>
      <c r="E26" s="642"/>
      <c r="F26" s="642"/>
      <c r="G26" s="668">
        <f>C26*15%</f>
        <v>25079.7</v>
      </c>
    </row>
    <row r="27" spans="1:7">
      <c r="A27" s="277">
        <v>19</v>
      </c>
      <c r="B27" s="279" t="s">
        <v>365</v>
      </c>
      <c r="C27" s="642"/>
      <c r="D27" s="605">
        <v>559470443.30649102</v>
      </c>
      <c r="E27" s="642">
        <v>400907569.97886902</v>
      </c>
      <c r="F27" s="642">
        <v>1633259342.44015</v>
      </c>
      <c r="G27" s="668">
        <v>1868459447.71681</v>
      </c>
    </row>
    <row r="28" spans="1:7">
      <c r="A28" s="277">
        <v>20</v>
      </c>
      <c r="B28" s="287" t="s">
        <v>366</v>
      </c>
      <c r="C28" s="642"/>
      <c r="D28" s="605"/>
      <c r="E28" s="642"/>
      <c r="F28" s="642"/>
      <c r="G28" s="668"/>
    </row>
    <row r="29" spans="1:7">
      <c r="A29" s="277">
        <v>21</v>
      </c>
      <c r="B29" s="279" t="s">
        <v>367</v>
      </c>
      <c r="C29" s="642"/>
      <c r="D29" s="605">
        <v>9203401.0195558704</v>
      </c>
      <c r="E29" s="642">
        <v>9360737.7161084209</v>
      </c>
      <c r="F29" s="642">
        <v>123467138.143758</v>
      </c>
      <c r="G29" s="668">
        <v>89535709.161275104</v>
      </c>
    </row>
    <row r="30" spans="1:7">
      <c r="A30" s="277">
        <v>22</v>
      </c>
      <c r="B30" s="287" t="s">
        <v>366</v>
      </c>
      <c r="C30" s="642"/>
      <c r="D30" s="605">
        <v>9203401.0195558704</v>
      </c>
      <c r="E30" s="642">
        <v>9360737.7161084209</v>
      </c>
      <c r="F30" s="642">
        <v>123467138.143758</v>
      </c>
      <c r="G30" s="668">
        <v>89535709.161275104</v>
      </c>
    </row>
    <row r="31" spans="1:7">
      <c r="A31" s="277">
        <v>23</v>
      </c>
      <c r="B31" s="279" t="s">
        <v>368</v>
      </c>
      <c r="C31" s="642"/>
      <c r="D31" s="605"/>
      <c r="E31" s="642"/>
      <c r="F31" s="642">
        <v>947300</v>
      </c>
      <c r="G31" s="668">
        <f>F31*85%</f>
        <v>805205</v>
      </c>
    </row>
    <row r="32" spans="1:7">
      <c r="A32" s="277">
        <v>24</v>
      </c>
      <c r="B32" s="278" t="s">
        <v>369</v>
      </c>
      <c r="C32" s="642"/>
      <c r="D32" s="605"/>
      <c r="E32" s="642"/>
      <c r="F32" s="642"/>
      <c r="G32" s="668"/>
    </row>
    <row r="33" spans="1:7">
      <c r="A33" s="277">
        <v>25</v>
      </c>
      <c r="B33" s="278" t="s">
        <v>370</v>
      </c>
      <c r="C33" s="667">
        <f>SUM(C34:C35)</f>
        <v>53365415.600000016</v>
      </c>
      <c r="D33" s="667">
        <f>SUM(D34:D35)</f>
        <v>65397017.198476478</v>
      </c>
      <c r="E33" s="667">
        <f>SUM(E34:E35)</f>
        <v>23111818.956189521</v>
      </c>
      <c r="F33" s="667">
        <f>SUM(F34:F35)</f>
        <v>74602422.464143693</v>
      </c>
      <c r="G33" s="668">
        <f>SUM(G34:G35)</f>
        <v>196362278.17650557</v>
      </c>
    </row>
    <row r="34" spans="1:7">
      <c r="A34" s="277">
        <v>26</v>
      </c>
      <c r="B34" s="279" t="s">
        <v>371</v>
      </c>
      <c r="C34" s="669"/>
      <c r="D34" s="605">
        <v>461883.99</v>
      </c>
      <c r="E34" s="642"/>
      <c r="F34" s="642"/>
      <c r="G34" s="668">
        <v>461883.99</v>
      </c>
    </row>
    <row r="35" spans="1:7">
      <c r="A35" s="277">
        <v>27</v>
      </c>
      <c r="B35" s="279" t="s">
        <v>372</v>
      </c>
      <c r="C35" s="672">
        <v>53365415.600000016</v>
      </c>
      <c r="D35" s="677">
        <v>64935133.208476476</v>
      </c>
      <c r="E35" s="672">
        <v>23111818.956189521</v>
      </c>
      <c r="F35" s="672">
        <v>74602422.464143693</v>
      </c>
      <c r="G35" s="673">
        <v>195900394.18650556</v>
      </c>
    </row>
    <row r="36" spans="1:7">
      <c r="A36" s="277">
        <v>28</v>
      </c>
      <c r="B36" s="278" t="s">
        <v>373</v>
      </c>
      <c r="C36" s="642">
        <v>377106700.45999998</v>
      </c>
      <c r="D36" s="605">
        <v>0</v>
      </c>
      <c r="E36" s="642">
        <v>0</v>
      </c>
      <c r="F36" s="642">
        <v>36216640.670000002</v>
      </c>
      <c r="G36" s="668">
        <f>SUM(C36:F36)*5%</f>
        <v>20666167.056500003</v>
      </c>
    </row>
    <row r="37" spans="1:7">
      <c r="A37" s="280">
        <v>29</v>
      </c>
      <c r="B37" s="281" t="s">
        <v>374</v>
      </c>
      <c r="C37" s="669"/>
      <c r="D37" s="669"/>
      <c r="E37" s="669"/>
      <c r="F37" s="669"/>
      <c r="G37" s="674">
        <f>SUM(G23:G24,G32:G33,G36)</f>
        <v>2189643035</v>
      </c>
    </row>
    <row r="38" spans="1:7">
      <c r="A38" s="273"/>
      <c r="B38" s="288"/>
      <c r="C38" s="289"/>
      <c r="D38" s="289"/>
      <c r="E38" s="289"/>
      <c r="F38" s="289"/>
      <c r="G38" s="290"/>
    </row>
    <row r="39" spans="1:7" ht="15" thickBot="1">
      <c r="A39" s="291">
        <v>30</v>
      </c>
      <c r="B39" s="292" t="s">
        <v>375</v>
      </c>
      <c r="C39" s="678"/>
      <c r="D39" s="679"/>
      <c r="E39" s="679"/>
      <c r="F39" s="680"/>
      <c r="G39" s="681">
        <f>IFERROR(G21/G37,0)</f>
        <v>1.2273669845712509</v>
      </c>
    </row>
    <row r="42" spans="1:7" ht="41.4">
      <c r="B42" s="139" t="s">
        <v>376</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G21"/>
    </sheetView>
  </sheetViews>
  <sheetFormatPr defaultColWidth="9.21875" defaultRowHeight="12"/>
  <cols>
    <col min="1" max="1" width="11.77734375" style="300" bestFit="1" customWidth="1"/>
    <col min="2" max="2" width="105.21875" style="300" bestFit="1" customWidth="1"/>
    <col min="3" max="4" width="15.109375" style="300" bestFit="1" customWidth="1"/>
    <col min="5" max="5" width="17.44140625" style="300" bestFit="1" customWidth="1"/>
    <col min="6" max="6" width="15.109375" style="300" bestFit="1" customWidth="1"/>
    <col min="7" max="7" width="30.44140625" style="300" customWidth="1"/>
    <col min="8" max="8" width="16.6640625" style="300" bestFit="1" customWidth="1"/>
    <col min="9" max="16384" width="9.21875" style="300"/>
  </cols>
  <sheetData>
    <row r="1" spans="1:8" ht="13.8">
      <c r="A1" s="298" t="s">
        <v>31</v>
      </c>
      <c r="B1" s="365" t="str">
        <f>'Info '!C2</f>
        <v>JSC "CREDOBANK"</v>
      </c>
    </row>
    <row r="2" spans="1:8">
      <c r="A2" s="298" t="s">
        <v>32</v>
      </c>
      <c r="B2" s="364">
        <f>'1. key ratios '!B2</f>
        <v>45930</v>
      </c>
    </row>
    <row r="3" spans="1:8">
      <c r="A3" s="299" t="s">
        <v>381</v>
      </c>
    </row>
    <row r="5" spans="1:8" ht="12" customHeight="1">
      <c r="A5" s="786" t="s">
        <v>382</v>
      </c>
      <c r="B5" s="787"/>
      <c r="C5" s="792" t="s">
        <v>383</v>
      </c>
      <c r="D5" s="793"/>
      <c r="E5" s="793"/>
      <c r="F5" s="793"/>
      <c r="G5" s="793"/>
      <c r="H5" s="794"/>
    </row>
    <row r="6" spans="1:8">
      <c r="A6" s="788"/>
      <c r="B6" s="789"/>
      <c r="C6" s="795"/>
      <c r="D6" s="796"/>
      <c r="E6" s="796"/>
      <c r="F6" s="796"/>
      <c r="G6" s="796"/>
      <c r="H6" s="797"/>
    </row>
    <row r="7" spans="1:8">
      <c r="A7" s="790"/>
      <c r="B7" s="791"/>
      <c r="C7" s="363" t="s">
        <v>384</v>
      </c>
      <c r="D7" s="363" t="s">
        <v>385</v>
      </c>
      <c r="E7" s="363" t="s">
        <v>386</v>
      </c>
      <c r="F7" s="363" t="s">
        <v>387</v>
      </c>
      <c r="G7" s="363" t="s">
        <v>388</v>
      </c>
      <c r="H7" s="363" t="s">
        <v>65</v>
      </c>
    </row>
    <row r="8" spans="1:8">
      <c r="A8" s="359">
        <v>1</v>
      </c>
      <c r="B8" s="358" t="s">
        <v>52</v>
      </c>
      <c r="C8" s="683">
        <v>187232237.14562601</v>
      </c>
      <c r="D8" s="683">
        <v>62242516.837632902</v>
      </c>
      <c r="E8" s="683">
        <v>19301237.3983333</v>
      </c>
      <c r="F8" s="683"/>
      <c r="G8" s="683"/>
      <c r="H8" s="682">
        <f t="shared" ref="H8:H21" si="0">SUM(C8:G8)</f>
        <v>268775991.38159221</v>
      </c>
    </row>
    <row r="9" spans="1:8">
      <c r="A9" s="359">
        <v>2</v>
      </c>
      <c r="B9" s="358" t="s">
        <v>53</v>
      </c>
      <c r="C9" s="683"/>
      <c r="D9" s="683"/>
      <c r="E9" s="683"/>
      <c r="F9" s="683"/>
      <c r="G9" s="683"/>
      <c r="H9" s="682">
        <f t="shared" si="0"/>
        <v>0</v>
      </c>
    </row>
    <row r="10" spans="1:8">
      <c r="A10" s="359">
        <v>3</v>
      </c>
      <c r="B10" s="358" t="s">
        <v>153</v>
      </c>
      <c r="C10" s="683"/>
      <c r="D10" s="683"/>
      <c r="E10" s="683"/>
      <c r="F10" s="683"/>
      <c r="G10" s="683"/>
      <c r="H10" s="682">
        <f t="shared" si="0"/>
        <v>0</v>
      </c>
    </row>
    <row r="11" spans="1:8">
      <c r="A11" s="359">
        <v>4</v>
      </c>
      <c r="B11" s="358" t="s">
        <v>54</v>
      </c>
      <c r="C11" s="683"/>
      <c r="D11" s="683"/>
      <c r="E11" s="683"/>
      <c r="F11" s="683"/>
      <c r="G11" s="683"/>
      <c r="H11" s="682">
        <f t="shared" si="0"/>
        <v>0</v>
      </c>
    </row>
    <row r="12" spans="1:8">
      <c r="A12" s="359">
        <v>5</v>
      </c>
      <c r="B12" s="358" t="s">
        <v>55</v>
      </c>
      <c r="C12" s="683"/>
      <c r="D12" s="683"/>
      <c r="E12" s="683"/>
      <c r="F12" s="683"/>
      <c r="G12" s="683"/>
      <c r="H12" s="682">
        <f t="shared" si="0"/>
        <v>0</v>
      </c>
    </row>
    <row r="13" spans="1:8">
      <c r="A13" s="359">
        <v>6</v>
      </c>
      <c r="B13" s="358" t="s">
        <v>56</v>
      </c>
      <c r="C13" s="683">
        <v>176055062.10563499</v>
      </c>
      <c r="D13" s="683"/>
      <c r="E13" s="683"/>
      <c r="F13" s="683"/>
      <c r="G13" s="683"/>
      <c r="H13" s="682">
        <f t="shared" si="0"/>
        <v>176055062.10563499</v>
      </c>
    </row>
    <row r="14" spans="1:8">
      <c r="A14" s="359">
        <v>7</v>
      </c>
      <c r="B14" s="358" t="s">
        <v>57</v>
      </c>
      <c r="C14" s="683">
        <v>1436233.4879596746</v>
      </c>
      <c r="D14" s="683">
        <v>18851815.899888217</v>
      </c>
      <c r="E14" s="683">
        <v>27800201.620990302</v>
      </c>
      <c r="F14" s="683">
        <v>58301339.000238881</v>
      </c>
      <c r="G14" s="683"/>
      <c r="H14" s="682">
        <f t="shared" si="0"/>
        <v>106389590.00907707</v>
      </c>
    </row>
    <row r="15" spans="1:8">
      <c r="A15" s="359">
        <v>8</v>
      </c>
      <c r="B15" s="360" t="s">
        <v>58</v>
      </c>
      <c r="C15" s="683">
        <v>610636.98927408573</v>
      </c>
      <c r="D15" s="683">
        <v>399319084.1552918</v>
      </c>
      <c r="E15" s="683">
        <v>1577619534.0947685</v>
      </c>
      <c r="F15" s="683">
        <v>625739083.93750513</v>
      </c>
      <c r="G15" s="683"/>
      <c r="H15" s="682">
        <f t="shared" si="0"/>
        <v>2603288339.1768394</v>
      </c>
    </row>
    <row r="16" spans="1:8">
      <c r="A16" s="359">
        <v>9</v>
      </c>
      <c r="B16" s="358" t="s">
        <v>59</v>
      </c>
      <c r="C16" s="683">
        <v>205.00303502431524</v>
      </c>
      <c r="D16" s="683">
        <v>2080000.7388705297</v>
      </c>
      <c r="E16" s="683">
        <v>34696486.037201509</v>
      </c>
      <c r="F16" s="683">
        <v>110361777.35784836</v>
      </c>
      <c r="G16" s="683"/>
      <c r="H16" s="682">
        <f t="shared" si="0"/>
        <v>147138469.13695544</v>
      </c>
    </row>
    <row r="17" spans="1:8">
      <c r="A17" s="359">
        <v>10</v>
      </c>
      <c r="B17" s="362" t="s">
        <v>396</v>
      </c>
      <c r="C17" s="683">
        <v>153025.1561848151</v>
      </c>
      <c r="D17" s="683">
        <v>1051228.3063977947</v>
      </c>
      <c r="E17" s="683">
        <v>2800767.1398239406</v>
      </c>
      <c r="F17" s="683">
        <v>1214750.0526987922</v>
      </c>
      <c r="G17" s="683"/>
      <c r="H17" s="682">
        <f t="shared" si="0"/>
        <v>5219770.6551053422</v>
      </c>
    </row>
    <row r="18" spans="1:8">
      <c r="A18" s="359">
        <v>11</v>
      </c>
      <c r="B18" s="358" t="s">
        <v>61</v>
      </c>
      <c r="C18" s="683">
        <v>0</v>
      </c>
      <c r="D18" s="683">
        <v>0</v>
      </c>
      <c r="E18" s="683">
        <v>0</v>
      </c>
      <c r="F18" s="683">
        <v>0</v>
      </c>
      <c r="G18" s="683">
        <v>0</v>
      </c>
      <c r="H18" s="682">
        <f t="shared" si="0"/>
        <v>0</v>
      </c>
    </row>
    <row r="19" spans="1:8">
      <c r="A19" s="359">
        <v>12</v>
      </c>
      <c r="B19" s="358" t="s">
        <v>62</v>
      </c>
      <c r="C19" s="683">
        <v>0</v>
      </c>
      <c r="D19" s="683">
        <v>0</v>
      </c>
      <c r="E19" s="683">
        <v>0</v>
      </c>
      <c r="F19" s="683">
        <v>0</v>
      </c>
      <c r="G19" s="683">
        <v>0</v>
      </c>
      <c r="H19" s="682">
        <f t="shared" si="0"/>
        <v>0</v>
      </c>
    </row>
    <row r="20" spans="1:8">
      <c r="A20" s="361">
        <v>13</v>
      </c>
      <c r="B20" s="360" t="s">
        <v>145</v>
      </c>
      <c r="C20" s="683">
        <v>0</v>
      </c>
      <c r="D20" s="683">
        <v>0</v>
      </c>
      <c r="E20" s="683">
        <v>0</v>
      </c>
      <c r="F20" s="683">
        <v>0</v>
      </c>
      <c r="G20" s="683">
        <v>0</v>
      </c>
      <c r="H20" s="682">
        <f t="shared" si="0"/>
        <v>0</v>
      </c>
    </row>
    <row r="21" spans="1:8">
      <c r="A21" s="359">
        <v>14</v>
      </c>
      <c r="B21" s="358" t="s">
        <v>64</v>
      </c>
      <c r="C21" s="683">
        <v>101498534.2</v>
      </c>
      <c r="D21" s="683">
        <v>27516571</v>
      </c>
      <c r="E21" s="683">
        <v>31754069.619999994</v>
      </c>
      <c r="F21" s="683">
        <v>0</v>
      </c>
      <c r="G21" s="683">
        <v>55356914.570000038</v>
      </c>
      <c r="H21" s="682">
        <f t="shared" si="0"/>
        <v>216126089.39000005</v>
      </c>
    </row>
    <row r="22" spans="1:8">
      <c r="A22" s="357">
        <v>15</v>
      </c>
      <c r="B22" s="356" t="s">
        <v>65</v>
      </c>
      <c r="C22" s="682">
        <f>SUM(C18:C21)+SUM(C8:C16)</f>
        <v>466832908.93152976</v>
      </c>
      <c r="D22" s="682">
        <f t="shared" ref="D22:H22" si="1">SUM(D18:D21)+SUM(D8:D16)</f>
        <v>510009988.63168341</v>
      </c>
      <c r="E22" s="682">
        <f t="shared" si="1"/>
        <v>1691171528.7712934</v>
      </c>
      <c r="F22" s="682">
        <f t="shared" si="1"/>
        <v>794402200.29559243</v>
      </c>
      <c r="G22" s="682">
        <f t="shared" si="1"/>
        <v>55356914.570000038</v>
      </c>
      <c r="H22" s="682">
        <f t="shared" si="1"/>
        <v>3517773541.2000985</v>
      </c>
    </row>
    <row r="26" spans="1:8" ht="24">
      <c r="B26" s="303" t="s">
        <v>483</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6" sqref="D26"/>
    </sheetView>
  </sheetViews>
  <sheetFormatPr defaultColWidth="9.21875" defaultRowHeight="12"/>
  <cols>
    <col min="1" max="1" width="11.77734375" style="366" bestFit="1" customWidth="1"/>
    <col min="2" max="2" width="86.77734375" style="300" customWidth="1"/>
    <col min="3" max="4" width="31.5546875" style="300" customWidth="1"/>
    <col min="5" max="5" width="15.109375" style="300" bestFit="1" customWidth="1"/>
    <col min="6" max="6" width="11.77734375" style="300" bestFit="1" customWidth="1"/>
    <col min="7" max="7" width="21.5546875" style="300" bestFit="1" customWidth="1"/>
    <col min="8" max="8" width="41.44140625" style="300" customWidth="1"/>
    <col min="9" max="16384" width="9.21875" style="300"/>
  </cols>
  <sheetData>
    <row r="1" spans="1:8" ht="13.8">
      <c r="A1" s="298" t="s">
        <v>31</v>
      </c>
      <c r="B1" s="365" t="str">
        <f>'Info '!C2</f>
        <v>JSC "CREDOBANK"</v>
      </c>
      <c r="C1" s="379"/>
      <c r="D1" s="379"/>
      <c r="E1" s="379"/>
      <c r="F1" s="379"/>
      <c r="G1" s="379"/>
      <c r="H1" s="379"/>
    </row>
    <row r="2" spans="1:8">
      <c r="A2" s="298" t="s">
        <v>32</v>
      </c>
      <c r="B2" s="364">
        <f>'1. key ratios '!B2</f>
        <v>45930</v>
      </c>
      <c r="C2" s="379"/>
      <c r="D2" s="379"/>
      <c r="E2" s="379"/>
      <c r="F2" s="379"/>
      <c r="G2" s="379"/>
      <c r="H2" s="379"/>
    </row>
    <row r="3" spans="1:8">
      <c r="A3" s="299" t="s">
        <v>389</v>
      </c>
      <c r="B3" s="379"/>
      <c r="C3" s="379"/>
      <c r="D3" s="379"/>
      <c r="E3" s="379"/>
      <c r="F3" s="379"/>
      <c r="G3" s="379"/>
      <c r="H3" s="379"/>
    </row>
    <row r="4" spans="1:8">
      <c r="A4" s="380"/>
      <c r="B4" s="379"/>
      <c r="C4" s="378" t="s">
        <v>0</v>
      </c>
      <c r="D4" s="378" t="s">
        <v>1</v>
      </c>
      <c r="E4" s="378" t="s">
        <v>2</v>
      </c>
      <c r="F4" s="378" t="s">
        <v>3</v>
      </c>
      <c r="G4" s="378" t="s">
        <v>4</v>
      </c>
      <c r="H4" s="378" t="s">
        <v>6</v>
      </c>
    </row>
    <row r="5" spans="1:8" ht="34.049999999999997" customHeight="1">
      <c r="A5" s="786" t="s">
        <v>390</v>
      </c>
      <c r="B5" s="787"/>
      <c r="C5" s="800" t="s">
        <v>391</v>
      </c>
      <c r="D5" s="800"/>
      <c r="E5" s="800" t="s">
        <v>628</v>
      </c>
      <c r="F5" s="798" t="s">
        <v>392</v>
      </c>
      <c r="G5" s="798" t="s">
        <v>393</v>
      </c>
      <c r="H5" s="376" t="s">
        <v>627</v>
      </c>
    </row>
    <row r="6" spans="1:8" ht="24">
      <c r="A6" s="790"/>
      <c r="B6" s="791"/>
      <c r="C6" s="377" t="s">
        <v>394</v>
      </c>
      <c r="D6" s="377" t="s">
        <v>395</v>
      </c>
      <c r="E6" s="800"/>
      <c r="F6" s="799"/>
      <c r="G6" s="799"/>
      <c r="H6" s="376" t="s">
        <v>626</v>
      </c>
    </row>
    <row r="7" spans="1:8">
      <c r="A7" s="374">
        <v>1</v>
      </c>
      <c r="B7" s="358" t="s">
        <v>52</v>
      </c>
      <c r="C7" s="684"/>
      <c r="D7" s="684">
        <v>268956067.01999998</v>
      </c>
      <c r="E7" s="684">
        <v>180076.04437382048</v>
      </c>
      <c r="F7" s="684"/>
      <c r="G7" s="684"/>
      <c r="H7" s="367">
        <f>C7+D7-E7-F7</f>
        <v>268775990.97562617</v>
      </c>
    </row>
    <row r="8" spans="1:8">
      <c r="A8" s="374">
        <v>2</v>
      </c>
      <c r="B8" s="358" t="s">
        <v>53</v>
      </c>
      <c r="C8" s="684"/>
      <c r="D8" s="684">
        <v>0</v>
      </c>
      <c r="E8" s="684"/>
      <c r="F8" s="684"/>
      <c r="G8" s="684"/>
      <c r="H8" s="367">
        <f t="shared" ref="H8:H20" si="0">C8+D8-E8-F8</f>
        <v>0</v>
      </c>
    </row>
    <row r="9" spans="1:8">
      <c r="A9" s="374">
        <v>3</v>
      </c>
      <c r="B9" s="358" t="s">
        <v>153</v>
      </c>
      <c r="C9" s="684"/>
      <c r="D9" s="684">
        <v>0</v>
      </c>
      <c r="E9" s="684"/>
      <c r="F9" s="684"/>
      <c r="G9" s="684"/>
      <c r="H9" s="367">
        <f t="shared" si="0"/>
        <v>0</v>
      </c>
    </row>
    <row r="10" spans="1:8">
      <c r="A10" s="374">
        <v>4</v>
      </c>
      <c r="B10" s="358" t="s">
        <v>54</v>
      </c>
      <c r="C10" s="684"/>
      <c r="D10" s="684">
        <v>0</v>
      </c>
      <c r="E10" s="684"/>
      <c r="F10" s="684"/>
      <c r="G10" s="684"/>
      <c r="H10" s="367">
        <f t="shared" si="0"/>
        <v>0</v>
      </c>
    </row>
    <row r="11" spans="1:8">
      <c r="A11" s="374">
        <v>5</v>
      </c>
      <c r="B11" s="358" t="s">
        <v>55</v>
      </c>
      <c r="C11" s="684"/>
      <c r="D11" s="684">
        <v>0</v>
      </c>
      <c r="E11" s="684"/>
      <c r="F11" s="684"/>
      <c r="G11" s="684"/>
      <c r="H11" s="367">
        <f t="shared" si="0"/>
        <v>0</v>
      </c>
    </row>
    <row r="12" spans="1:8">
      <c r="A12" s="374">
        <v>6</v>
      </c>
      <c r="B12" s="358" t="s">
        <v>56</v>
      </c>
      <c r="C12" s="684"/>
      <c r="D12" s="684">
        <v>176076348.38</v>
      </c>
      <c r="E12" s="684">
        <v>21286.263860950967</v>
      </c>
      <c r="F12" s="684"/>
      <c r="G12" s="684"/>
      <c r="H12" s="367">
        <f t="shared" si="0"/>
        <v>176055062.11613905</v>
      </c>
    </row>
    <row r="13" spans="1:8">
      <c r="A13" s="374">
        <v>7</v>
      </c>
      <c r="B13" s="358" t="s">
        <v>57</v>
      </c>
      <c r="C13" s="684">
        <v>0</v>
      </c>
      <c r="D13" s="684">
        <v>108448839.23959769</v>
      </c>
      <c r="E13" s="684">
        <v>2059249.2305206358</v>
      </c>
      <c r="F13" s="684"/>
      <c r="G13" s="684">
        <v>1808.1193880000001</v>
      </c>
      <c r="H13" s="367">
        <f t="shared" si="0"/>
        <v>106389590.00907706</v>
      </c>
    </row>
    <row r="14" spans="1:8">
      <c r="A14" s="374">
        <v>8</v>
      </c>
      <c r="B14" s="360" t="s">
        <v>58</v>
      </c>
      <c r="C14" s="684">
        <v>25797760.838178024</v>
      </c>
      <c r="D14" s="684">
        <v>2644346131.0215816</v>
      </c>
      <c r="E14" s="684">
        <v>66855552.682978883</v>
      </c>
      <c r="F14" s="684"/>
      <c r="G14" s="684">
        <v>21336768.201133061</v>
      </c>
      <c r="H14" s="367">
        <f t="shared" si="0"/>
        <v>2603288339.1767807</v>
      </c>
    </row>
    <row r="15" spans="1:8">
      <c r="A15" s="374">
        <v>9</v>
      </c>
      <c r="B15" s="358" t="s">
        <v>59</v>
      </c>
      <c r="C15" s="684">
        <v>220084.60988307197</v>
      </c>
      <c r="D15" s="684">
        <v>147816753.43246475</v>
      </c>
      <c r="E15" s="684">
        <v>898368.90539212921</v>
      </c>
      <c r="F15" s="684"/>
      <c r="G15" s="684">
        <v>437080.26928100002</v>
      </c>
      <c r="H15" s="367">
        <f t="shared" si="0"/>
        <v>147138469.13695568</v>
      </c>
    </row>
    <row r="16" spans="1:8">
      <c r="A16" s="374">
        <v>10</v>
      </c>
      <c r="B16" s="362" t="s">
        <v>396</v>
      </c>
      <c r="C16" s="684">
        <v>25981617.789707769</v>
      </c>
      <c r="D16" s="684">
        <v>0</v>
      </c>
      <c r="E16" s="684">
        <v>20761847.134602454</v>
      </c>
      <c r="F16" s="684"/>
      <c r="G16" s="684">
        <v>21775656.58980206</v>
      </c>
      <c r="H16" s="367">
        <f t="shared" si="0"/>
        <v>5219770.6551053151</v>
      </c>
    </row>
    <row r="17" spans="1:8">
      <c r="A17" s="374">
        <v>11</v>
      </c>
      <c r="B17" s="358" t="s">
        <v>61</v>
      </c>
      <c r="C17" s="684"/>
      <c r="D17" s="684"/>
      <c r="E17" s="684"/>
      <c r="F17" s="684"/>
      <c r="G17" s="684"/>
      <c r="H17" s="367">
        <f t="shared" si="0"/>
        <v>0</v>
      </c>
    </row>
    <row r="18" spans="1:8">
      <c r="A18" s="374">
        <v>12</v>
      </c>
      <c r="B18" s="358" t="s">
        <v>62</v>
      </c>
      <c r="C18" s="684"/>
      <c r="D18" s="684"/>
      <c r="E18" s="684"/>
      <c r="F18" s="684"/>
      <c r="G18" s="684"/>
      <c r="H18" s="367">
        <f t="shared" si="0"/>
        <v>0</v>
      </c>
    </row>
    <row r="19" spans="1:8">
      <c r="A19" s="375">
        <v>13</v>
      </c>
      <c r="B19" s="360" t="s">
        <v>145</v>
      </c>
      <c r="C19" s="684"/>
      <c r="D19" s="684"/>
      <c r="E19" s="684"/>
      <c r="F19" s="684"/>
      <c r="G19" s="684"/>
      <c r="H19" s="367">
        <f t="shared" si="0"/>
        <v>0</v>
      </c>
    </row>
    <row r="20" spans="1:8">
      <c r="A20" s="374">
        <v>14</v>
      </c>
      <c r="B20" s="358" t="s">
        <v>64</v>
      </c>
      <c r="C20" s="684"/>
      <c r="D20" s="684">
        <v>260934857.53176481</v>
      </c>
      <c r="E20" s="684">
        <v>7572863.9217652287</v>
      </c>
      <c r="F20" s="684"/>
      <c r="G20" s="684"/>
      <c r="H20" s="367">
        <f t="shared" si="0"/>
        <v>253361993.60999957</v>
      </c>
    </row>
    <row r="21" spans="1:8" s="371" customFormat="1">
      <c r="A21" s="373">
        <v>15</v>
      </c>
      <c r="B21" s="372" t="s">
        <v>65</v>
      </c>
      <c r="C21" s="685">
        <f t="shared" ref="C21:G21" si="1">SUM(C7:C15)+SUM(C17:C20)</f>
        <v>26017845.448061097</v>
      </c>
      <c r="D21" s="685">
        <f t="shared" si="1"/>
        <v>3606578996.6254091</v>
      </c>
      <c r="E21" s="685">
        <f t="shared" si="1"/>
        <v>77587397.048891634</v>
      </c>
      <c r="F21" s="685">
        <f t="shared" si="1"/>
        <v>0</v>
      </c>
      <c r="G21" s="685">
        <f t="shared" si="1"/>
        <v>21775656.58980206</v>
      </c>
      <c r="H21" s="367">
        <f t="shared" ref="H21" si="2">SUM(H7:H15)+SUM(H17:H20)</f>
        <v>3555009445.0245786</v>
      </c>
    </row>
    <row r="22" spans="1:8">
      <c r="A22" s="370">
        <v>16</v>
      </c>
      <c r="B22" s="369" t="s">
        <v>397</v>
      </c>
      <c r="C22" s="684">
        <v>26017845.448061097</v>
      </c>
      <c r="D22" s="684">
        <v>2900611723.693644</v>
      </c>
      <c r="E22" s="684">
        <v>69813170.818891644</v>
      </c>
      <c r="F22" s="684"/>
      <c r="G22" s="684">
        <v>21775656.58980206</v>
      </c>
      <c r="H22" s="367">
        <f>C22+D22-E22-F22</f>
        <v>2856816398.3228135</v>
      </c>
    </row>
    <row r="23" spans="1:8">
      <c r="A23" s="370">
        <v>17</v>
      </c>
      <c r="B23" s="369" t="s">
        <v>398</v>
      </c>
      <c r="C23" s="684"/>
      <c r="D23" s="684">
        <v>81672659.280000001</v>
      </c>
      <c r="E23" s="684">
        <v>128905.45</v>
      </c>
      <c r="F23" s="684"/>
      <c r="G23" s="684"/>
      <c r="H23" s="367">
        <f>C23+D23-E23-F23</f>
        <v>81543753.829999998</v>
      </c>
    </row>
    <row r="26" spans="1:8" ht="42.45" customHeight="1">
      <c r="B26" s="303" t="s">
        <v>483</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6" zoomScale="80" zoomScaleNormal="80" workbookViewId="0">
      <selection activeCell="C34" sqref="C34:G34"/>
    </sheetView>
  </sheetViews>
  <sheetFormatPr defaultColWidth="9.21875" defaultRowHeight="12"/>
  <cols>
    <col min="1" max="1" width="11" style="300" bestFit="1" customWidth="1"/>
    <col min="2" max="2" width="93.44140625" style="300" customWidth="1"/>
    <col min="3" max="4" width="35" style="300" customWidth="1"/>
    <col min="5" max="5" width="15.109375" style="300" bestFit="1" customWidth="1"/>
    <col min="6" max="6" width="11.77734375" style="300" bestFit="1" customWidth="1"/>
    <col min="7" max="7" width="22" style="300" customWidth="1"/>
    <col min="8" max="8" width="19.88671875" style="300" customWidth="1"/>
    <col min="9" max="16384" width="9.21875" style="300"/>
  </cols>
  <sheetData>
    <row r="1" spans="1:8" ht="13.8">
      <c r="A1" s="298" t="s">
        <v>31</v>
      </c>
      <c r="B1" s="365" t="str">
        <f>'Info '!C2</f>
        <v>JSC "CREDOBANK"</v>
      </c>
      <c r="C1" s="379"/>
      <c r="D1" s="379"/>
      <c r="E1" s="379"/>
      <c r="F1" s="379"/>
      <c r="G1" s="379"/>
      <c r="H1" s="379"/>
    </row>
    <row r="2" spans="1:8">
      <c r="A2" s="298" t="s">
        <v>32</v>
      </c>
      <c r="B2" s="364">
        <f>'1. key ratios '!B2</f>
        <v>45930</v>
      </c>
      <c r="C2" s="379"/>
      <c r="D2" s="379"/>
      <c r="E2" s="379"/>
      <c r="F2" s="379"/>
      <c r="G2" s="379"/>
      <c r="H2" s="379"/>
    </row>
    <row r="3" spans="1:8">
      <c r="A3" s="299" t="s">
        <v>399</v>
      </c>
      <c r="B3" s="379"/>
      <c r="C3" s="379"/>
      <c r="D3" s="379"/>
      <c r="E3" s="379"/>
      <c r="F3" s="379"/>
      <c r="G3" s="379"/>
      <c r="H3" s="379"/>
    </row>
    <row r="4" spans="1:8">
      <c r="A4" s="380"/>
      <c r="B4" s="379"/>
      <c r="C4" s="378" t="s">
        <v>0</v>
      </c>
      <c r="D4" s="378" t="s">
        <v>1</v>
      </c>
      <c r="E4" s="378" t="s">
        <v>2</v>
      </c>
      <c r="F4" s="378" t="s">
        <v>3</v>
      </c>
      <c r="G4" s="378" t="s">
        <v>4</v>
      </c>
      <c r="H4" s="378" t="s">
        <v>6</v>
      </c>
    </row>
    <row r="5" spans="1:8" ht="41.55" customHeight="1">
      <c r="A5" s="786" t="s">
        <v>390</v>
      </c>
      <c r="B5" s="787"/>
      <c r="C5" s="800" t="s">
        <v>391</v>
      </c>
      <c r="D5" s="800"/>
      <c r="E5" s="800" t="s">
        <v>628</v>
      </c>
      <c r="F5" s="798" t="s">
        <v>392</v>
      </c>
      <c r="G5" s="798" t="s">
        <v>393</v>
      </c>
      <c r="H5" s="376" t="s">
        <v>627</v>
      </c>
    </row>
    <row r="6" spans="1:8" ht="24">
      <c r="A6" s="790"/>
      <c r="B6" s="791"/>
      <c r="C6" s="377" t="s">
        <v>394</v>
      </c>
      <c r="D6" s="377" t="s">
        <v>395</v>
      </c>
      <c r="E6" s="800"/>
      <c r="F6" s="799"/>
      <c r="G6" s="799"/>
      <c r="H6" s="376" t="s">
        <v>626</v>
      </c>
    </row>
    <row r="7" spans="1:8">
      <c r="A7" s="368">
        <v>1</v>
      </c>
      <c r="B7" s="383" t="s">
        <v>487</v>
      </c>
      <c r="C7" s="686">
        <v>140680.6</v>
      </c>
      <c r="D7" s="686">
        <v>294119081.77999997</v>
      </c>
      <c r="E7" s="686">
        <v>640074.85437382048</v>
      </c>
      <c r="F7" s="686"/>
      <c r="G7" s="686">
        <v>59085.409999999989</v>
      </c>
      <c r="H7" s="367">
        <f t="shared" ref="H7:H34" si="0">C7+D7-E7-F7</f>
        <v>293619687.52562618</v>
      </c>
    </row>
    <row r="8" spans="1:8">
      <c r="A8" s="368">
        <v>2</v>
      </c>
      <c r="B8" s="383" t="s">
        <v>400</v>
      </c>
      <c r="C8" s="686">
        <v>29149.45</v>
      </c>
      <c r="D8" s="686">
        <v>198914955.84823477</v>
      </c>
      <c r="E8" s="686">
        <v>264021.64386095095</v>
      </c>
      <c r="F8" s="686"/>
      <c r="G8" s="686">
        <v>13313.329999999998</v>
      </c>
      <c r="H8" s="367">
        <f t="shared" si="0"/>
        <v>198680083.65437382</v>
      </c>
    </row>
    <row r="9" spans="1:8">
      <c r="A9" s="368">
        <v>3</v>
      </c>
      <c r="B9" s="383" t="s">
        <v>401</v>
      </c>
      <c r="C9" s="686">
        <v>98162.63</v>
      </c>
      <c r="D9" s="686">
        <v>7790004.6600000001</v>
      </c>
      <c r="E9" s="686">
        <v>199945.63999999998</v>
      </c>
      <c r="F9" s="686"/>
      <c r="G9" s="686">
        <v>31557.149999999998</v>
      </c>
      <c r="H9" s="367">
        <f t="shared" si="0"/>
        <v>7688221.6500000004</v>
      </c>
    </row>
    <row r="10" spans="1:8">
      <c r="A10" s="368">
        <v>4</v>
      </c>
      <c r="B10" s="383" t="s">
        <v>488</v>
      </c>
      <c r="C10" s="686">
        <v>12041.07</v>
      </c>
      <c r="D10" s="686">
        <v>51718836.57</v>
      </c>
      <c r="E10" s="686">
        <v>1219867.6600000001</v>
      </c>
      <c r="F10" s="686"/>
      <c r="G10" s="686">
        <v>22.75</v>
      </c>
      <c r="H10" s="367">
        <f t="shared" si="0"/>
        <v>50511009.980000004</v>
      </c>
    </row>
    <row r="11" spans="1:8">
      <c r="A11" s="368">
        <v>5</v>
      </c>
      <c r="B11" s="383" t="s">
        <v>402</v>
      </c>
      <c r="C11" s="686">
        <v>63481.41</v>
      </c>
      <c r="D11" s="686">
        <v>47879276.229999997</v>
      </c>
      <c r="E11" s="686">
        <v>273710.47000000003</v>
      </c>
      <c r="F11" s="686"/>
      <c r="G11" s="686">
        <v>52102.605176000012</v>
      </c>
      <c r="H11" s="367">
        <f t="shared" si="0"/>
        <v>47669047.169999994</v>
      </c>
    </row>
    <row r="12" spans="1:8">
      <c r="A12" s="368">
        <v>6</v>
      </c>
      <c r="B12" s="383" t="s">
        <v>403</v>
      </c>
      <c r="C12" s="686">
        <v>210985</v>
      </c>
      <c r="D12" s="686">
        <v>13613631.550000001</v>
      </c>
      <c r="E12" s="686">
        <v>353438.03</v>
      </c>
      <c r="F12" s="686"/>
      <c r="G12" s="686">
        <v>120380.84999999999</v>
      </c>
      <c r="H12" s="367">
        <f t="shared" si="0"/>
        <v>13471178.520000001</v>
      </c>
    </row>
    <row r="13" spans="1:8">
      <c r="A13" s="368">
        <v>7</v>
      </c>
      <c r="B13" s="383" t="s">
        <v>404</v>
      </c>
      <c r="C13" s="686">
        <v>49763.32</v>
      </c>
      <c r="D13" s="686">
        <v>4904112.57</v>
      </c>
      <c r="E13" s="686">
        <v>140195.1</v>
      </c>
      <c r="F13" s="686"/>
      <c r="G13" s="686">
        <v>72722.340000000011</v>
      </c>
      <c r="H13" s="367">
        <f t="shared" si="0"/>
        <v>4813680.790000001</v>
      </c>
    </row>
    <row r="14" spans="1:8">
      <c r="A14" s="368">
        <v>8</v>
      </c>
      <c r="B14" s="383" t="s">
        <v>405</v>
      </c>
      <c r="C14" s="686">
        <v>1281698.9200000002</v>
      </c>
      <c r="D14" s="686">
        <v>202314769.61000001</v>
      </c>
      <c r="E14" s="686">
        <v>3987065.76</v>
      </c>
      <c r="F14" s="686"/>
      <c r="G14" s="686">
        <v>1258978.1816840002</v>
      </c>
      <c r="H14" s="367">
        <f t="shared" si="0"/>
        <v>199609402.77000001</v>
      </c>
    </row>
    <row r="15" spans="1:8">
      <c r="A15" s="368">
        <v>9</v>
      </c>
      <c r="B15" s="383" t="s">
        <v>406</v>
      </c>
      <c r="C15" s="686">
        <v>230454.38</v>
      </c>
      <c r="D15" s="686">
        <v>37600310.75</v>
      </c>
      <c r="E15" s="686">
        <v>780208.08</v>
      </c>
      <c r="F15" s="686"/>
      <c r="G15" s="686">
        <v>228933.09631600001</v>
      </c>
      <c r="H15" s="367">
        <f t="shared" si="0"/>
        <v>37050557.050000004</v>
      </c>
    </row>
    <row r="16" spans="1:8">
      <c r="A16" s="368">
        <v>10</v>
      </c>
      <c r="B16" s="383" t="s">
        <v>407</v>
      </c>
      <c r="C16" s="686">
        <v>120535.28</v>
      </c>
      <c r="D16" s="686">
        <v>19001544.810000002</v>
      </c>
      <c r="E16" s="686">
        <v>1063849</v>
      </c>
      <c r="F16" s="686"/>
      <c r="G16" s="686">
        <v>87329.055899999978</v>
      </c>
      <c r="H16" s="367">
        <f t="shared" si="0"/>
        <v>18058231.090000004</v>
      </c>
    </row>
    <row r="17" spans="1:8">
      <c r="A17" s="368">
        <v>11</v>
      </c>
      <c r="B17" s="383" t="s">
        <v>408</v>
      </c>
      <c r="C17" s="686">
        <v>34978.119999999995</v>
      </c>
      <c r="D17" s="686">
        <v>8529480.8599999994</v>
      </c>
      <c r="E17" s="686">
        <v>189347.02</v>
      </c>
      <c r="F17" s="686"/>
      <c r="G17" s="686">
        <v>22836.783536999999</v>
      </c>
      <c r="H17" s="367">
        <f t="shared" si="0"/>
        <v>8375111.959999999</v>
      </c>
    </row>
    <row r="18" spans="1:8">
      <c r="A18" s="368">
        <v>12</v>
      </c>
      <c r="B18" s="383" t="s">
        <v>409</v>
      </c>
      <c r="C18" s="686">
        <v>1084698.72</v>
      </c>
      <c r="D18" s="686">
        <v>147498209.11000001</v>
      </c>
      <c r="E18" s="686">
        <v>2873613.74</v>
      </c>
      <c r="F18" s="686"/>
      <c r="G18" s="686">
        <v>952533.81237400044</v>
      </c>
      <c r="H18" s="367">
        <f t="shared" si="0"/>
        <v>145709294.09</v>
      </c>
    </row>
    <row r="19" spans="1:8">
      <c r="A19" s="368">
        <v>13</v>
      </c>
      <c r="B19" s="383" t="s">
        <v>410</v>
      </c>
      <c r="C19" s="686">
        <v>212573.59</v>
      </c>
      <c r="D19" s="686">
        <v>26417977.449999999</v>
      </c>
      <c r="E19" s="686">
        <v>687047.94000000006</v>
      </c>
      <c r="F19" s="686"/>
      <c r="G19" s="686">
        <v>152562.43070000008</v>
      </c>
      <c r="H19" s="367">
        <f t="shared" si="0"/>
        <v>25943503.099999998</v>
      </c>
    </row>
    <row r="20" spans="1:8">
      <c r="A20" s="368">
        <v>14</v>
      </c>
      <c r="B20" s="383" t="s">
        <v>411</v>
      </c>
      <c r="C20" s="686">
        <v>100258.35</v>
      </c>
      <c r="D20" s="686">
        <v>83916361.519999996</v>
      </c>
      <c r="E20" s="686">
        <v>1179323.26</v>
      </c>
      <c r="F20" s="686"/>
      <c r="G20" s="686">
        <v>175809.95401999995</v>
      </c>
      <c r="H20" s="367">
        <f t="shared" si="0"/>
        <v>82837296.609999985</v>
      </c>
    </row>
    <row r="21" spans="1:8">
      <c r="A21" s="368">
        <v>15</v>
      </c>
      <c r="B21" s="383" t="s">
        <v>412</v>
      </c>
      <c r="C21" s="686">
        <v>601480.78</v>
      </c>
      <c r="D21" s="686">
        <v>58576333.670000002</v>
      </c>
      <c r="E21" s="686">
        <v>1380637.56</v>
      </c>
      <c r="F21" s="686"/>
      <c r="G21" s="686">
        <v>370141.92363599996</v>
      </c>
      <c r="H21" s="367">
        <f t="shared" si="0"/>
        <v>57797176.890000001</v>
      </c>
    </row>
    <row r="22" spans="1:8">
      <c r="A22" s="368">
        <v>16</v>
      </c>
      <c r="B22" s="383" t="s">
        <v>413</v>
      </c>
      <c r="C22" s="686">
        <v>70437.820000000007</v>
      </c>
      <c r="D22" s="686">
        <v>15521827.92</v>
      </c>
      <c r="E22" s="686">
        <v>386561.02</v>
      </c>
      <c r="F22" s="686"/>
      <c r="G22" s="686">
        <v>98472.170000000027</v>
      </c>
      <c r="H22" s="367">
        <f t="shared" si="0"/>
        <v>15205704.720000001</v>
      </c>
    </row>
    <row r="23" spans="1:8">
      <c r="A23" s="368">
        <v>17</v>
      </c>
      <c r="B23" s="383" t="s">
        <v>491</v>
      </c>
      <c r="C23" s="686">
        <v>189.96</v>
      </c>
      <c r="D23" s="686">
        <v>923329.25</v>
      </c>
      <c r="E23" s="686">
        <v>15006.78</v>
      </c>
      <c r="F23" s="686"/>
      <c r="G23" s="686">
        <v>8386.0299999999988</v>
      </c>
      <c r="H23" s="367">
        <f t="shared" si="0"/>
        <v>908512.42999999993</v>
      </c>
    </row>
    <row r="24" spans="1:8">
      <c r="A24" s="368">
        <v>18</v>
      </c>
      <c r="B24" s="383" t="s">
        <v>414</v>
      </c>
      <c r="C24" s="686">
        <v>18922.330000000002</v>
      </c>
      <c r="D24" s="686">
        <v>4590735.96</v>
      </c>
      <c r="E24" s="686">
        <v>83487.37</v>
      </c>
      <c r="F24" s="686"/>
      <c r="G24" s="686">
        <v>33582.149999999994</v>
      </c>
      <c r="H24" s="367">
        <f t="shared" si="0"/>
        <v>4526170.92</v>
      </c>
    </row>
    <row r="25" spans="1:8">
      <c r="A25" s="368">
        <v>19</v>
      </c>
      <c r="B25" s="383" t="s">
        <v>415</v>
      </c>
      <c r="C25" s="686">
        <v>118496.15</v>
      </c>
      <c r="D25" s="686">
        <v>8450397.5999999996</v>
      </c>
      <c r="E25" s="686">
        <v>184628.25</v>
      </c>
      <c r="F25" s="686"/>
      <c r="G25" s="686">
        <v>140218.65000000002</v>
      </c>
      <c r="H25" s="367">
        <f t="shared" si="0"/>
        <v>8384265.5</v>
      </c>
    </row>
    <row r="26" spans="1:8">
      <c r="A26" s="368">
        <v>20</v>
      </c>
      <c r="B26" s="383" t="s">
        <v>490</v>
      </c>
      <c r="C26" s="686">
        <v>34787.32</v>
      </c>
      <c r="D26" s="686">
        <v>21676125.579999998</v>
      </c>
      <c r="E26" s="686">
        <v>219584.40999999997</v>
      </c>
      <c r="F26" s="686"/>
      <c r="G26" s="686">
        <v>88453.709999999992</v>
      </c>
      <c r="H26" s="367">
        <f t="shared" si="0"/>
        <v>21491328.489999998</v>
      </c>
    </row>
    <row r="27" spans="1:8">
      <c r="A27" s="368">
        <v>21</v>
      </c>
      <c r="B27" s="383" t="s">
        <v>416</v>
      </c>
      <c r="C27" s="686">
        <v>1391.75</v>
      </c>
      <c r="D27" s="686">
        <v>2765048.6999999997</v>
      </c>
      <c r="E27" s="686">
        <v>24401.16</v>
      </c>
      <c r="F27" s="686"/>
      <c r="G27" s="686">
        <v>11477.509999999997</v>
      </c>
      <c r="H27" s="367">
        <f t="shared" si="0"/>
        <v>2742039.2899999996</v>
      </c>
    </row>
    <row r="28" spans="1:8">
      <c r="A28" s="368">
        <v>22</v>
      </c>
      <c r="B28" s="383" t="s">
        <v>417</v>
      </c>
      <c r="C28" s="686">
        <v>6420.58</v>
      </c>
      <c r="D28" s="686">
        <v>1483667.93</v>
      </c>
      <c r="E28" s="686">
        <v>24591.79</v>
      </c>
      <c r="F28" s="686"/>
      <c r="G28" s="686">
        <v>9980.3999999999978</v>
      </c>
      <c r="H28" s="367">
        <f t="shared" si="0"/>
        <v>1465496.72</v>
      </c>
    </row>
    <row r="29" spans="1:8">
      <c r="A29" s="368">
        <v>23</v>
      </c>
      <c r="B29" s="383" t="s">
        <v>418</v>
      </c>
      <c r="C29" s="686">
        <v>7786990.1299999999</v>
      </c>
      <c r="D29" s="686">
        <v>667240187.03000009</v>
      </c>
      <c r="E29" s="686">
        <v>18826165.620000001</v>
      </c>
      <c r="F29" s="686"/>
      <c r="G29" s="686">
        <v>7136190.9226119965</v>
      </c>
      <c r="H29" s="367">
        <f t="shared" si="0"/>
        <v>656201011.54000008</v>
      </c>
    </row>
    <row r="30" spans="1:8">
      <c r="A30" s="368">
        <v>24</v>
      </c>
      <c r="B30" s="383" t="s">
        <v>489</v>
      </c>
      <c r="C30" s="686">
        <v>8963162.0299999993</v>
      </c>
      <c r="D30" s="686">
        <v>1035357846.38</v>
      </c>
      <c r="E30" s="686">
        <v>25119787.960000001</v>
      </c>
      <c r="F30" s="686"/>
      <c r="G30" s="686">
        <v>6937703.1168740196</v>
      </c>
      <c r="H30" s="367">
        <f t="shared" si="0"/>
        <v>1019201220.4499999</v>
      </c>
    </row>
    <row r="31" spans="1:8">
      <c r="A31" s="368">
        <v>25</v>
      </c>
      <c r="B31" s="383" t="s">
        <v>419</v>
      </c>
      <c r="C31" s="686">
        <v>3659402.08</v>
      </c>
      <c r="D31" s="686">
        <v>297689983.89999998</v>
      </c>
      <c r="E31" s="686">
        <v>7348061.9500000002</v>
      </c>
      <c r="F31" s="686"/>
      <c r="G31" s="686">
        <v>2873058.0269730436</v>
      </c>
      <c r="H31" s="367">
        <f t="shared" si="0"/>
        <v>294001324.02999997</v>
      </c>
    </row>
    <row r="32" spans="1:8">
      <c r="A32" s="368">
        <v>26</v>
      </c>
      <c r="B32" s="383" t="s">
        <v>486</v>
      </c>
      <c r="C32" s="686">
        <v>1086703.6599999999</v>
      </c>
      <c r="D32" s="686">
        <v>87150101.88000001</v>
      </c>
      <c r="E32" s="686">
        <v>2549911.08</v>
      </c>
      <c r="F32" s="686"/>
      <c r="G32" s="686">
        <v>839824.2300000001</v>
      </c>
      <c r="H32" s="367">
        <f t="shared" si="0"/>
        <v>85686894.460000008</v>
      </c>
    </row>
    <row r="33" spans="1:8">
      <c r="A33" s="368">
        <v>27</v>
      </c>
      <c r="B33" s="368" t="s">
        <v>420</v>
      </c>
      <c r="C33" s="686"/>
      <c r="D33" s="686">
        <v>260934857.53176481</v>
      </c>
      <c r="E33" s="686">
        <v>7572863.9217652287</v>
      </c>
      <c r="F33" s="686"/>
      <c r="G33" s="686"/>
      <c r="H33" s="367">
        <f t="shared" si="0"/>
        <v>253361993.60999957</v>
      </c>
    </row>
    <row r="34" spans="1:8">
      <c r="A34" s="368">
        <v>28</v>
      </c>
      <c r="B34" s="372" t="s">
        <v>65</v>
      </c>
      <c r="C34" s="687">
        <f>SUM(C7:C33)</f>
        <v>26017845.429999996</v>
      </c>
      <c r="D34" s="687">
        <f>SUM(D7:D33)</f>
        <v>3606578996.6500006</v>
      </c>
      <c r="E34" s="687">
        <f>SUM(E7:E33)</f>
        <v>77587397.069999993</v>
      </c>
      <c r="F34" s="687">
        <f>SUM(F7:F33)</f>
        <v>0</v>
      </c>
      <c r="G34" s="687">
        <f>SUM(G7:G33)</f>
        <v>21775656.58980206</v>
      </c>
      <c r="H34" s="367">
        <f t="shared" si="0"/>
        <v>3555009445.0100002</v>
      </c>
    </row>
    <row r="36" spans="1:8">
      <c r="B36" s="38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6" sqref="C6:C15"/>
    </sheetView>
  </sheetViews>
  <sheetFormatPr defaultColWidth="9.21875" defaultRowHeight="12"/>
  <cols>
    <col min="1" max="1" width="11.77734375" style="300" bestFit="1" customWidth="1"/>
    <col min="2" max="2" width="108" style="300" bestFit="1" customWidth="1"/>
    <col min="3" max="3" width="35.5546875" style="300" customWidth="1"/>
    <col min="4" max="4" width="38.44140625" style="300" customWidth="1"/>
    <col min="5" max="16384" width="9.21875" style="300"/>
  </cols>
  <sheetData>
    <row r="1" spans="1:4" ht="13.8">
      <c r="A1" s="298" t="s">
        <v>31</v>
      </c>
      <c r="B1" s="365" t="str">
        <f>'Info '!C2</f>
        <v>JSC "CREDOBANK"</v>
      </c>
    </row>
    <row r="2" spans="1:4">
      <c r="A2" s="298" t="s">
        <v>32</v>
      </c>
      <c r="B2" s="364">
        <f>'1. key ratios '!B2</f>
        <v>45930</v>
      </c>
    </row>
    <row r="3" spans="1:4">
      <c r="A3" s="299" t="s">
        <v>421</v>
      </c>
    </row>
    <row r="5" spans="1:4">
      <c r="A5" s="801" t="s">
        <v>635</v>
      </c>
      <c r="B5" s="801"/>
      <c r="C5" s="363" t="s">
        <v>438</v>
      </c>
      <c r="D5" s="363" t="s">
        <v>479</v>
      </c>
    </row>
    <row r="6" spans="1:4" ht="14.4">
      <c r="A6" s="391">
        <v>1</v>
      </c>
      <c r="B6" s="384" t="s">
        <v>634</v>
      </c>
      <c r="C6" s="688">
        <v>67220702.839446366</v>
      </c>
      <c r="D6" s="386"/>
    </row>
    <row r="7" spans="1:4" ht="14.4">
      <c r="A7" s="388">
        <v>2</v>
      </c>
      <c r="B7" s="384" t="s">
        <v>633</v>
      </c>
      <c r="C7" s="689">
        <f>SUM(C8:C9)</f>
        <v>52310974.200944185</v>
      </c>
      <c r="D7" s="386">
        <f>SUM(D8:D9)</f>
        <v>0</v>
      </c>
    </row>
    <row r="8" spans="1:4" ht="14.4">
      <c r="A8" s="390">
        <v>2.1</v>
      </c>
      <c r="B8" s="389" t="s">
        <v>494</v>
      </c>
      <c r="C8" s="688">
        <v>6793492.4890342951</v>
      </c>
      <c r="D8" s="386"/>
    </row>
    <row r="9" spans="1:4" ht="14.4">
      <c r="A9" s="390">
        <v>2.2000000000000002</v>
      </c>
      <c r="B9" s="389" t="s">
        <v>492</v>
      </c>
      <c r="C9" s="688">
        <v>45517481.71190989</v>
      </c>
      <c r="D9" s="386"/>
    </row>
    <row r="10" spans="1:4" ht="14.4">
      <c r="A10" s="391">
        <v>3</v>
      </c>
      <c r="B10" s="384" t="s">
        <v>632</v>
      </c>
      <c r="C10" s="688">
        <f>SUM(C11:C13)</f>
        <v>49712911.543668002</v>
      </c>
      <c r="D10" s="386">
        <f>SUM(D11:D13)</f>
        <v>0</v>
      </c>
    </row>
    <row r="11" spans="1:4" ht="14.4">
      <c r="A11" s="390">
        <v>3.1</v>
      </c>
      <c r="B11" s="389" t="s">
        <v>423</v>
      </c>
      <c r="C11" s="688">
        <v>21775649.779801682</v>
      </c>
      <c r="D11" s="386"/>
    </row>
    <row r="12" spans="1:4" ht="14.4">
      <c r="A12" s="390">
        <v>3.2</v>
      </c>
      <c r="B12" s="389" t="s">
        <v>631</v>
      </c>
      <c r="C12" s="688">
        <v>9878267.6362643391</v>
      </c>
      <c r="D12" s="386"/>
    </row>
    <row r="13" spans="1:4" ht="14.4">
      <c r="A13" s="390">
        <v>3.3</v>
      </c>
      <c r="B13" s="389" t="s">
        <v>493</v>
      </c>
      <c r="C13" s="688">
        <v>18058994.127601985</v>
      </c>
      <c r="D13" s="386"/>
    </row>
    <row r="14" spans="1:4" ht="14.4">
      <c r="A14" s="388">
        <v>4</v>
      </c>
      <c r="B14" s="387" t="s">
        <v>630</v>
      </c>
      <c r="C14" s="688">
        <v>-5594.6778213336911</v>
      </c>
      <c r="D14" s="386"/>
    </row>
    <row r="15" spans="1:4" ht="14.4">
      <c r="A15" s="385">
        <v>5</v>
      </c>
      <c r="B15" s="384" t="s">
        <v>629</v>
      </c>
      <c r="C15" s="689">
        <f>C6+C7-C10+C14</f>
        <v>69813170.818901211</v>
      </c>
      <c r="D15" s="356">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C18"/>
    </sheetView>
  </sheetViews>
  <sheetFormatPr defaultColWidth="9.21875" defaultRowHeight="12"/>
  <cols>
    <col min="1" max="1" width="11.77734375" style="300" bestFit="1" customWidth="1"/>
    <col min="2" max="2" width="128.88671875" style="300" bestFit="1" customWidth="1"/>
    <col min="3" max="3" width="37" style="300" customWidth="1"/>
    <col min="4" max="4" width="50.5546875" style="300" customWidth="1"/>
    <col min="5" max="16384" width="9.21875" style="300"/>
  </cols>
  <sheetData>
    <row r="1" spans="1:4" ht="13.8">
      <c r="A1" s="298" t="s">
        <v>31</v>
      </c>
      <c r="B1" s="365" t="str">
        <f>'Info '!C2</f>
        <v>JSC "CREDOBANK"</v>
      </c>
    </row>
    <row r="2" spans="1:4">
      <c r="A2" s="298" t="s">
        <v>32</v>
      </c>
      <c r="B2" s="364">
        <f>'1. key ratios '!B2</f>
        <v>45930</v>
      </c>
    </row>
    <row r="3" spans="1:4">
      <c r="A3" s="299" t="s">
        <v>425</v>
      </c>
    </row>
    <row r="4" spans="1:4">
      <c r="A4" s="299"/>
    </row>
    <row r="5" spans="1:4" ht="15" customHeight="1">
      <c r="A5" s="802" t="s">
        <v>495</v>
      </c>
      <c r="B5" s="803"/>
      <c r="C5" s="806" t="s">
        <v>426</v>
      </c>
      <c r="D5" s="806" t="s">
        <v>427</v>
      </c>
    </row>
    <row r="6" spans="1:4">
      <c r="A6" s="804"/>
      <c r="B6" s="805"/>
      <c r="C6" s="806"/>
      <c r="D6" s="806"/>
    </row>
    <row r="7" spans="1:4" ht="14.4">
      <c r="A7" s="356">
        <v>1</v>
      </c>
      <c r="B7" s="356" t="s">
        <v>422</v>
      </c>
      <c r="C7" s="690">
        <v>26730343.51417267</v>
      </c>
      <c r="D7" s="392"/>
    </row>
    <row r="8" spans="1:4" ht="14.4">
      <c r="A8" s="386">
        <v>2</v>
      </c>
      <c r="B8" s="386" t="s">
        <v>428</v>
      </c>
      <c r="C8" s="691">
        <v>28945980.851150256</v>
      </c>
      <c r="D8" s="392"/>
    </row>
    <row r="9" spans="1:4" ht="14.4">
      <c r="A9" s="386">
        <v>3</v>
      </c>
      <c r="B9" s="395" t="s">
        <v>638</v>
      </c>
      <c r="C9" s="691"/>
      <c r="D9" s="392"/>
    </row>
    <row r="10" spans="1:4" ht="14.4">
      <c r="A10" s="386">
        <v>4</v>
      </c>
      <c r="B10" s="386" t="s">
        <v>429</v>
      </c>
      <c r="C10" s="690">
        <f>SUM(C11:C17)</f>
        <v>29658478.917260338</v>
      </c>
      <c r="D10" s="392"/>
    </row>
    <row r="11" spans="1:4" ht="14.4">
      <c r="A11" s="386">
        <v>5</v>
      </c>
      <c r="B11" s="394" t="s">
        <v>637</v>
      </c>
      <c r="C11" s="691"/>
      <c r="D11" s="392"/>
    </row>
    <row r="12" spans="1:4" ht="14.4">
      <c r="A12" s="386">
        <v>6</v>
      </c>
      <c r="B12" s="394" t="s">
        <v>430</v>
      </c>
      <c r="C12" s="691">
        <v>2237167.5999999973</v>
      </c>
      <c r="D12" s="392"/>
    </row>
    <row r="13" spans="1:4" ht="14.4">
      <c r="A13" s="386">
        <v>7</v>
      </c>
      <c r="B13" s="394" t="s">
        <v>433</v>
      </c>
      <c r="C13" s="691">
        <v>21775649.779801682</v>
      </c>
      <c r="D13" s="392"/>
    </row>
    <row r="14" spans="1:4" ht="14.4">
      <c r="A14" s="386">
        <v>8</v>
      </c>
      <c r="B14" s="394" t="s">
        <v>431</v>
      </c>
      <c r="C14" s="691"/>
      <c r="D14" s="386"/>
    </row>
    <row r="15" spans="1:4" ht="14.4">
      <c r="A15" s="386">
        <v>9</v>
      </c>
      <c r="B15" s="394" t="s">
        <v>432</v>
      </c>
      <c r="C15" s="691"/>
      <c r="D15" s="386"/>
    </row>
    <row r="16" spans="1:4" ht="14.4">
      <c r="A16" s="386">
        <v>10</v>
      </c>
      <c r="B16" s="394" t="s">
        <v>434</v>
      </c>
      <c r="C16" s="691">
        <v>5644916.2048491677</v>
      </c>
      <c r="D16" s="386"/>
    </row>
    <row r="17" spans="1:4" ht="14.4">
      <c r="A17" s="386">
        <v>11</v>
      </c>
      <c r="B17" s="394" t="s">
        <v>636</v>
      </c>
      <c r="C17" s="691">
        <v>745.33260949079295</v>
      </c>
      <c r="D17" s="392"/>
    </row>
    <row r="18" spans="1:4" ht="14.4">
      <c r="A18" s="356">
        <v>12</v>
      </c>
      <c r="B18" s="393" t="s">
        <v>424</v>
      </c>
      <c r="C18" s="690">
        <f>C7+C8+C9-C10</f>
        <v>26017845.448062588</v>
      </c>
      <c r="D18" s="392"/>
    </row>
    <row r="21" spans="1:4">
      <c r="B21" s="298"/>
    </row>
    <row r="22" spans="1:4">
      <c r="B22" s="298"/>
    </row>
    <row r="23" spans="1:4">
      <c r="B23" s="299"/>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topLeftCell="B1" zoomScale="80" zoomScaleNormal="80" workbookViewId="0">
      <selection activeCell="E17" sqref="E17"/>
    </sheetView>
  </sheetViews>
  <sheetFormatPr defaultColWidth="9.21875" defaultRowHeight="12"/>
  <cols>
    <col min="1" max="1" width="11.77734375" style="379" bestFit="1" customWidth="1"/>
    <col min="2" max="2" width="63.88671875" style="379" customWidth="1"/>
    <col min="3" max="3" width="15.5546875" style="379" customWidth="1"/>
    <col min="4" max="18" width="22.21875" style="379" customWidth="1"/>
    <col min="19" max="19" width="23.21875" style="379" bestFit="1" customWidth="1"/>
    <col min="20" max="26" width="22.21875" style="379" customWidth="1"/>
    <col min="27" max="27" width="23.21875" style="379" bestFit="1" customWidth="1"/>
    <col min="28" max="28" width="20" style="379" customWidth="1"/>
    <col min="29" max="16384" width="9.21875" style="379"/>
  </cols>
  <sheetData>
    <row r="1" spans="1:28" ht="13.8">
      <c r="A1" s="298" t="s">
        <v>31</v>
      </c>
      <c r="B1" s="365" t="str">
        <f>'Info '!C2</f>
        <v>JSC "CREDOBANK"</v>
      </c>
    </row>
    <row r="2" spans="1:28">
      <c r="A2" s="298" t="s">
        <v>32</v>
      </c>
      <c r="B2" s="364">
        <f>'1. key ratios '!B2</f>
        <v>45930</v>
      </c>
      <c r="C2" s="380"/>
    </row>
    <row r="3" spans="1:28">
      <c r="A3" s="299" t="s">
        <v>435</v>
      </c>
    </row>
    <row r="5" spans="1:28" ht="15" customHeight="1">
      <c r="A5" s="808" t="s">
        <v>650</v>
      </c>
      <c r="B5" s="809"/>
      <c r="C5" s="814" t="s">
        <v>436</v>
      </c>
      <c r="D5" s="815"/>
      <c r="E5" s="815"/>
      <c r="F5" s="815"/>
      <c r="G5" s="815"/>
      <c r="H5" s="815"/>
      <c r="I5" s="815"/>
      <c r="J5" s="815"/>
      <c r="K5" s="815"/>
      <c r="L5" s="815"/>
      <c r="M5" s="815"/>
      <c r="N5" s="815"/>
      <c r="O5" s="815"/>
      <c r="P5" s="815"/>
      <c r="Q5" s="815"/>
      <c r="R5" s="815"/>
      <c r="S5" s="815"/>
      <c r="T5" s="403"/>
      <c r="U5" s="403"/>
      <c r="V5" s="403"/>
      <c r="W5" s="403"/>
      <c r="X5" s="403"/>
      <c r="Y5" s="403"/>
      <c r="Z5" s="403"/>
      <c r="AA5" s="402"/>
      <c r="AB5" s="397"/>
    </row>
    <row r="6" spans="1:28" ht="12" customHeight="1">
      <c r="A6" s="810"/>
      <c r="B6" s="811"/>
      <c r="C6" s="816" t="s">
        <v>65</v>
      </c>
      <c r="D6" s="818" t="s">
        <v>649</v>
      </c>
      <c r="E6" s="818"/>
      <c r="F6" s="818"/>
      <c r="G6" s="818"/>
      <c r="H6" s="818" t="s">
        <v>648</v>
      </c>
      <c r="I6" s="818"/>
      <c r="J6" s="818"/>
      <c r="K6" s="818"/>
      <c r="L6" s="400"/>
      <c r="M6" s="819" t="s">
        <v>647</v>
      </c>
      <c r="N6" s="819"/>
      <c r="O6" s="819"/>
      <c r="P6" s="819"/>
      <c r="Q6" s="819"/>
      <c r="R6" s="819"/>
      <c r="S6" s="799"/>
      <c r="T6" s="401"/>
      <c r="U6" s="807" t="s">
        <v>646</v>
      </c>
      <c r="V6" s="807"/>
      <c r="W6" s="807"/>
      <c r="X6" s="807"/>
      <c r="Y6" s="807"/>
      <c r="Z6" s="807"/>
      <c r="AA6" s="800"/>
      <c r="AB6" s="400"/>
    </row>
    <row r="7" spans="1:28" ht="24">
      <c r="A7" s="812"/>
      <c r="B7" s="813"/>
      <c r="C7" s="817"/>
      <c r="D7" s="399"/>
      <c r="E7" s="376" t="s">
        <v>437</v>
      </c>
      <c r="F7" s="376" t="s">
        <v>644</v>
      </c>
      <c r="G7" s="378" t="s">
        <v>645</v>
      </c>
      <c r="H7" s="380"/>
      <c r="I7" s="376" t="s">
        <v>437</v>
      </c>
      <c r="J7" s="376" t="s">
        <v>644</v>
      </c>
      <c r="K7" s="378" t="s">
        <v>645</v>
      </c>
      <c r="L7" s="398"/>
      <c r="M7" s="376" t="s">
        <v>437</v>
      </c>
      <c r="N7" s="376" t="s">
        <v>644</v>
      </c>
      <c r="O7" s="376" t="s">
        <v>643</v>
      </c>
      <c r="P7" s="376" t="s">
        <v>642</v>
      </c>
      <c r="Q7" s="376" t="s">
        <v>641</v>
      </c>
      <c r="R7" s="376" t="s">
        <v>640</v>
      </c>
      <c r="S7" s="376" t="s">
        <v>639</v>
      </c>
      <c r="T7" s="398"/>
      <c r="U7" s="376" t="s">
        <v>437</v>
      </c>
      <c r="V7" s="376" t="s">
        <v>644</v>
      </c>
      <c r="W7" s="376" t="s">
        <v>643</v>
      </c>
      <c r="X7" s="376" t="s">
        <v>642</v>
      </c>
      <c r="Y7" s="376" t="s">
        <v>641</v>
      </c>
      <c r="Z7" s="376" t="s">
        <v>640</v>
      </c>
      <c r="AA7" s="376" t="s">
        <v>639</v>
      </c>
      <c r="AB7" s="397"/>
    </row>
    <row r="8" spans="1:28">
      <c r="A8" s="396">
        <v>1</v>
      </c>
      <c r="B8" s="372" t="s">
        <v>438</v>
      </c>
      <c r="C8" s="685">
        <f t="shared" ref="C8:L8" si="0">SUM(C9:C14)</f>
        <v>2926629569.1437154</v>
      </c>
      <c r="D8" s="685">
        <f t="shared" si="0"/>
        <v>2779464547.8560233</v>
      </c>
      <c r="E8" s="685">
        <f t="shared" si="0"/>
        <v>18422386.274472035</v>
      </c>
      <c r="F8" s="685">
        <f t="shared" si="0"/>
        <v>0</v>
      </c>
      <c r="G8" s="685">
        <f t="shared" si="0"/>
        <v>0</v>
      </c>
      <c r="H8" s="685">
        <f t="shared" si="0"/>
        <v>121147175.83962937</v>
      </c>
      <c r="I8" s="685">
        <f t="shared" si="0"/>
        <v>5942837.9456442706</v>
      </c>
      <c r="J8" s="685">
        <f t="shared" si="0"/>
        <v>21549348.277265824</v>
      </c>
      <c r="K8" s="685">
        <f t="shared" si="0"/>
        <v>0</v>
      </c>
      <c r="L8" s="685">
        <f t="shared" si="0"/>
        <v>25981617.789707765</v>
      </c>
      <c r="M8" s="685">
        <f t="shared" ref="M8:S8" si="1">SUM(M9:M14)</f>
        <v>307249.41764065629</v>
      </c>
      <c r="N8" s="685">
        <f t="shared" si="1"/>
        <v>1191664.0626459266</v>
      </c>
      <c r="O8" s="685">
        <f t="shared" si="1"/>
        <v>20605087.546146631</v>
      </c>
      <c r="P8" s="685">
        <f t="shared" si="1"/>
        <v>0</v>
      </c>
      <c r="Q8" s="685">
        <f t="shared" si="1"/>
        <v>0</v>
      </c>
      <c r="R8" s="685">
        <f t="shared" si="1"/>
        <v>0</v>
      </c>
      <c r="S8" s="685">
        <f t="shared" si="1"/>
        <v>0</v>
      </c>
      <c r="T8" s="685">
        <f>SUM(T9:T14)</f>
        <v>36227.658354848034</v>
      </c>
      <c r="U8" s="685">
        <f t="shared" ref="U8:AA8" si="2">SUM(U9:U14)</f>
        <v>0</v>
      </c>
      <c r="V8" s="685">
        <f t="shared" si="2"/>
        <v>0</v>
      </c>
      <c r="W8" s="685">
        <f t="shared" si="2"/>
        <v>0</v>
      </c>
      <c r="X8" s="685">
        <f t="shared" si="2"/>
        <v>0</v>
      </c>
      <c r="Y8" s="685">
        <f t="shared" si="2"/>
        <v>0</v>
      </c>
      <c r="Z8" s="685">
        <f t="shared" si="2"/>
        <v>0</v>
      </c>
      <c r="AA8" s="685">
        <f t="shared" si="2"/>
        <v>0</v>
      </c>
    </row>
    <row r="9" spans="1:28">
      <c r="A9" s="368">
        <v>1.1000000000000001</v>
      </c>
      <c r="B9" s="388" t="s">
        <v>439</v>
      </c>
      <c r="C9" s="692"/>
      <c r="D9" s="684"/>
      <c r="E9" s="684"/>
      <c r="F9" s="684"/>
      <c r="G9" s="684"/>
      <c r="H9" s="684"/>
      <c r="I9" s="684"/>
      <c r="J9" s="684"/>
      <c r="K9" s="684"/>
      <c r="L9" s="684"/>
      <c r="M9" s="684"/>
      <c r="N9" s="684"/>
      <c r="O9" s="684"/>
      <c r="P9" s="684"/>
      <c r="Q9" s="684"/>
      <c r="R9" s="684"/>
      <c r="S9" s="684"/>
      <c r="T9" s="684"/>
      <c r="U9" s="684"/>
      <c r="V9" s="684"/>
      <c r="W9" s="684"/>
      <c r="X9" s="684"/>
      <c r="Y9" s="684"/>
      <c r="Z9" s="684"/>
      <c r="AA9" s="684"/>
    </row>
    <row r="10" spans="1:28">
      <c r="A10" s="368">
        <v>1.2</v>
      </c>
      <c r="B10" s="388" t="s">
        <v>440</v>
      </c>
      <c r="C10" s="692"/>
      <c r="D10" s="684"/>
      <c r="E10" s="684"/>
      <c r="F10" s="684"/>
      <c r="G10" s="684"/>
      <c r="H10" s="684"/>
      <c r="I10" s="684"/>
      <c r="J10" s="684"/>
      <c r="K10" s="684"/>
      <c r="L10" s="684"/>
      <c r="M10" s="684"/>
      <c r="N10" s="684"/>
      <c r="O10" s="684"/>
      <c r="P10" s="684"/>
      <c r="Q10" s="684"/>
      <c r="R10" s="684"/>
      <c r="S10" s="684"/>
      <c r="T10" s="684"/>
      <c r="U10" s="684"/>
      <c r="V10" s="684"/>
      <c r="W10" s="684"/>
      <c r="X10" s="684"/>
      <c r="Y10" s="684"/>
      <c r="Z10" s="684"/>
      <c r="AA10" s="684"/>
    </row>
    <row r="11" spans="1:28">
      <c r="A11" s="368">
        <v>1.3</v>
      </c>
      <c r="B11" s="388" t="s">
        <v>441</v>
      </c>
      <c r="C11" s="692"/>
      <c r="D11" s="684"/>
      <c r="E11" s="684"/>
      <c r="F11" s="684"/>
      <c r="G11" s="684"/>
      <c r="H11" s="684"/>
      <c r="I11" s="684"/>
      <c r="J11" s="684"/>
      <c r="K11" s="684"/>
      <c r="L11" s="684"/>
      <c r="M11" s="684"/>
      <c r="N11" s="684"/>
      <c r="O11" s="684"/>
      <c r="P11" s="684"/>
      <c r="Q11" s="684"/>
      <c r="R11" s="684"/>
      <c r="S11" s="684"/>
      <c r="T11" s="684"/>
      <c r="U11" s="684"/>
      <c r="V11" s="684"/>
      <c r="W11" s="684"/>
      <c r="X11" s="684"/>
      <c r="Y11" s="684"/>
      <c r="Z11" s="684"/>
      <c r="AA11" s="684"/>
    </row>
    <row r="12" spans="1:28">
      <c r="A12" s="368">
        <v>1.4</v>
      </c>
      <c r="B12" s="388" t="s">
        <v>442</v>
      </c>
      <c r="C12" s="692"/>
      <c r="D12" s="684"/>
      <c r="E12" s="684"/>
      <c r="F12" s="684"/>
      <c r="G12" s="684"/>
      <c r="H12" s="684"/>
      <c r="I12" s="684"/>
      <c r="J12" s="684"/>
      <c r="K12" s="684"/>
      <c r="L12" s="684"/>
      <c r="M12" s="684"/>
      <c r="N12" s="684"/>
      <c r="O12" s="684"/>
      <c r="P12" s="684"/>
      <c r="Q12" s="684"/>
      <c r="R12" s="684"/>
      <c r="S12" s="684"/>
      <c r="T12" s="684"/>
      <c r="U12" s="684"/>
      <c r="V12" s="684"/>
      <c r="W12" s="684"/>
      <c r="X12" s="684"/>
      <c r="Y12" s="684"/>
      <c r="Z12" s="684"/>
      <c r="AA12" s="684"/>
    </row>
    <row r="13" spans="1:28">
      <c r="A13" s="368">
        <v>1.5</v>
      </c>
      <c r="B13" s="388" t="s">
        <v>443</v>
      </c>
      <c r="C13" s="693">
        <f>D13+H13+L13+T13</f>
        <v>187616484.04634032</v>
      </c>
      <c r="D13" s="684">
        <v>178991846.48747212</v>
      </c>
      <c r="E13" s="684">
        <v>878237.07800410874</v>
      </c>
      <c r="F13" s="684">
        <v>0</v>
      </c>
      <c r="G13" s="684">
        <v>0</v>
      </c>
      <c r="H13" s="684">
        <v>7896976.8605117835</v>
      </c>
      <c r="I13" s="684">
        <v>0</v>
      </c>
      <c r="J13" s="684">
        <v>5522217.7171177194</v>
      </c>
      <c r="K13" s="684">
        <v>0</v>
      </c>
      <c r="L13" s="684">
        <v>727660.69835641491</v>
      </c>
      <c r="M13" s="684">
        <v>0</v>
      </c>
      <c r="N13" s="684">
        <v>0</v>
      </c>
      <c r="O13" s="684">
        <v>727660.69835641491</v>
      </c>
      <c r="P13" s="684">
        <v>0</v>
      </c>
      <c r="Q13" s="684">
        <v>0</v>
      </c>
      <c r="R13" s="684">
        <v>0</v>
      </c>
      <c r="S13" s="684">
        <v>0</v>
      </c>
      <c r="T13" s="684">
        <v>0</v>
      </c>
      <c r="U13" s="684">
        <v>0</v>
      </c>
      <c r="V13" s="684">
        <v>0</v>
      </c>
      <c r="W13" s="684">
        <v>0</v>
      </c>
      <c r="X13" s="684">
        <v>0</v>
      </c>
      <c r="Y13" s="684">
        <v>0</v>
      </c>
      <c r="Z13" s="684">
        <v>0</v>
      </c>
      <c r="AA13" s="684">
        <v>0</v>
      </c>
    </row>
    <row r="14" spans="1:28">
      <c r="A14" s="368">
        <v>1.6</v>
      </c>
      <c r="B14" s="388" t="s">
        <v>444</v>
      </c>
      <c r="C14" s="693">
        <f>D14+H14+L14+T14</f>
        <v>2739013085.0973749</v>
      </c>
      <c r="D14" s="684">
        <v>2600472701.3685513</v>
      </c>
      <c r="E14" s="684">
        <v>17544149.196467929</v>
      </c>
      <c r="F14" s="684">
        <v>0</v>
      </c>
      <c r="G14" s="684">
        <v>0</v>
      </c>
      <c r="H14" s="684">
        <v>113250198.97911759</v>
      </c>
      <c r="I14" s="684">
        <v>5942837.9456442706</v>
      </c>
      <c r="J14" s="684">
        <v>16027130.560148105</v>
      </c>
      <c r="K14" s="684">
        <v>0</v>
      </c>
      <c r="L14" s="684">
        <v>25253957.091351349</v>
      </c>
      <c r="M14" s="684">
        <v>307249.41764065629</v>
      </c>
      <c r="N14" s="684">
        <v>1191664.0626459266</v>
      </c>
      <c r="O14" s="684">
        <v>19877426.847790215</v>
      </c>
      <c r="P14" s="684">
        <v>0</v>
      </c>
      <c r="Q14" s="684">
        <v>0</v>
      </c>
      <c r="R14" s="684">
        <v>0</v>
      </c>
      <c r="S14" s="684">
        <v>0</v>
      </c>
      <c r="T14" s="684">
        <v>36227.658354848034</v>
      </c>
      <c r="U14" s="684">
        <v>0</v>
      </c>
      <c r="V14" s="684">
        <v>0</v>
      </c>
      <c r="W14" s="684">
        <v>0</v>
      </c>
      <c r="X14" s="684">
        <v>0</v>
      </c>
      <c r="Y14" s="684">
        <v>0</v>
      </c>
      <c r="Z14" s="684">
        <v>0</v>
      </c>
      <c r="AA14" s="684">
        <v>0</v>
      </c>
    </row>
    <row r="15" spans="1:28">
      <c r="A15" s="396">
        <v>2</v>
      </c>
      <c r="B15" s="372" t="s">
        <v>445</v>
      </c>
      <c r="C15" s="694">
        <f>D15+H15+L15+T15</f>
        <v>81543753.829999998</v>
      </c>
      <c r="D15" s="695">
        <f>SUM(D16:D21)</f>
        <v>81543753.829999998</v>
      </c>
      <c r="E15" s="696"/>
      <c r="F15" s="696"/>
      <c r="G15" s="696"/>
      <c r="H15" s="696"/>
      <c r="I15" s="696"/>
      <c r="J15" s="696"/>
      <c r="K15" s="696"/>
      <c r="L15" s="696"/>
      <c r="M15" s="696"/>
      <c r="N15" s="696"/>
      <c r="O15" s="696"/>
      <c r="P15" s="696"/>
      <c r="Q15" s="696"/>
      <c r="R15" s="696"/>
      <c r="S15" s="696"/>
      <c r="T15" s="696"/>
      <c r="U15" s="696"/>
      <c r="V15" s="696"/>
      <c r="W15" s="696"/>
      <c r="X15" s="696"/>
      <c r="Y15" s="696"/>
      <c r="Z15" s="696"/>
      <c r="AA15" s="696"/>
    </row>
    <row r="16" spans="1:28">
      <c r="A16" s="368">
        <v>2.1</v>
      </c>
      <c r="B16" s="388" t="s">
        <v>439</v>
      </c>
      <c r="C16" s="694">
        <f>D16+H16+L16+T16</f>
        <v>0</v>
      </c>
      <c r="D16" s="696"/>
      <c r="E16" s="696"/>
      <c r="F16" s="696"/>
      <c r="G16" s="696"/>
      <c r="H16" s="696"/>
      <c r="I16" s="696"/>
      <c r="J16" s="696"/>
      <c r="K16" s="696"/>
      <c r="L16" s="696"/>
      <c r="M16" s="696"/>
      <c r="N16" s="696"/>
      <c r="O16" s="696"/>
      <c r="P16" s="696"/>
      <c r="Q16" s="696"/>
      <c r="R16" s="696"/>
      <c r="S16" s="696"/>
      <c r="T16" s="696"/>
      <c r="U16" s="696"/>
      <c r="V16" s="696"/>
      <c r="W16" s="696"/>
      <c r="X16" s="696"/>
      <c r="Y16" s="696"/>
      <c r="Z16" s="696"/>
      <c r="AA16" s="696"/>
    </row>
    <row r="17" spans="1:27">
      <c r="A17" s="368">
        <v>2.2000000000000002</v>
      </c>
      <c r="B17" s="388" t="s">
        <v>440</v>
      </c>
      <c r="C17" s="692"/>
      <c r="D17" s="684">
        <v>81543753.829999998</v>
      </c>
      <c r="E17" s="696"/>
      <c r="F17" s="696"/>
      <c r="G17" s="696"/>
      <c r="H17" s="696"/>
      <c r="I17" s="696"/>
      <c r="J17" s="696"/>
      <c r="K17" s="696"/>
      <c r="L17" s="696"/>
      <c r="M17" s="696"/>
      <c r="N17" s="696"/>
      <c r="O17" s="696"/>
      <c r="P17" s="696"/>
      <c r="Q17" s="696"/>
      <c r="R17" s="696"/>
      <c r="S17" s="696"/>
      <c r="T17" s="696"/>
      <c r="U17" s="696"/>
      <c r="V17" s="696"/>
      <c r="W17" s="696"/>
      <c r="X17" s="696"/>
      <c r="Y17" s="696"/>
      <c r="Z17" s="696"/>
      <c r="AA17" s="696"/>
    </row>
    <row r="18" spans="1:27">
      <c r="A18" s="368">
        <v>2.2999999999999998</v>
      </c>
      <c r="B18" s="388" t="s">
        <v>441</v>
      </c>
      <c r="C18" s="692"/>
      <c r="D18" s="696"/>
      <c r="E18" s="696"/>
      <c r="F18" s="696"/>
      <c r="G18" s="696"/>
      <c r="H18" s="696"/>
      <c r="I18" s="696"/>
      <c r="J18" s="696"/>
      <c r="K18" s="696"/>
      <c r="L18" s="696"/>
      <c r="M18" s="696"/>
      <c r="N18" s="696"/>
      <c r="O18" s="696"/>
      <c r="P18" s="696"/>
      <c r="Q18" s="696"/>
      <c r="R18" s="696"/>
      <c r="S18" s="696"/>
      <c r="T18" s="696"/>
      <c r="U18" s="696"/>
      <c r="V18" s="696"/>
      <c r="W18" s="696"/>
      <c r="X18" s="696"/>
      <c r="Y18" s="696"/>
      <c r="Z18" s="696"/>
      <c r="AA18" s="696"/>
    </row>
    <row r="19" spans="1:27">
      <c r="A19" s="368">
        <v>2.4</v>
      </c>
      <c r="B19" s="388" t="s">
        <v>442</v>
      </c>
      <c r="C19" s="692"/>
      <c r="D19" s="696"/>
      <c r="E19" s="696"/>
      <c r="F19" s="696"/>
      <c r="G19" s="696"/>
      <c r="H19" s="696"/>
      <c r="I19" s="696"/>
      <c r="J19" s="696"/>
      <c r="K19" s="696"/>
      <c r="L19" s="696"/>
      <c r="M19" s="696"/>
      <c r="N19" s="696"/>
      <c r="O19" s="696"/>
      <c r="P19" s="696"/>
      <c r="Q19" s="696"/>
      <c r="R19" s="696"/>
      <c r="S19" s="696"/>
      <c r="T19" s="696"/>
      <c r="U19" s="696"/>
      <c r="V19" s="696"/>
      <c r="W19" s="696"/>
      <c r="X19" s="696"/>
      <c r="Y19" s="696"/>
      <c r="Z19" s="696"/>
      <c r="AA19" s="696"/>
    </row>
    <row r="20" spans="1:27">
      <c r="A20" s="368">
        <v>2.5</v>
      </c>
      <c r="B20" s="388" t="s">
        <v>443</v>
      </c>
      <c r="C20" s="692"/>
      <c r="D20" s="696"/>
      <c r="E20" s="696"/>
      <c r="F20" s="696"/>
      <c r="G20" s="696"/>
      <c r="H20" s="696"/>
      <c r="I20" s="696"/>
      <c r="J20" s="696"/>
      <c r="K20" s="696"/>
      <c r="L20" s="696"/>
      <c r="M20" s="696"/>
      <c r="N20" s="696"/>
      <c r="O20" s="696"/>
      <c r="P20" s="696"/>
      <c r="Q20" s="696"/>
      <c r="R20" s="696"/>
      <c r="S20" s="696"/>
      <c r="T20" s="696"/>
      <c r="U20" s="696"/>
      <c r="V20" s="696"/>
      <c r="W20" s="696"/>
      <c r="X20" s="696"/>
      <c r="Y20" s="696"/>
      <c r="Z20" s="696"/>
      <c r="AA20" s="696"/>
    </row>
    <row r="21" spans="1:27">
      <c r="A21" s="368">
        <v>2.6</v>
      </c>
      <c r="B21" s="388" t="s">
        <v>444</v>
      </c>
      <c r="C21" s="692"/>
      <c r="D21" s="696"/>
      <c r="E21" s="696"/>
      <c r="F21" s="696"/>
      <c r="G21" s="696"/>
      <c r="H21" s="696"/>
      <c r="I21" s="696"/>
      <c r="J21" s="696"/>
      <c r="K21" s="696"/>
      <c r="L21" s="696"/>
      <c r="M21" s="696"/>
      <c r="N21" s="696"/>
      <c r="O21" s="696"/>
      <c r="P21" s="696"/>
      <c r="Q21" s="696"/>
      <c r="R21" s="696"/>
      <c r="S21" s="696"/>
      <c r="T21" s="696"/>
      <c r="U21" s="696"/>
      <c r="V21" s="696"/>
      <c r="W21" s="696"/>
      <c r="X21" s="696"/>
      <c r="Y21" s="696"/>
      <c r="Z21" s="696"/>
      <c r="AA21" s="696"/>
    </row>
    <row r="22" spans="1:27">
      <c r="A22" s="396">
        <v>3</v>
      </c>
      <c r="B22" s="372" t="s">
        <v>485</v>
      </c>
      <c r="C22" s="695">
        <f>C27+C28</f>
        <v>417353360</v>
      </c>
      <c r="D22" s="697"/>
      <c r="E22" s="698"/>
      <c r="F22" s="698"/>
      <c r="G22" s="698"/>
      <c r="H22" s="697"/>
      <c r="I22" s="698"/>
      <c r="J22" s="698"/>
      <c r="K22" s="698"/>
      <c r="L22" s="697"/>
      <c r="M22" s="698"/>
      <c r="N22" s="698"/>
      <c r="O22" s="698"/>
      <c r="P22" s="698"/>
      <c r="Q22" s="698"/>
      <c r="R22" s="698"/>
      <c r="S22" s="698"/>
      <c r="T22" s="697"/>
      <c r="U22" s="698"/>
      <c r="V22" s="698"/>
      <c r="W22" s="698"/>
      <c r="X22" s="698"/>
      <c r="Y22" s="698"/>
      <c r="Z22" s="698"/>
      <c r="AA22" s="698"/>
    </row>
    <row r="23" spans="1:27">
      <c r="A23" s="368">
        <v>3.1</v>
      </c>
      <c r="B23" s="388" t="s">
        <v>439</v>
      </c>
      <c r="C23" s="692"/>
      <c r="D23" s="697"/>
      <c r="E23" s="698"/>
      <c r="F23" s="698"/>
      <c r="G23" s="698"/>
      <c r="H23" s="697"/>
      <c r="I23" s="698"/>
      <c r="J23" s="698"/>
      <c r="K23" s="698"/>
      <c r="L23" s="697"/>
      <c r="M23" s="698"/>
      <c r="N23" s="698"/>
      <c r="O23" s="698"/>
      <c r="P23" s="698"/>
      <c r="Q23" s="698"/>
      <c r="R23" s="698"/>
      <c r="S23" s="698"/>
      <c r="T23" s="697"/>
      <c r="U23" s="698"/>
      <c r="V23" s="698"/>
      <c r="W23" s="698"/>
      <c r="X23" s="698"/>
      <c r="Y23" s="698"/>
      <c r="Z23" s="698"/>
      <c r="AA23" s="698"/>
    </row>
    <row r="24" spans="1:27">
      <c r="A24" s="368">
        <v>3.2</v>
      </c>
      <c r="B24" s="388" t="s">
        <v>440</v>
      </c>
      <c r="C24" s="692"/>
      <c r="D24" s="697"/>
      <c r="E24" s="698"/>
      <c r="F24" s="698"/>
      <c r="G24" s="698"/>
      <c r="H24" s="697"/>
      <c r="I24" s="698"/>
      <c r="J24" s="698"/>
      <c r="K24" s="698"/>
      <c r="L24" s="697"/>
      <c r="M24" s="698"/>
      <c r="N24" s="698"/>
      <c r="O24" s="698"/>
      <c r="P24" s="698"/>
      <c r="Q24" s="698"/>
      <c r="R24" s="698"/>
      <c r="S24" s="698"/>
      <c r="T24" s="697"/>
      <c r="U24" s="698"/>
      <c r="V24" s="698"/>
      <c r="W24" s="698"/>
      <c r="X24" s="698"/>
      <c r="Y24" s="698"/>
      <c r="Z24" s="698"/>
      <c r="AA24" s="698"/>
    </row>
    <row r="25" spans="1:27">
      <c r="A25" s="368">
        <v>3.3</v>
      </c>
      <c r="B25" s="388" t="s">
        <v>441</v>
      </c>
      <c r="C25" s="692"/>
      <c r="D25" s="697"/>
      <c r="E25" s="698"/>
      <c r="F25" s="698"/>
      <c r="G25" s="698"/>
      <c r="H25" s="697"/>
      <c r="I25" s="698"/>
      <c r="J25" s="698"/>
      <c r="K25" s="698"/>
      <c r="L25" s="697"/>
      <c r="M25" s="698"/>
      <c r="N25" s="698"/>
      <c r="O25" s="698"/>
      <c r="P25" s="698"/>
      <c r="Q25" s="698"/>
      <c r="R25" s="698"/>
      <c r="S25" s="698"/>
      <c r="T25" s="697"/>
      <c r="U25" s="698"/>
      <c r="V25" s="698"/>
      <c r="W25" s="698"/>
      <c r="X25" s="698"/>
      <c r="Y25" s="698"/>
      <c r="Z25" s="698"/>
      <c r="AA25" s="698"/>
    </row>
    <row r="26" spans="1:27">
      <c r="A26" s="368">
        <v>3.4</v>
      </c>
      <c r="B26" s="388" t="s">
        <v>442</v>
      </c>
      <c r="C26" s="692"/>
      <c r="D26" s="697"/>
      <c r="E26" s="698"/>
      <c r="F26" s="698"/>
      <c r="G26" s="698"/>
      <c r="H26" s="697"/>
      <c r="I26" s="698"/>
      <c r="J26" s="698"/>
      <c r="K26" s="698"/>
      <c r="L26" s="697"/>
      <c r="M26" s="698"/>
      <c r="N26" s="698"/>
      <c r="O26" s="698"/>
      <c r="P26" s="698"/>
      <c r="Q26" s="698"/>
      <c r="R26" s="698"/>
      <c r="S26" s="698"/>
      <c r="T26" s="697"/>
      <c r="U26" s="698"/>
      <c r="V26" s="698"/>
      <c r="W26" s="698"/>
      <c r="X26" s="698"/>
      <c r="Y26" s="698"/>
      <c r="Z26" s="698"/>
      <c r="AA26" s="698"/>
    </row>
    <row r="27" spans="1:27">
      <c r="A27" s="368">
        <v>3.5</v>
      </c>
      <c r="B27" s="388" t="s">
        <v>443</v>
      </c>
      <c r="C27" s="699">
        <v>19363101</v>
      </c>
      <c r="D27" s="685">
        <v>19363101</v>
      </c>
      <c r="E27" s="698"/>
      <c r="F27" s="698"/>
      <c r="G27" s="698"/>
      <c r="H27" s="697"/>
      <c r="I27" s="698"/>
      <c r="J27" s="698"/>
      <c r="K27" s="698"/>
      <c r="L27" s="697"/>
      <c r="M27" s="698"/>
      <c r="N27" s="698"/>
      <c r="O27" s="698"/>
      <c r="P27" s="698"/>
      <c r="Q27" s="698"/>
      <c r="R27" s="698"/>
      <c r="S27" s="698"/>
      <c r="T27" s="697"/>
      <c r="U27" s="698"/>
      <c r="V27" s="698"/>
      <c r="W27" s="698"/>
      <c r="X27" s="698"/>
      <c r="Y27" s="698"/>
      <c r="Z27" s="698"/>
      <c r="AA27" s="698"/>
    </row>
    <row r="28" spans="1:27">
      <c r="A28" s="368">
        <v>3.6</v>
      </c>
      <c r="B28" s="388" t="s">
        <v>444</v>
      </c>
      <c r="C28" s="699">
        <v>397990259</v>
      </c>
      <c r="D28" s="685"/>
      <c r="E28" s="698"/>
      <c r="F28" s="698"/>
      <c r="G28" s="698"/>
      <c r="H28" s="697"/>
      <c r="I28" s="698"/>
      <c r="J28" s="698"/>
      <c r="K28" s="698"/>
      <c r="L28" s="697"/>
      <c r="M28" s="698"/>
      <c r="N28" s="698"/>
      <c r="O28" s="698"/>
      <c r="P28" s="698"/>
      <c r="Q28" s="698"/>
      <c r="R28" s="698"/>
      <c r="S28" s="698"/>
      <c r="T28" s="697"/>
      <c r="U28" s="698"/>
      <c r="V28" s="698"/>
      <c r="W28" s="698"/>
      <c r="X28" s="698"/>
      <c r="Y28" s="698"/>
      <c r="Z28" s="698"/>
      <c r="AA28" s="698"/>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E10" sqref="E10"/>
    </sheetView>
  </sheetViews>
  <sheetFormatPr defaultColWidth="9.21875" defaultRowHeight="12"/>
  <cols>
    <col min="1" max="1" width="11.77734375" style="379" bestFit="1" customWidth="1"/>
    <col min="2" max="2" width="90.21875" style="379" bestFit="1" customWidth="1"/>
    <col min="3" max="3" width="20.21875" style="379" customWidth="1"/>
    <col min="4" max="4" width="22.21875" style="379" customWidth="1"/>
    <col min="5" max="7" width="17.109375" style="379" customWidth="1"/>
    <col min="8" max="8" width="22.21875" style="379" customWidth="1"/>
    <col min="9" max="10" width="17.109375" style="379" customWidth="1"/>
    <col min="11" max="27" width="22.21875" style="379" customWidth="1"/>
    <col min="28" max="16384" width="9.21875" style="379"/>
  </cols>
  <sheetData>
    <row r="1" spans="1:27" ht="13.8">
      <c r="A1" s="298" t="s">
        <v>31</v>
      </c>
      <c r="B1" s="365" t="str">
        <f>'Info '!C2</f>
        <v>JSC "CREDOBANK"</v>
      </c>
    </row>
    <row r="2" spans="1:27">
      <c r="A2" s="298" t="s">
        <v>32</v>
      </c>
      <c r="B2" s="364">
        <f>'1. key ratios '!B2</f>
        <v>45930</v>
      </c>
    </row>
    <row r="3" spans="1:27">
      <c r="A3" s="299" t="s">
        <v>447</v>
      </c>
      <c r="C3" s="381"/>
    </row>
    <row r="4" spans="1:27" ht="12.6" thickBot="1">
      <c r="A4" s="299"/>
      <c r="B4" s="381"/>
      <c r="C4" s="381"/>
    </row>
    <row r="5" spans="1:27" ht="13.5" customHeight="1">
      <c r="A5" s="820" t="s">
        <v>653</v>
      </c>
      <c r="B5" s="821"/>
      <c r="C5" s="829" t="s">
        <v>652</v>
      </c>
      <c r="D5" s="830"/>
      <c r="E5" s="830"/>
      <c r="F5" s="830"/>
      <c r="G5" s="830"/>
      <c r="H5" s="830"/>
      <c r="I5" s="830"/>
      <c r="J5" s="830"/>
      <c r="K5" s="830"/>
      <c r="L5" s="830"/>
      <c r="M5" s="830"/>
      <c r="N5" s="830"/>
      <c r="O5" s="830"/>
      <c r="P5" s="830"/>
      <c r="Q5" s="830"/>
      <c r="R5" s="830"/>
      <c r="S5" s="831"/>
      <c r="T5" s="403"/>
      <c r="U5" s="403"/>
      <c r="V5" s="403"/>
      <c r="W5" s="403"/>
      <c r="X5" s="403"/>
      <c r="Y5" s="403"/>
      <c r="Z5" s="403"/>
      <c r="AA5" s="402"/>
    </row>
    <row r="6" spans="1:27" ht="12" customHeight="1">
      <c r="A6" s="822"/>
      <c r="B6" s="823"/>
      <c r="C6" s="826" t="s">
        <v>65</v>
      </c>
      <c r="D6" s="818" t="s">
        <v>649</v>
      </c>
      <c r="E6" s="818"/>
      <c r="F6" s="818"/>
      <c r="G6" s="818"/>
      <c r="H6" s="818" t="s">
        <v>648</v>
      </c>
      <c r="I6" s="818"/>
      <c r="J6" s="818"/>
      <c r="K6" s="818"/>
      <c r="L6" s="400"/>
      <c r="M6" s="819" t="s">
        <v>647</v>
      </c>
      <c r="N6" s="819"/>
      <c r="O6" s="819"/>
      <c r="P6" s="819"/>
      <c r="Q6" s="819"/>
      <c r="R6" s="819"/>
      <c r="S6" s="828"/>
      <c r="T6" s="403"/>
      <c r="U6" s="807" t="s">
        <v>646</v>
      </c>
      <c r="V6" s="807"/>
      <c r="W6" s="807"/>
      <c r="X6" s="807"/>
      <c r="Y6" s="807"/>
      <c r="Z6" s="807"/>
      <c r="AA6" s="800"/>
    </row>
    <row r="7" spans="1:27" ht="24">
      <c r="A7" s="824"/>
      <c r="B7" s="825"/>
      <c r="C7" s="827"/>
      <c r="D7" s="399"/>
      <c r="E7" s="376" t="s">
        <v>437</v>
      </c>
      <c r="F7" s="376" t="s">
        <v>644</v>
      </c>
      <c r="G7" s="378" t="s">
        <v>645</v>
      </c>
      <c r="H7" s="380"/>
      <c r="I7" s="376" t="s">
        <v>437</v>
      </c>
      <c r="J7" s="376" t="s">
        <v>644</v>
      </c>
      <c r="K7" s="378" t="s">
        <v>645</v>
      </c>
      <c r="L7" s="398"/>
      <c r="M7" s="376" t="s">
        <v>437</v>
      </c>
      <c r="N7" s="376" t="s">
        <v>644</v>
      </c>
      <c r="O7" s="376" t="s">
        <v>643</v>
      </c>
      <c r="P7" s="376" t="s">
        <v>642</v>
      </c>
      <c r="Q7" s="376" t="s">
        <v>641</v>
      </c>
      <c r="R7" s="376" t="s">
        <v>640</v>
      </c>
      <c r="S7" s="424" t="s">
        <v>639</v>
      </c>
      <c r="T7" s="423"/>
      <c r="U7" s="376" t="s">
        <v>437</v>
      </c>
      <c r="V7" s="376" t="s">
        <v>644</v>
      </c>
      <c r="W7" s="376" t="s">
        <v>643</v>
      </c>
      <c r="X7" s="376" t="s">
        <v>642</v>
      </c>
      <c r="Y7" s="376" t="s">
        <v>641</v>
      </c>
      <c r="Z7" s="376" t="s">
        <v>640</v>
      </c>
      <c r="AA7" s="376" t="s">
        <v>639</v>
      </c>
    </row>
    <row r="8" spans="1:27">
      <c r="A8" s="422">
        <v>1</v>
      </c>
      <c r="B8" s="421" t="s">
        <v>438</v>
      </c>
      <c r="C8" s="700">
        <f>D8+H8+L8+T8</f>
        <v>2926629569.1438446</v>
      </c>
      <c r="D8" s="684">
        <v>2779464547.856153</v>
      </c>
      <c r="E8" s="684">
        <v>18422386.274472035</v>
      </c>
      <c r="F8" s="684">
        <v>0</v>
      </c>
      <c r="G8" s="684">
        <v>0</v>
      </c>
      <c r="H8" s="684">
        <v>121147175.83962932</v>
      </c>
      <c r="I8" s="684">
        <v>5942837.9456442706</v>
      </c>
      <c r="J8" s="684">
        <v>21549348.277265787</v>
      </c>
      <c r="K8" s="684">
        <v>0</v>
      </c>
      <c r="L8" s="684">
        <v>25981617.789707676</v>
      </c>
      <c r="M8" s="684">
        <v>307249.41764065612</v>
      </c>
      <c r="N8" s="684">
        <v>1191664.0626459268</v>
      </c>
      <c r="O8" s="684">
        <v>20605087.546146642</v>
      </c>
      <c r="P8" s="684">
        <v>0</v>
      </c>
      <c r="Q8" s="684">
        <v>0</v>
      </c>
      <c r="R8" s="684">
        <v>0</v>
      </c>
      <c r="S8" s="684">
        <v>0</v>
      </c>
      <c r="T8" s="684">
        <v>36227.658354848034</v>
      </c>
      <c r="U8" s="684"/>
      <c r="V8" s="684"/>
      <c r="W8" s="684"/>
      <c r="X8" s="684"/>
      <c r="Y8" s="684"/>
      <c r="Z8" s="684"/>
      <c r="AA8" s="701"/>
    </row>
    <row r="9" spans="1:27">
      <c r="A9" s="414">
        <v>1.1000000000000001</v>
      </c>
      <c r="B9" s="420" t="s">
        <v>448</v>
      </c>
      <c r="C9" s="702">
        <f>D9+H9+L9+T9</f>
        <v>1175246558.9019046</v>
      </c>
      <c r="D9" s="684">
        <v>1148146309.7484689</v>
      </c>
      <c r="E9" s="684">
        <v>7190380.2149643805</v>
      </c>
      <c r="F9" s="684">
        <v>0</v>
      </c>
      <c r="G9" s="684">
        <v>0</v>
      </c>
      <c r="H9" s="684">
        <v>23187791.941606633</v>
      </c>
      <c r="I9" s="684">
        <v>701051.45814568398</v>
      </c>
      <c r="J9" s="684">
        <v>7841319.8524065651</v>
      </c>
      <c r="K9" s="684">
        <v>0</v>
      </c>
      <c r="L9" s="684">
        <v>3912457.211829267</v>
      </c>
      <c r="M9" s="684">
        <v>38685.290077913894</v>
      </c>
      <c r="N9" s="684">
        <v>197222.77078292839</v>
      </c>
      <c r="O9" s="684">
        <v>3013938.7285113316</v>
      </c>
      <c r="P9" s="684">
        <v>0</v>
      </c>
      <c r="Q9" s="684">
        <v>0</v>
      </c>
      <c r="R9" s="684">
        <v>0</v>
      </c>
      <c r="S9" s="684">
        <v>0</v>
      </c>
      <c r="T9" s="684"/>
      <c r="U9" s="684"/>
      <c r="V9" s="684"/>
      <c r="W9" s="684"/>
      <c r="X9" s="684"/>
      <c r="Y9" s="684"/>
      <c r="Z9" s="684"/>
      <c r="AA9" s="701"/>
    </row>
    <row r="10" spans="1:27">
      <c r="A10" s="418" t="s">
        <v>15</v>
      </c>
      <c r="B10" s="419" t="s">
        <v>449</v>
      </c>
      <c r="C10" s="703">
        <f>SUM(C11:C14)</f>
        <v>1053851960.9942095</v>
      </c>
      <c r="D10" s="703">
        <f t="shared" ref="D10:AA10" si="0">SUM(D11:D14)</f>
        <v>1031197594.9947155</v>
      </c>
      <c r="E10" s="703">
        <f t="shared" si="0"/>
        <v>5901360.2514395192</v>
      </c>
      <c r="F10" s="703">
        <f t="shared" si="0"/>
        <v>0</v>
      </c>
      <c r="G10" s="703">
        <f t="shared" si="0"/>
        <v>0</v>
      </c>
      <c r="H10" s="703">
        <f t="shared" si="0"/>
        <v>20909480.608128127</v>
      </c>
      <c r="I10" s="703">
        <f t="shared" si="0"/>
        <v>525469.09324225481</v>
      </c>
      <c r="J10" s="703">
        <f t="shared" si="0"/>
        <v>7001192.5004298864</v>
      </c>
      <c r="K10" s="703">
        <f t="shared" si="0"/>
        <v>1503872.4753326096</v>
      </c>
      <c r="L10" s="703">
        <f t="shared" si="0"/>
        <v>1744885.3913659356</v>
      </c>
      <c r="M10" s="703">
        <f t="shared" si="0"/>
        <v>6779.0241236619904</v>
      </c>
      <c r="N10" s="703">
        <f t="shared" si="0"/>
        <v>65413.672251174903</v>
      </c>
      <c r="O10" s="703">
        <f t="shared" si="0"/>
        <v>1187705.3150693453</v>
      </c>
      <c r="P10" s="703">
        <f t="shared" si="0"/>
        <v>0</v>
      </c>
      <c r="Q10" s="703">
        <f t="shared" si="0"/>
        <v>0</v>
      </c>
      <c r="R10" s="703">
        <f t="shared" si="0"/>
        <v>0</v>
      </c>
      <c r="S10" s="703">
        <f t="shared" si="0"/>
        <v>0</v>
      </c>
      <c r="T10" s="703">
        <f t="shared" si="0"/>
        <v>0</v>
      </c>
      <c r="U10" s="703">
        <f t="shared" si="0"/>
        <v>0</v>
      </c>
      <c r="V10" s="703">
        <f t="shared" si="0"/>
        <v>0</v>
      </c>
      <c r="W10" s="703">
        <f t="shared" si="0"/>
        <v>0</v>
      </c>
      <c r="X10" s="703">
        <f t="shared" si="0"/>
        <v>0</v>
      </c>
      <c r="Y10" s="703">
        <f t="shared" si="0"/>
        <v>0</v>
      </c>
      <c r="Z10" s="703">
        <f t="shared" si="0"/>
        <v>0</v>
      </c>
      <c r="AA10" s="703">
        <f t="shared" si="0"/>
        <v>0</v>
      </c>
    </row>
    <row r="11" spans="1:27">
      <c r="A11" s="416" t="s">
        <v>450</v>
      </c>
      <c r="B11" s="417" t="s">
        <v>451</v>
      </c>
      <c r="C11" s="702">
        <f>D11+H11+L11+T11</f>
        <v>601060690.77882922</v>
      </c>
      <c r="D11" s="684">
        <v>593416609.80253696</v>
      </c>
      <c r="E11" s="684">
        <v>2258561.6094227061</v>
      </c>
      <c r="F11" s="684">
        <v>0</v>
      </c>
      <c r="G11" s="684">
        <v>0</v>
      </c>
      <c r="H11" s="684">
        <v>6294417.7889989363</v>
      </c>
      <c r="I11" s="684">
        <v>197187.67981798612</v>
      </c>
      <c r="J11" s="684">
        <v>679833.94627760758</v>
      </c>
      <c r="K11" s="684">
        <v>0</v>
      </c>
      <c r="L11" s="684">
        <v>1349663.18729334</v>
      </c>
      <c r="M11" s="684">
        <v>0</v>
      </c>
      <c r="N11" s="684">
        <v>65413.672251174903</v>
      </c>
      <c r="O11" s="684">
        <v>866234.18306026049</v>
      </c>
      <c r="P11" s="684"/>
      <c r="Q11" s="684"/>
      <c r="R11" s="684"/>
      <c r="S11" s="684"/>
      <c r="T11" s="684"/>
      <c r="U11" s="684"/>
      <c r="V11" s="684"/>
      <c r="W11" s="684"/>
      <c r="X11" s="684"/>
      <c r="Y11" s="684"/>
      <c r="Z11" s="684"/>
      <c r="AA11" s="701"/>
    </row>
    <row r="12" spans="1:27">
      <c r="A12" s="416" t="s">
        <v>452</v>
      </c>
      <c r="B12" s="417" t="s">
        <v>453</v>
      </c>
      <c r="C12" s="702">
        <f t="shared" ref="C12:C15" si="1">D12+H12+L12+T12</f>
        <v>248141095.68723559</v>
      </c>
      <c r="D12" s="684">
        <v>243458669.92282507</v>
      </c>
      <c r="E12" s="684">
        <v>982866.85398716829</v>
      </c>
      <c r="F12" s="684">
        <v>0</v>
      </c>
      <c r="G12" s="684">
        <v>0</v>
      </c>
      <c r="H12" s="684">
        <v>4416929.7419253625</v>
      </c>
      <c r="I12" s="684">
        <v>30285.8079433858</v>
      </c>
      <c r="J12" s="684">
        <v>1424465.4097515848</v>
      </c>
      <c r="K12" s="684">
        <v>0</v>
      </c>
      <c r="L12" s="684">
        <v>265496.02248516056</v>
      </c>
      <c r="M12" s="684">
        <v>6779.0241236619904</v>
      </c>
      <c r="N12" s="684">
        <v>0</v>
      </c>
      <c r="O12" s="684">
        <v>191744.9504216497</v>
      </c>
      <c r="P12" s="684"/>
      <c r="Q12" s="684"/>
      <c r="R12" s="684"/>
      <c r="S12" s="684"/>
      <c r="T12" s="684"/>
      <c r="U12" s="684"/>
      <c r="V12" s="684"/>
      <c r="W12" s="684"/>
      <c r="X12" s="684"/>
      <c r="Y12" s="684"/>
      <c r="Z12" s="684"/>
      <c r="AA12" s="701"/>
    </row>
    <row r="13" spans="1:27">
      <c r="A13" s="416" t="s">
        <v>454</v>
      </c>
      <c r="B13" s="417" t="s">
        <v>455</v>
      </c>
      <c r="C13" s="702">
        <f t="shared" si="1"/>
        <v>104646941.21267961</v>
      </c>
      <c r="D13" s="684">
        <v>99608614.173389643</v>
      </c>
      <c r="E13" s="684">
        <v>1623935.2187942807</v>
      </c>
      <c r="F13" s="684">
        <v>0</v>
      </c>
      <c r="G13" s="684">
        <v>0</v>
      </c>
      <c r="H13" s="684">
        <v>5038327.0392899662</v>
      </c>
      <c r="I13" s="684">
        <v>116415.70556220869</v>
      </c>
      <c r="J13" s="684">
        <v>3393020.6690680841</v>
      </c>
      <c r="K13" s="684">
        <v>0</v>
      </c>
      <c r="L13" s="684">
        <v>0</v>
      </c>
      <c r="M13" s="684">
        <v>0</v>
      </c>
      <c r="N13" s="684">
        <v>0</v>
      </c>
      <c r="O13" s="684">
        <v>0</v>
      </c>
      <c r="P13" s="684"/>
      <c r="Q13" s="684"/>
      <c r="R13" s="684"/>
      <c r="S13" s="684"/>
      <c r="T13" s="684"/>
      <c r="U13" s="684"/>
      <c r="V13" s="684"/>
      <c r="W13" s="684"/>
      <c r="X13" s="684"/>
      <c r="Y13" s="684"/>
      <c r="Z13" s="684"/>
      <c r="AA13" s="701"/>
    </row>
    <row r="14" spans="1:27">
      <c r="A14" s="416" t="s">
        <v>456</v>
      </c>
      <c r="B14" s="417" t="s">
        <v>457</v>
      </c>
      <c r="C14" s="702">
        <f t="shared" si="1"/>
        <v>100003233.31546506</v>
      </c>
      <c r="D14" s="684">
        <v>94713701.095963776</v>
      </c>
      <c r="E14" s="684">
        <v>1035996.5692353644</v>
      </c>
      <c r="F14" s="684">
        <v>0</v>
      </c>
      <c r="G14" s="684">
        <v>0</v>
      </c>
      <c r="H14" s="684">
        <v>5159806.0379138626</v>
      </c>
      <c r="I14" s="684">
        <v>181579.8999186742</v>
      </c>
      <c r="J14" s="684">
        <v>1503872.4753326096</v>
      </c>
      <c r="K14" s="684">
        <v>1503872.4753326096</v>
      </c>
      <c r="L14" s="684">
        <v>129726.181587435</v>
      </c>
      <c r="M14" s="684">
        <v>0</v>
      </c>
      <c r="N14" s="684">
        <v>0</v>
      </c>
      <c r="O14" s="684">
        <v>129726.181587435</v>
      </c>
      <c r="P14" s="684"/>
      <c r="Q14" s="684"/>
      <c r="R14" s="684"/>
      <c r="S14" s="684"/>
      <c r="T14" s="684"/>
      <c r="U14" s="684"/>
      <c r="V14" s="684"/>
      <c r="W14" s="684"/>
      <c r="X14" s="684"/>
      <c r="Y14" s="684"/>
      <c r="Z14" s="684"/>
      <c r="AA14" s="701"/>
    </row>
    <row r="15" spans="1:27">
      <c r="A15" s="415">
        <v>1.2</v>
      </c>
      <c r="B15" s="413" t="s">
        <v>651</v>
      </c>
      <c r="C15" s="702">
        <f t="shared" si="1"/>
        <v>12153811.604876846</v>
      </c>
      <c r="D15" s="684">
        <v>5060381.2438317155</v>
      </c>
      <c r="E15" s="684">
        <v>981420.86649571068</v>
      </c>
      <c r="F15" s="684">
        <v>0</v>
      </c>
      <c r="G15" s="684">
        <v>0</v>
      </c>
      <c r="H15" s="684">
        <v>4492335.9874422271</v>
      </c>
      <c r="I15" s="684">
        <v>117724.21830873773</v>
      </c>
      <c r="J15" s="684">
        <v>2534266.5914972001</v>
      </c>
      <c r="K15" s="684">
        <v>0</v>
      </c>
      <c r="L15" s="684">
        <v>2601094.3736029053</v>
      </c>
      <c r="M15" s="684">
        <v>25708.135492085101</v>
      </c>
      <c r="N15" s="684">
        <v>136681.48252105253</v>
      </c>
      <c r="O15" s="684">
        <v>2020177.4834815394</v>
      </c>
      <c r="P15" s="684"/>
      <c r="Q15" s="684"/>
      <c r="R15" s="684"/>
      <c r="S15" s="684"/>
      <c r="T15" s="684"/>
      <c r="U15" s="684"/>
      <c r="V15" s="684"/>
      <c r="W15" s="684"/>
      <c r="X15" s="684"/>
      <c r="Y15" s="684"/>
      <c r="Z15" s="684"/>
      <c r="AA15" s="701"/>
    </row>
    <row r="16" spans="1:27">
      <c r="A16" s="414">
        <v>1.3</v>
      </c>
      <c r="B16" s="413" t="s">
        <v>496</v>
      </c>
      <c r="C16" s="704"/>
      <c r="D16" s="705"/>
      <c r="E16" s="705"/>
      <c r="F16" s="705"/>
      <c r="G16" s="705"/>
      <c r="H16" s="705"/>
      <c r="I16" s="705"/>
      <c r="J16" s="705"/>
      <c r="K16" s="705"/>
      <c r="L16" s="705"/>
      <c r="M16" s="705"/>
      <c r="N16" s="705"/>
      <c r="O16" s="705"/>
      <c r="P16" s="705"/>
      <c r="Q16" s="705"/>
      <c r="R16" s="705"/>
      <c r="S16" s="705"/>
      <c r="T16" s="705"/>
      <c r="U16" s="705"/>
      <c r="V16" s="705"/>
      <c r="W16" s="705"/>
      <c r="X16" s="705"/>
      <c r="Y16" s="705"/>
      <c r="Z16" s="705"/>
      <c r="AA16" s="706"/>
    </row>
    <row r="17" spans="1:27">
      <c r="A17" s="410" t="s">
        <v>458</v>
      </c>
      <c r="B17" s="412" t="s">
        <v>459</v>
      </c>
      <c r="C17" s="700">
        <f>D17+H17+L17+T17</f>
        <v>1152990601.901612</v>
      </c>
      <c r="D17" s="684">
        <v>1126859665.9230447</v>
      </c>
      <c r="E17" s="684">
        <v>7177405.7539784024</v>
      </c>
      <c r="F17" s="684">
        <v>0</v>
      </c>
      <c r="G17" s="684">
        <v>0</v>
      </c>
      <c r="H17" s="684">
        <v>22349352.067233186</v>
      </c>
      <c r="I17" s="684">
        <v>698157.9927843496</v>
      </c>
      <c r="J17" s="684">
        <v>7583602.9731835546</v>
      </c>
      <c r="K17" s="684">
        <v>0</v>
      </c>
      <c r="L17" s="684">
        <v>3781583.9113342534</v>
      </c>
      <c r="M17" s="684">
        <v>38685.290077913894</v>
      </c>
      <c r="N17" s="684">
        <v>197222.77078292839</v>
      </c>
      <c r="O17" s="684">
        <v>2893881.7546258722</v>
      </c>
      <c r="P17" s="684"/>
      <c r="Q17" s="684"/>
      <c r="R17" s="684"/>
      <c r="S17" s="684"/>
      <c r="T17" s="684"/>
      <c r="U17" s="684"/>
      <c r="V17" s="684"/>
      <c r="W17" s="684"/>
      <c r="X17" s="684"/>
      <c r="Y17" s="684"/>
      <c r="Z17" s="684"/>
      <c r="AA17" s="701"/>
    </row>
    <row r="18" spans="1:27">
      <c r="A18" s="408" t="s">
        <v>460</v>
      </c>
      <c r="B18" s="409" t="s">
        <v>461</v>
      </c>
      <c r="C18" s="700">
        <f t="shared" ref="C18:C22" si="2">D18+H18+L18+T18</f>
        <v>1025847184.0836169</v>
      </c>
      <c r="D18" s="684">
        <v>1004312439.4444544</v>
      </c>
      <c r="E18" s="684">
        <v>5545742.2762971269</v>
      </c>
      <c r="F18" s="684">
        <v>0</v>
      </c>
      <c r="G18" s="684">
        <v>0</v>
      </c>
      <c r="H18" s="684">
        <v>19896585.429383878</v>
      </c>
      <c r="I18" s="684">
        <v>516173.12509330356</v>
      </c>
      <c r="J18" s="684">
        <v>6598192.5366463037</v>
      </c>
      <c r="K18" s="684">
        <v>0</v>
      </c>
      <c r="L18" s="684">
        <v>1638159.2097785005</v>
      </c>
      <c r="M18" s="684">
        <v>6779.0241236619904</v>
      </c>
      <c r="N18" s="684">
        <v>65413.672251174903</v>
      </c>
      <c r="O18" s="684">
        <v>1080979.1334819102</v>
      </c>
      <c r="P18" s="684"/>
      <c r="Q18" s="684"/>
      <c r="R18" s="684"/>
      <c r="S18" s="684"/>
      <c r="T18" s="684"/>
      <c r="U18" s="684"/>
      <c r="V18" s="684"/>
      <c r="W18" s="684"/>
      <c r="X18" s="684"/>
      <c r="Y18" s="684"/>
      <c r="Z18" s="684"/>
      <c r="AA18" s="701"/>
    </row>
    <row r="19" spans="1:27">
      <c r="A19" s="410" t="s">
        <v>462</v>
      </c>
      <c r="B19" s="411" t="s">
        <v>463</v>
      </c>
      <c r="C19" s="700">
        <f t="shared" si="2"/>
        <v>1512656754.3940063</v>
      </c>
      <c r="D19" s="684">
        <v>1497775495.4746299</v>
      </c>
      <c r="E19" s="684">
        <v>5132724.3551659295</v>
      </c>
      <c r="F19" s="684">
        <v>0</v>
      </c>
      <c r="G19" s="684">
        <v>0</v>
      </c>
      <c r="H19" s="684">
        <v>12821604.024647105</v>
      </c>
      <c r="I19" s="684">
        <v>571569.78461501701</v>
      </c>
      <c r="J19" s="684">
        <v>3175840.6342291525</v>
      </c>
      <c r="K19" s="684">
        <v>0</v>
      </c>
      <c r="L19" s="684">
        <v>2059654.8947292662</v>
      </c>
      <c r="M19" s="684">
        <v>63879.690385605812</v>
      </c>
      <c r="N19" s="684">
        <v>78193.229217071595</v>
      </c>
      <c r="O19" s="684">
        <v>1277903.5348864573</v>
      </c>
      <c r="P19" s="684"/>
      <c r="Q19" s="684"/>
      <c r="R19" s="684"/>
      <c r="S19" s="684"/>
      <c r="T19" s="684"/>
      <c r="U19" s="684"/>
      <c r="V19" s="684"/>
      <c r="W19" s="684"/>
      <c r="X19" s="684"/>
      <c r="Y19" s="684"/>
      <c r="Z19" s="684"/>
      <c r="AA19" s="701"/>
    </row>
    <row r="20" spans="1:27">
      <c r="A20" s="408" t="s">
        <v>464</v>
      </c>
      <c r="B20" s="409" t="s">
        <v>461</v>
      </c>
      <c r="C20" s="700">
        <f t="shared" si="2"/>
        <v>1372779204.0131624</v>
      </c>
      <c r="D20" s="684">
        <v>1360346849.7943809</v>
      </c>
      <c r="E20" s="684">
        <v>3916567.8328472087</v>
      </c>
      <c r="F20" s="684">
        <v>0</v>
      </c>
      <c r="G20" s="684">
        <v>0</v>
      </c>
      <c r="H20" s="684">
        <v>11150906.024096392</v>
      </c>
      <c r="I20" s="684">
        <v>419974.65230606298</v>
      </c>
      <c r="J20" s="684">
        <v>2466484.2995664049</v>
      </c>
      <c r="K20" s="684">
        <v>0</v>
      </c>
      <c r="L20" s="684">
        <v>1281448.1946850186</v>
      </c>
      <c r="M20" s="684">
        <v>1285.95633985769</v>
      </c>
      <c r="N20" s="684">
        <v>56482.327748825097</v>
      </c>
      <c r="O20" s="684">
        <v>803036.15603041893</v>
      </c>
      <c r="P20" s="684"/>
      <c r="Q20" s="684"/>
      <c r="R20" s="684"/>
      <c r="S20" s="684"/>
      <c r="T20" s="684"/>
      <c r="U20" s="684"/>
      <c r="V20" s="684"/>
      <c r="W20" s="684"/>
      <c r="X20" s="684"/>
      <c r="Y20" s="684"/>
      <c r="Z20" s="684"/>
      <c r="AA20" s="701"/>
    </row>
    <row r="21" spans="1:27">
      <c r="A21" s="407">
        <v>1.4</v>
      </c>
      <c r="B21" s="406" t="s">
        <v>465</v>
      </c>
      <c r="C21" s="700">
        <f t="shared" si="2"/>
        <v>56247.609988853183</v>
      </c>
      <c r="D21" s="684">
        <v>56247.609988853183</v>
      </c>
      <c r="E21" s="684">
        <v>0</v>
      </c>
      <c r="F21" s="684">
        <v>0</v>
      </c>
      <c r="G21" s="684">
        <v>0</v>
      </c>
      <c r="H21" s="684">
        <v>0</v>
      </c>
      <c r="I21" s="684">
        <v>0</v>
      </c>
      <c r="J21" s="684">
        <v>0</v>
      </c>
      <c r="K21" s="684">
        <v>0</v>
      </c>
      <c r="L21" s="684">
        <v>0</v>
      </c>
      <c r="M21" s="684">
        <v>0</v>
      </c>
      <c r="N21" s="684">
        <v>0</v>
      </c>
      <c r="O21" s="684">
        <v>0</v>
      </c>
      <c r="P21" s="684"/>
      <c r="Q21" s="684"/>
      <c r="R21" s="684"/>
      <c r="S21" s="684"/>
      <c r="T21" s="684"/>
      <c r="U21" s="684"/>
      <c r="V21" s="684"/>
      <c r="W21" s="684"/>
      <c r="X21" s="684"/>
      <c r="Y21" s="684"/>
      <c r="Z21" s="684"/>
      <c r="AA21" s="701"/>
    </row>
    <row r="22" spans="1:27" ht="12.6" thickBot="1">
      <c r="A22" s="405">
        <v>1.5</v>
      </c>
      <c r="B22" s="404" t="s">
        <v>466</v>
      </c>
      <c r="C22" s="700">
        <f t="shared" si="2"/>
        <v>0</v>
      </c>
      <c r="D22" s="707"/>
      <c r="E22" s="707"/>
      <c r="F22" s="707"/>
      <c r="G22" s="707"/>
      <c r="H22" s="707"/>
      <c r="I22" s="707"/>
      <c r="J22" s="707"/>
      <c r="K22" s="707"/>
      <c r="L22" s="707"/>
      <c r="M22" s="707"/>
      <c r="N22" s="707"/>
      <c r="O22" s="707"/>
      <c r="P22" s="707"/>
      <c r="Q22" s="707"/>
      <c r="R22" s="707"/>
      <c r="S22" s="707"/>
      <c r="T22" s="707"/>
      <c r="U22" s="707"/>
      <c r="V22" s="707"/>
      <c r="W22" s="707"/>
      <c r="X22" s="707"/>
      <c r="Y22" s="707"/>
      <c r="Z22" s="707"/>
      <c r="AA22" s="708"/>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9" zoomScale="80" zoomScaleNormal="80" workbookViewId="0">
      <selection activeCell="F7" sqref="F7"/>
    </sheetView>
  </sheetViews>
  <sheetFormatPr defaultColWidth="8.77734375" defaultRowHeight="13.8"/>
  <cols>
    <col min="1" max="1" width="8.77734375" style="512"/>
    <col min="2" max="2" width="69.21875" style="513" customWidth="1"/>
    <col min="3" max="3" width="13.6640625" style="481" customWidth="1"/>
    <col min="4" max="4" width="14.44140625" style="481" customWidth="1"/>
    <col min="5" max="5" width="13.88671875" style="481" bestFit="1" customWidth="1"/>
    <col min="6" max="6" width="14.109375" style="481" bestFit="1" customWidth="1"/>
    <col min="7" max="7" width="13.21875" style="481" customWidth="1"/>
    <col min="8" max="8" width="13.88671875" style="481" bestFit="1" customWidth="1"/>
    <col min="9" max="16384" width="8.77734375" style="481"/>
  </cols>
  <sheetData>
    <row r="1" spans="1:8">
      <c r="A1" s="130" t="s">
        <v>31</v>
      </c>
      <c r="B1" s="480" t="str">
        <f>'Info '!C2</f>
        <v>JSC "CREDOBANK"</v>
      </c>
      <c r="C1" s="480"/>
    </row>
    <row r="2" spans="1:8">
      <c r="A2" s="130" t="s">
        <v>32</v>
      </c>
      <c r="B2" s="482">
        <f>'1. key ratios '!B2</f>
        <v>45930</v>
      </c>
      <c r="C2" s="480"/>
    </row>
    <row r="3" spans="1:8">
      <c r="A3" s="130"/>
      <c r="B3" s="480"/>
      <c r="C3" s="480"/>
    </row>
    <row r="4" spans="1:8" ht="21" customHeight="1">
      <c r="A4" s="727" t="s">
        <v>7</v>
      </c>
      <c r="B4" s="728" t="s">
        <v>522</v>
      </c>
      <c r="C4" s="730" t="s">
        <v>523</v>
      </c>
      <c r="D4" s="730"/>
      <c r="E4" s="730"/>
      <c r="F4" s="730" t="s">
        <v>524</v>
      </c>
      <c r="G4" s="730"/>
      <c r="H4" s="731"/>
    </row>
    <row r="5" spans="1:8" ht="21" customHeight="1">
      <c r="A5" s="727"/>
      <c r="B5" s="729"/>
      <c r="C5" s="483" t="s">
        <v>33</v>
      </c>
      <c r="D5" s="483" t="s">
        <v>34</v>
      </c>
      <c r="E5" s="483" t="s">
        <v>35</v>
      </c>
      <c r="F5" s="483" t="s">
        <v>33</v>
      </c>
      <c r="G5" s="483" t="s">
        <v>34</v>
      </c>
      <c r="H5" s="483" t="s">
        <v>35</v>
      </c>
    </row>
    <row r="6" spans="1:8" ht="26.55" customHeight="1">
      <c r="A6" s="727"/>
      <c r="B6" s="484" t="s">
        <v>525</v>
      </c>
      <c r="C6" s="732"/>
      <c r="D6" s="733"/>
      <c r="E6" s="733"/>
      <c r="F6" s="733"/>
      <c r="G6" s="733"/>
      <c r="H6" s="734"/>
    </row>
    <row r="7" spans="1:8" ht="22.95" customHeight="1">
      <c r="A7" s="485">
        <v>1</v>
      </c>
      <c r="B7" s="486" t="s">
        <v>526</v>
      </c>
      <c r="C7" s="583">
        <f>SUM(C8:C10)</f>
        <v>184130912.68803766</v>
      </c>
      <c r="D7" s="583">
        <f>SUM(D8:D10)</f>
        <v>280654920.77163541</v>
      </c>
      <c r="E7" s="584">
        <f>C7+D7</f>
        <v>464785833.45967305</v>
      </c>
      <c r="F7" s="583">
        <f>SUM(F8:F10)</f>
        <v>266461657.03893647</v>
      </c>
      <c r="G7" s="583">
        <f>SUM(G8:G10)</f>
        <v>144477008.48000002</v>
      </c>
      <c r="H7" s="584">
        <f>F7+G7</f>
        <v>410938665.51893651</v>
      </c>
    </row>
    <row r="8" spans="1:8" ht="14.4">
      <c r="A8" s="485">
        <v>1.1000000000000001</v>
      </c>
      <c r="B8" s="487" t="s">
        <v>527</v>
      </c>
      <c r="C8" s="585">
        <v>58055576.199999996</v>
      </c>
      <c r="D8" s="585">
        <v>43442958.000000007</v>
      </c>
      <c r="E8" s="584">
        <f t="shared" ref="E8:E36" si="0">C8+D8</f>
        <v>101498534.2</v>
      </c>
      <c r="F8" s="585">
        <v>56720354.099999994</v>
      </c>
      <c r="G8" s="585">
        <v>38272327.920000002</v>
      </c>
      <c r="H8" s="584">
        <f t="shared" ref="H8:H36" si="1">F8+G8</f>
        <v>94992682.019999996</v>
      </c>
    </row>
    <row r="9" spans="1:8" ht="14.4">
      <c r="A9" s="485">
        <v>1.2</v>
      </c>
      <c r="B9" s="487" t="s">
        <v>528</v>
      </c>
      <c r="C9" s="585">
        <v>123848247.75803767</v>
      </c>
      <c r="D9" s="585">
        <v>63383989.390000001</v>
      </c>
      <c r="E9" s="584">
        <f t="shared" si="0"/>
        <v>187232237.14803767</v>
      </c>
      <c r="F9" s="585">
        <v>208065754.77893648</v>
      </c>
      <c r="G9" s="585">
        <v>53093987.700000003</v>
      </c>
      <c r="H9" s="584">
        <f t="shared" si="1"/>
        <v>261159742.47893649</v>
      </c>
    </row>
    <row r="10" spans="1:8" ht="14.4">
      <c r="A10" s="485">
        <v>1.3</v>
      </c>
      <c r="B10" s="487" t="s">
        <v>529</v>
      </c>
      <c r="C10" s="585">
        <v>2227088.73</v>
      </c>
      <c r="D10" s="585">
        <v>173827973.3816354</v>
      </c>
      <c r="E10" s="584">
        <f t="shared" si="0"/>
        <v>176055062.11163539</v>
      </c>
      <c r="F10" s="585">
        <v>1675548.1600000001</v>
      </c>
      <c r="G10" s="585">
        <v>53110692.859999999</v>
      </c>
      <c r="H10" s="584">
        <f t="shared" si="1"/>
        <v>54786241.019999996</v>
      </c>
    </row>
    <row r="11" spans="1:8" ht="14.4">
      <c r="A11" s="485">
        <v>2</v>
      </c>
      <c r="B11" s="488" t="s">
        <v>530</v>
      </c>
      <c r="C11" s="585">
        <v>461883.99</v>
      </c>
      <c r="D11" s="585">
        <v>0</v>
      </c>
      <c r="E11" s="584">
        <f t="shared" si="0"/>
        <v>461883.99</v>
      </c>
      <c r="F11" s="585">
        <v>2809057.22</v>
      </c>
      <c r="G11" s="518"/>
      <c r="H11" s="584">
        <f t="shared" si="1"/>
        <v>2809057.22</v>
      </c>
    </row>
    <row r="12" spans="1:8" ht="14.4">
      <c r="A12" s="485">
        <v>2.1</v>
      </c>
      <c r="B12" s="489" t="s">
        <v>531</v>
      </c>
      <c r="C12" s="585">
        <v>461883.99</v>
      </c>
      <c r="D12" s="585">
        <v>0</v>
      </c>
      <c r="E12" s="584">
        <f t="shared" si="0"/>
        <v>461883.99</v>
      </c>
      <c r="F12" s="585">
        <v>2809057.22</v>
      </c>
      <c r="G12" s="518"/>
      <c r="H12" s="584">
        <f t="shared" si="1"/>
        <v>2809057.22</v>
      </c>
    </row>
    <row r="13" spans="1:8" ht="26.55" customHeight="1">
      <c r="A13" s="485">
        <v>3</v>
      </c>
      <c r="B13" s="490" t="s">
        <v>532</v>
      </c>
      <c r="C13" s="585"/>
      <c r="D13" s="585"/>
      <c r="E13" s="584">
        <f t="shared" si="0"/>
        <v>0</v>
      </c>
      <c r="F13" s="518"/>
      <c r="G13" s="518"/>
      <c r="H13" s="584">
        <f t="shared" si="1"/>
        <v>0</v>
      </c>
    </row>
    <row r="14" spans="1:8" ht="26.55" customHeight="1">
      <c r="A14" s="485">
        <v>4</v>
      </c>
      <c r="B14" s="491" t="s">
        <v>533</v>
      </c>
      <c r="C14" s="585"/>
      <c r="D14" s="585"/>
      <c r="E14" s="584">
        <f t="shared" si="0"/>
        <v>0</v>
      </c>
      <c r="F14" s="518"/>
      <c r="G14" s="518"/>
      <c r="H14" s="584">
        <f t="shared" si="1"/>
        <v>0</v>
      </c>
    </row>
    <row r="15" spans="1:8" ht="24.45" customHeight="1">
      <c r="A15" s="485">
        <v>5</v>
      </c>
      <c r="B15" s="492" t="s">
        <v>534</v>
      </c>
      <c r="C15" s="586">
        <f>SUM(C16:C18)</f>
        <v>0</v>
      </c>
      <c r="D15" s="586">
        <f>SUM(D16:D18)</f>
        <v>0</v>
      </c>
      <c r="E15" s="587">
        <f t="shared" si="0"/>
        <v>0</v>
      </c>
      <c r="F15" s="586">
        <f>SUM(F16:F18)</f>
        <v>0</v>
      </c>
      <c r="G15" s="586">
        <f>SUM(G16:G18)</f>
        <v>0</v>
      </c>
      <c r="H15" s="587">
        <f t="shared" si="1"/>
        <v>0</v>
      </c>
    </row>
    <row r="16" spans="1:8" ht="14.4">
      <c r="A16" s="485">
        <v>5.0999999999999996</v>
      </c>
      <c r="B16" s="493" t="s">
        <v>535</v>
      </c>
      <c r="C16" s="585"/>
      <c r="D16" s="585"/>
      <c r="E16" s="584">
        <f t="shared" si="0"/>
        <v>0</v>
      </c>
      <c r="F16" s="518"/>
      <c r="G16" s="518"/>
      <c r="H16" s="584">
        <f t="shared" si="1"/>
        <v>0</v>
      </c>
    </row>
    <row r="17" spans="1:8" ht="14.4">
      <c r="A17" s="485">
        <v>5.2</v>
      </c>
      <c r="B17" s="493" t="s">
        <v>536</v>
      </c>
      <c r="C17" s="585"/>
      <c r="D17" s="585"/>
      <c r="E17" s="584">
        <f t="shared" si="0"/>
        <v>0</v>
      </c>
      <c r="F17" s="518"/>
      <c r="G17" s="518"/>
      <c r="H17" s="584">
        <f t="shared" si="1"/>
        <v>0</v>
      </c>
    </row>
    <row r="18" spans="1:8" ht="14.4">
      <c r="A18" s="485">
        <v>5.3</v>
      </c>
      <c r="B18" s="494" t="s">
        <v>537</v>
      </c>
      <c r="C18" s="585"/>
      <c r="D18" s="585"/>
      <c r="E18" s="584">
        <f t="shared" si="0"/>
        <v>0</v>
      </c>
      <c r="F18" s="518"/>
      <c r="G18" s="518"/>
      <c r="H18" s="584">
        <f t="shared" si="1"/>
        <v>0</v>
      </c>
    </row>
    <row r="19" spans="1:8" ht="14.4">
      <c r="A19" s="485">
        <v>6</v>
      </c>
      <c r="B19" s="490" t="s">
        <v>538</v>
      </c>
      <c r="C19" s="583">
        <f>SUM(C20:C21)</f>
        <v>2634588570.5751553</v>
      </c>
      <c r="D19" s="583">
        <f>SUM(D20:D21)</f>
        <v>303771581.14272451</v>
      </c>
      <c r="E19" s="584">
        <f t="shared" si="0"/>
        <v>2938360151.7178798</v>
      </c>
      <c r="F19" s="583">
        <f>SUM(F20:F21)</f>
        <v>2124603701.8485212</v>
      </c>
      <c r="G19" s="583">
        <f>SUM(G20:G21)</f>
        <v>241303585.47403574</v>
      </c>
      <c r="H19" s="584">
        <f t="shared" si="1"/>
        <v>2365907287.322557</v>
      </c>
    </row>
    <row r="20" spans="1:8" ht="14.4">
      <c r="A20" s="485">
        <v>6.1</v>
      </c>
      <c r="B20" s="493" t="s">
        <v>536</v>
      </c>
      <c r="C20" s="585">
        <v>81543753.829999998</v>
      </c>
      <c r="D20" s="585"/>
      <c r="E20" s="584">
        <f t="shared" si="0"/>
        <v>81543753.829999998</v>
      </c>
      <c r="F20" s="585">
        <v>42632216.649999999</v>
      </c>
      <c r="G20" s="585"/>
      <c r="H20" s="584">
        <f t="shared" si="1"/>
        <v>42632216.649999999</v>
      </c>
    </row>
    <row r="21" spans="1:8" ht="14.4">
      <c r="A21" s="485">
        <v>6.2</v>
      </c>
      <c r="B21" s="494" t="s">
        <v>537</v>
      </c>
      <c r="C21" s="585">
        <v>2553044816.7451553</v>
      </c>
      <c r="D21" s="585">
        <v>303771581.14272451</v>
      </c>
      <c r="E21" s="584">
        <f t="shared" si="0"/>
        <v>2856816397.8878798</v>
      </c>
      <c r="F21" s="585">
        <v>2081971485.1985211</v>
      </c>
      <c r="G21" s="585">
        <v>241303585.47403574</v>
      </c>
      <c r="H21" s="584">
        <f t="shared" si="1"/>
        <v>2323275070.6725569</v>
      </c>
    </row>
    <row r="22" spans="1:8" ht="14.4">
      <c r="A22" s="485">
        <v>7</v>
      </c>
      <c r="B22" s="488" t="s">
        <v>539</v>
      </c>
      <c r="C22" s="585">
        <v>1991498.97</v>
      </c>
      <c r="D22" s="585"/>
      <c r="E22" s="584">
        <f t="shared" si="0"/>
        <v>1991498.97</v>
      </c>
      <c r="F22" s="585">
        <v>2655263.0099999998</v>
      </c>
      <c r="G22" s="585"/>
      <c r="H22" s="584">
        <f t="shared" si="1"/>
        <v>2655263.0099999998</v>
      </c>
    </row>
    <row r="23" spans="1:8" ht="14.4">
      <c r="A23" s="485">
        <v>8</v>
      </c>
      <c r="B23" s="495" t="s">
        <v>540</v>
      </c>
      <c r="C23" s="585"/>
      <c r="D23" s="585"/>
      <c r="E23" s="584">
        <f t="shared" si="0"/>
        <v>0</v>
      </c>
      <c r="F23" s="518"/>
      <c r="G23" s="518"/>
      <c r="H23" s="584">
        <f t="shared" si="1"/>
        <v>0</v>
      </c>
    </row>
    <row r="24" spans="1:8" ht="14.4">
      <c r="A24" s="485">
        <v>9</v>
      </c>
      <c r="B24" s="491" t="s">
        <v>541</v>
      </c>
      <c r="C24" s="588">
        <f>SUM(C25:C26)</f>
        <v>53365415.600000016</v>
      </c>
      <c r="D24" s="588">
        <f>SUM(D25:D26)</f>
        <v>0</v>
      </c>
      <c r="E24" s="584">
        <f t="shared" si="0"/>
        <v>53365415.600000016</v>
      </c>
      <c r="F24" s="583">
        <f>SUM(F25:F26)</f>
        <v>47449062.939999998</v>
      </c>
      <c r="G24" s="583">
        <f>SUM(G25:G26)</f>
        <v>0</v>
      </c>
      <c r="H24" s="584">
        <f t="shared" si="1"/>
        <v>47449062.939999998</v>
      </c>
    </row>
    <row r="25" spans="1:8" ht="14.4">
      <c r="A25" s="485">
        <v>9.1</v>
      </c>
      <c r="B25" s="493" t="s">
        <v>542</v>
      </c>
      <c r="C25" s="585">
        <v>53365415.600000016</v>
      </c>
      <c r="D25" s="585"/>
      <c r="E25" s="584">
        <f t="shared" si="0"/>
        <v>53365415.600000016</v>
      </c>
      <c r="F25" s="585">
        <v>47449062.939999998</v>
      </c>
      <c r="G25" s="518"/>
      <c r="H25" s="584">
        <f t="shared" si="1"/>
        <v>47449062.939999998</v>
      </c>
    </row>
    <row r="26" spans="1:8" ht="14.4">
      <c r="A26" s="485">
        <v>9.1999999999999993</v>
      </c>
      <c r="B26" s="493" t="s">
        <v>543</v>
      </c>
      <c r="C26" s="585"/>
      <c r="D26" s="585"/>
      <c r="E26" s="584">
        <f t="shared" si="0"/>
        <v>0</v>
      </c>
      <c r="F26" s="518"/>
      <c r="G26" s="518"/>
      <c r="H26" s="584">
        <f t="shared" si="1"/>
        <v>0</v>
      </c>
    </row>
    <row r="27" spans="1:8" ht="14.4">
      <c r="A27" s="485">
        <v>10</v>
      </c>
      <c r="B27" s="491" t="s">
        <v>544</v>
      </c>
      <c r="C27" s="583">
        <f>SUM(C28:C29)</f>
        <v>37235905.250000007</v>
      </c>
      <c r="D27" s="583">
        <f>SUM(D28:D29)</f>
        <v>0</v>
      </c>
      <c r="E27" s="584">
        <f t="shared" si="0"/>
        <v>37235905.250000007</v>
      </c>
      <c r="F27" s="583">
        <f>SUM(F28:F29)</f>
        <v>27220680.780000001</v>
      </c>
      <c r="G27" s="583">
        <f>SUM(G28:G29)</f>
        <v>0</v>
      </c>
      <c r="H27" s="584">
        <f t="shared" si="1"/>
        <v>27220680.780000001</v>
      </c>
    </row>
    <row r="28" spans="1:8" ht="14.4">
      <c r="A28" s="485">
        <v>10.1</v>
      </c>
      <c r="B28" s="493" t="s">
        <v>545</v>
      </c>
      <c r="C28" s="585"/>
      <c r="D28" s="585"/>
      <c r="E28" s="584">
        <f t="shared" si="0"/>
        <v>0</v>
      </c>
      <c r="F28" s="518"/>
      <c r="G28" s="518"/>
      <c r="H28" s="584">
        <f t="shared" si="1"/>
        <v>0</v>
      </c>
    </row>
    <row r="29" spans="1:8" ht="14.4">
      <c r="A29" s="485">
        <v>10.199999999999999</v>
      </c>
      <c r="B29" s="493" t="s">
        <v>546</v>
      </c>
      <c r="C29" s="585">
        <v>37235905.250000007</v>
      </c>
      <c r="D29" s="585"/>
      <c r="E29" s="584">
        <f t="shared" si="0"/>
        <v>37235905.250000007</v>
      </c>
      <c r="F29" s="585">
        <v>27220680.780000001</v>
      </c>
      <c r="G29" s="518"/>
      <c r="H29" s="584">
        <f t="shared" si="1"/>
        <v>27220680.780000001</v>
      </c>
    </row>
    <row r="30" spans="1:8" ht="14.4">
      <c r="A30" s="485">
        <v>11</v>
      </c>
      <c r="B30" s="491" t="s">
        <v>547</v>
      </c>
      <c r="C30" s="583">
        <f>SUM(C31:C32)</f>
        <v>355395.73999999277</v>
      </c>
      <c r="D30" s="583">
        <f>SUM(D31:D32)</f>
        <v>0</v>
      </c>
      <c r="E30" s="584">
        <f t="shared" si="0"/>
        <v>355395.73999999277</v>
      </c>
      <c r="F30" s="585">
        <f>SUM(F31:F32)</f>
        <v>0</v>
      </c>
      <c r="G30" s="585">
        <f>SUM(G31:G32)</f>
        <v>0</v>
      </c>
      <c r="H30" s="584">
        <f t="shared" si="1"/>
        <v>0</v>
      </c>
    </row>
    <row r="31" spans="1:8" ht="14.4">
      <c r="A31" s="485">
        <v>11.1</v>
      </c>
      <c r="B31" s="493" t="s">
        <v>548</v>
      </c>
      <c r="C31" s="585">
        <v>355395.73999999277</v>
      </c>
      <c r="D31" s="585"/>
      <c r="E31" s="584">
        <f t="shared" si="0"/>
        <v>355395.73999999277</v>
      </c>
      <c r="F31" s="518"/>
      <c r="G31" s="518"/>
      <c r="H31" s="584">
        <f t="shared" si="1"/>
        <v>0</v>
      </c>
    </row>
    <row r="32" spans="1:8" ht="14.4">
      <c r="A32" s="485">
        <v>11.2</v>
      </c>
      <c r="B32" s="493" t="s">
        <v>549</v>
      </c>
      <c r="C32" s="585"/>
      <c r="D32" s="585"/>
      <c r="E32" s="584">
        <f t="shared" si="0"/>
        <v>0</v>
      </c>
      <c r="F32" s="518"/>
      <c r="G32" s="518"/>
      <c r="H32" s="584">
        <f t="shared" si="1"/>
        <v>0</v>
      </c>
    </row>
    <row r="33" spans="1:8" ht="14.4">
      <c r="A33" s="485">
        <v>13</v>
      </c>
      <c r="B33" s="491" t="s">
        <v>550</v>
      </c>
      <c r="C33" s="583">
        <v>54144352.010000013</v>
      </c>
      <c r="D33" s="583">
        <v>4309008.4600000009</v>
      </c>
      <c r="E33" s="584">
        <f t="shared" si="0"/>
        <v>58453360.470000014</v>
      </c>
      <c r="F33" s="583">
        <v>43085101.470000021</v>
      </c>
      <c r="G33" s="583">
        <v>4919505.2599999979</v>
      </c>
      <c r="H33" s="584">
        <f t="shared" si="1"/>
        <v>48004606.730000019</v>
      </c>
    </row>
    <row r="34" spans="1:8" ht="14.4">
      <c r="A34" s="485">
        <v>13.1</v>
      </c>
      <c r="B34" s="496" t="s">
        <v>551</v>
      </c>
      <c r="C34" s="585">
        <v>31594315.879999995</v>
      </c>
      <c r="D34" s="585"/>
      <c r="E34" s="584">
        <f t="shared" si="0"/>
        <v>31594315.879999995</v>
      </c>
      <c r="F34" s="585">
        <v>18639965.923764199</v>
      </c>
      <c r="G34" s="585"/>
      <c r="H34" s="584">
        <f t="shared" si="1"/>
        <v>18639965.923764199</v>
      </c>
    </row>
    <row r="35" spans="1:8" ht="14.4">
      <c r="A35" s="485">
        <v>13.2</v>
      </c>
      <c r="B35" s="496" t="s">
        <v>552</v>
      </c>
      <c r="C35" s="585"/>
      <c r="D35" s="585"/>
      <c r="E35" s="584">
        <f t="shared" si="0"/>
        <v>0</v>
      </c>
      <c r="F35" s="518"/>
      <c r="G35" s="518"/>
      <c r="H35" s="584">
        <f t="shared" si="1"/>
        <v>0</v>
      </c>
    </row>
    <row r="36" spans="1:8" ht="14.4">
      <c r="A36" s="485">
        <v>14</v>
      </c>
      <c r="B36" s="497" t="s">
        <v>553</v>
      </c>
      <c r="C36" s="583">
        <f>SUM(C7,C11,C13,C14,C15,C19,C22,C23,C24,C27,C30,C33)</f>
        <v>2966273934.8231926</v>
      </c>
      <c r="D36" s="583">
        <f>SUM(D7,D11,D13,D14,D15,D19,D22,D23,D24,D27,D30,D33)</f>
        <v>588735510.37435997</v>
      </c>
      <c r="E36" s="584">
        <f t="shared" si="0"/>
        <v>3555009445.1975527</v>
      </c>
      <c r="F36" s="583">
        <f>SUM(F7,F11,F13,F14,F15,F19,F22,F23,F24,F27,F30,F33)</f>
        <v>2514284524.3074579</v>
      </c>
      <c r="G36" s="583">
        <f>SUM(G7,G11,G13,G14,G15,G19,G22,G23,G24,G27,G30,G33)</f>
        <v>390700099.21403575</v>
      </c>
      <c r="H36" s="584">
        <f t="shared" si="1"/>
        <v>2904984623.5214939</v>
      </c>
    </row>
    <row r="37" spans="1:8" ht="22.5" customHeight="1">
      <c r="A37" s="485"/>
      <c r="B37" s="498" t="s">
        <v>554</v>
      </c>
      <c r="C37" s="724"/>
      <c r="D37" s="725"/>
      <c r="E37" s="725"/>
      <c r="F37" s="725"/>
      <c r="G37" s="725"/>
      <c r="H37" s="726"/>
    </row>
    <row r="38" spans="1:8" ht="14.4">
      <c r="A38" s="485">
        <v>15</v>
      </c>
      <c r="B38" s="499" t="s">
        <v>555</v>
      </c>
      <c r="C38" s="585">
        <v>550776.5</v>
      </c>
      <c r="D38" s="518"/>
      <c r="E38" s="584">
        <f>C38+D38</f>
        <v>550776.5</v>
      </c>
      <c r="F38" s="585">
        <v>700188.3</v>
      </c>
      <c r="G38" s="518"/>
      <c r="H38" s="584">
        <f>F38+G38</f>
        <v>700188.3</v>
      </c>
    </row>
    <row r="39" spans="1:8" ht="14.4">
      <c r="A39" s="500">
        <v>15.1</v>
      </c>
      <c r="B39" s="501" t="s">
        <v>531</v>
      </c>
      <c r="C39" s="585">
        <v>550776.5</v>
      </c>
      <c r="D39" s="518"/>
      <c r="E39" s="584">
        <f t="shared" ref="E39:E53" si="2">C39+D39</f>
        <v>550776.5</v>
      </c>
      <c r="F39" s="585">
        <v>700188.3</v>
      </c>
      <c r="G39" s="518"/>
      <c r="H39" s="584">
        <f t="shared" ref="H39:H53" si="3">F39+G39</f>
        <v>700188.3</v>
      </c>
    </row>
    <row r="40" spans="1:8" ht="24" customHeight="1">
      <c r="A40" s="500">
        <v>16</v>
      </c>
      <c r="B40" s="488" t="s">
        <v>556</v>
      </c>
      <c r="C40" s="518"/>
      <c r="D40" s="518"/>
      <c r="E40" s="584">
        <f t="shared" si="2"/>
        <v>0</v>
      </c>
      <c r="F40" s="518"/>
      <c r="G40" s="518"/>
      <c r="H40" s="584">
        <f t="shared" si="3"/>
        <v>0</v>
      </c>
    </row>
    <row r="41" spans="1:8" ht="14.4">
      <c r="A41" s="500">
        <v>17</v>
      </c>
      <c r="B41" s="488" t="s">
        <v>557</v>
      </c>
      <c r="C41" s="583">
        <f>SUM(C42:C45)</f>
        <v>2133587365.4200001</v>
      </c>
      <c r="D41" s="583">
        <f>SUM(D42:D45)</f>
        <v>729621629.3499999</v>
      </c>
      <c r="E41" s="584">
        <f t="shared" si="2"/>
        <v>2863208994.77</v>
      </c>
      <c r="F41" s="583">
        <f>SUM(F42:F45)</f>
        <v>1794032414.26001</v>
      </c>
      <c r="G41" s="583">
        <f>SUM(G42:G45)</f>
        <v>569773518.10489905</v>
      </c>
      <c r="H41" s="584">
        <f t="shared" si="3"/>
        <v>2363805932.3649092</v>
      </c>
    </row>
    <row r="42" spans="1:8" ht="14.4">
      <c r="A42" s="500">
        <v>17.100000000000001</v>
      </c>
      <c r="B42" s="502" t="s">
        <v>558</v>
      </c>
      <c r="C42" s="585">
        <v>1098898820</v>
      </c>
      <c r="D42" s="585">
        <v>479143999</v>
      </c>
      <c r="E42" s="584">
        <f t="shared" si="2"/>
        <v>1578042819</v>
      </c>
      <c r="F42" s="585">
        <v>814100670.17000997</v>
      </c>
      <c r="G42" s="585">
        <v>351714889.10489905</v>
      </c>
      <c r="H42" s="584">
        <f t="shared" si="3"/>
        <v>1165815559.274909</v>
      </c>
    </row>
    <row r="43" spans="1:8" ht="14.4">
      <c r="A43" s="500">
        <v>17.2</v>
      </c>
      <c r="B43" s="503" t="s">
        <v>559</v>
      </c>
      <c r="C43" s="585">
        <v>1015627168.4400001</v>
      </c>
      <c r="D43" s="585">
        <v>246280472.42999998</v>
      </c>
      <c r="E43" s="584">
        <f t="shared" si="2"/>
        <v>1261907640.8700001</v>
      </c>
      <c r="F43" s="585">
        <v>963870913.65999997</v>
      </c>
      <c r="G43" s="585">
        <v>212340581.35000002</v>
      </c>
      <c r="H43" s="584">
        <f t="shared" si="3"/>
        <v>1176211495.01</v>
      </c>
    </row>
    <row r="44" spans="1:8" ht="14.4">
      <c r="A44" s="500">
        <v>17.3</v>
      </c>
      <c r="B44" s="502" t="s">
        <v>560</v>
      </c>
      <c r="C44" s="585"/>
      <c r="D44" s="585"/>
      <c r="E44" s="584">
        <f t="shared" si="2"/>
        <v>0</v>
      </c>
      <c r="F44" s="585"/>
      <c r="G44" s="585"/>
      <c r="H44" s="584">
        <f t="shared" si="3"/>
        <v>0</v>
      </c>
    </row>
    <row r="45" spans="1:8" ht="14.4">
      <c r="A45" s="500">
        <v>17.399999999999999</v>
      </c>
      <c r="B45" s="502" t="s">
        <v>561</v>
      </c>
      <c r="C45" s="585">
        <v>19061376.98</v>
      </c>
      <c r="D45" s="585">
        <v>4197157.92</v>
      </c>
      <c r="E45" s="584">
        <f t="shared" si="2"/>
        <v>23258534.899999999</v>
      </c>
      <c r="F45" s="585">
        <v>16060830.43</v>
      </c>
      <c r="G45" s="585">
        <v>5718047.6500000004</v>
      </c>
      <c r="H45" s="584">
        <f t="shared" si="3"/>
        <v>21778878.079999998</v>
      </c>
    </row>
    <row r="46" spans="1:8" ht="14.4">
      <c r="A46" s="500">
        <v>18</v>
      </c>
      <c r="B46" s="491" t="s">
        <v>562</v>
      </c>
      <c r="C46" s="585">
        <v>2086272.12</v>
      </c>
      <c r="D46" s="585"/>
      <c r="E46" s="584">
        <f t="shared" si="2"/>
        <v>2086272.12</v>
      </c>
      <c r="F46" s="518"/>
      <c r="G46" s="518"/>
      <c r="H46" s="584">
        <f t="shared" si="3"/>
        <v>0</v>
      </c>
    </row>
    <row r="47" spans="1:8" ht="14.4">
      <c r="A47" s="500">
        <v>19</v>
      </c>
      <c r="B47" s="491" t="s">
        <v>563</v>
      </c>
      <c r="C47" s="583">
        <f>SUM(C48:C49)</f>
        <v>6415343.4500000002</v>
      </c>
      <c r="D47" s="583">
        <f>SUM(D48:D49)</f>
        <v>0</v>
      </c>
      <c r="E47" s="584">
        <f t="shared" si="2"/>
        <v>6415343.4500000002</v>
      </c>
      <c r="F47" s="583">
        <f>SUM(F48:F49)</f>
        <v>9249922.0399999917</v>
      </c>
      <c r="G47" s="518">
        <f>SUM(G48:G49)</f>
        <v>0</v>
      </c>
      <c r="H47" s="584">
        <f t="shared" si="3"/>
        <v>9249922.0399999917</v>
      </c>
    </row>
    <row r="48" spans="1:8" ht="14.4">
      <c r="A48" s="500">
        <v>19.100000000000001</v>
      </c>
      <c r="B48" s="504" t="s">
        <v>564</v>
      </c>
      <c r="C48" s="585"/>
      <c r="D48" s="585"/>
      <c r="E48" s="584">
        <f t="shared" si="2"/>
        <v>0</v>
      </c>
      <c r="F48" s="585">
        <v>4149328.1999999918</v>
      </c>
      <c r="G48" s="518"/>
      <c r="H48" s="584">
        <f t="shared" si="3"/>
        <v>4149328.1999999918</v>
      </c>
    </row>
    <row r="49" spans="1:8" ht="14.4">
      <c r="A49" s="500">
        <v>19.2</v>
      </c>
      <c r="B49" s="505" t="s">
        <v>565</v>
      </c>
      <c r="C49" s="585">
        <v>6415343.4500000002</v>
      </c>
      <c r="D49" s="585"/>
      <c r="E49" s="584">
        <f t="shared" si="2"/>
        <v>6415343.4500000002</v>
      </c>
      <c r="F49" s="585">
        <v>5100593.8399999989</v>
      </c>
      <c r="G49" s="518"/>
      <c r="H49" s="584">
        <f t="shared" si="3"/>
        <v>5100593.8399999989</v>
      </c>
    </row>
    <row r="50" spans="1:8" ht="14.4">
      <c r="A50" s="500">
        <v>20</v>
      </c>
      <c r="B50" s="506" t="s">
        <v>566</v>
      </c>
      <c r="C50" s="585">
        <v>51067158.880000003</v>
      </c>
      <c r="D50" s="585">
        <v>134287710.27000001</v>
      </c>
      <c r="E50" s="584">
        <f t="shared" si="2"/>
        <v>185354869.15000001</v>
      </c>
      <c r="F50" s="585">
        <v>62711955.310000002</v>
      </c>
      <c r="G50" s="585">
        <v>66901930.930000007</v>
      </c>
      <c r="H50" s="584">
        <f t="shared" si="3"/>
        <v>129613886.24000001</v>
      </c>
    </row>
    <row r="51" spans="1:8" ht="14.4">
      <c r="A51" s="500">
        <v>21</v>
      </c>
      <c r="B51" s="495" t="s">
        <v>567</v>
      </c>
      <c r="C51" s="585">
        <v>49999651.579999983</v>
      </c>
      <c r="D51" s="585">
        <v>2642123.6199999973</v>
      </c>
      <c r="E51" s="584">
        <f t="shared" si="2"/>
        <v>52641775.199999981</v>
      </c>
      <c r="F51" s="585">
        <v>43831867.040000021</v>
      </c>
      <c r="G51" s="585">
        <v>3095027.7899999991</v>
      </c>
      <c r="H51" s="584">
        <f t="shared" si="3"/>
        <v>46926894.830000021</v>
      </c>
    </row>
    <row r="52" spans="1:8" ht="14.4">
      <c r="A52" s="500">
        <v>21.1</v>
      </c>
      <c r="B52" s="503" t="s">
        <v>568</v>
      </c>
      <c r="C52" s="585"/>
      <c r="D52" s="585"/>
      <c r="E52" s="584">
        <f t="shared" si="2"/>
        <v>0</v>
      </c>
      <c r="F52" s="518"/>
      <c r="G52" s="518"/>
      <c r="H52" s="584">
        <f t="shared" si="3"/>
        <v>0</v>
      </c>
    </row>
    <row r="53" spans="1:8" ht="14.4">
      <c r="A53" s="500">
        <v>22</v>
      </c>
      <c r="B53" s="507" t="s">
        <v>569</v>
      </c>
      <c r="C53" s="583">
        <f>SUM(C38,C40,C41,C46,C47,C50,C51)</f>
        <v>2243706567.9499998</v>
      </c>
      <c r="D53" s="583">
        <f>SUM(D38,D40,D41,D46,D47,D50,D51)</f>
        <v>866551463.23999989</v>
      </c>
      <c r="E53" s="584">
        <f t="shared" si="2"/>
        <v>3110258031.1899996</v>
      </c>
      <c r="F53" s="583">
        <f>SUM(F38,F40,F41,F46,F47,F50,F51)</f>
        <v>1910526346.9500098</v>
      </c>
      <c r="G53" s="583">
        <f>SUM(G38,G40,G41,G46,G47,G50,G51)</f>
        <v>639770476.82489896</v>
      </c>
      <c r="H53" s="584">
        <f t="shared" si="3"/>
        <v>2550296823.774909</v>
      </c>
    </row>
    <row r="54" spans="1:8" ht="24" customHeight="1">
      <c r="A54" s="500"/>
      <c r="B54" s="508" t="s">
        <v>570</v>
      </c>
      <c r="C54" s="724"/>
      <c r="D54" s="725"/>
      <c r="E54" s="725"/>
      <c r="F54" s="725"/>
      <c r="G54" s="725"/>
      <c r="H54" s="726"/>
    </row>
    <row r="55" spans="1:8" ht="14.4">
      <c r="A55" s="500">
        <v>23</v>
      </c>
      <c r="B55" s="517" t="s">
        <v>710</v>
      </c>
      <c r="C55" s="585">
        <v>5270620</v>
      </c>
      <c r="D55" s="585"/>
      <c r="E55" s="584">
        <f>C55+D55</f>
        <v>5270620</v>
      </c>
      <c r="F55" s="585">
        <v>5236850</v>
      </c>
      <c r="G55" s="518"/>
      <c r="H55" s="584">
        <f>F55+G55</f>
        <v>5236850</v>
      </c>
    </row>
    <row r="56" spans="1:8" ht="14.4">
      <c r="A56" s="500">
        <v>24</v>
      </c>
      <c r="B56" s="506" t="s">
        <v>572</v>
      </c>
      <c r="C56" s="585"/>
      <c r="D56" s="585"/>
      <c r="E56" s="584">
        <f t="shared" ref="E56:E69" si="4">C56+D56</f>
        <v>0</v>
      </c>
      <c r="F56" s="585"/>
      <c r="G56" s="518"/>
      <c r="H56" s="584">
        <f t="shared" ref="H56:H69" si="5">F56+G56</f>
        <v>0</v>
      </c>
    </row>
    <row r="57" spans="1:8" ht="14.4">
      <c r="A57" s="500">
        <v>25</v>
      </c>
      <c r="B57" s="491" t="s">
        <v>573</v>
      </c>
      <c r="C57" s="585">
        <v>41797125.479999997</v>
      </c>
      <c r="D57" s="585"/>
      <c r="E57" s="584">
        <f t="shared" si="4"/>
        <v>41797125.479999997</v>
      </c>
      <c r="F57" s="585">
        <v>38936573.159999996</v>
      </c>
      <c r="G57" s="518"/>
      <c r="H57" s="584">
        <f t="shared" si="5"/>
        <v>38936573.159999996</v>
      </c>
    </row>
    <row r="58" spans="1:8" ht="14.4">
      <c r="A58" s="500">
        <v>26</v>
      </c>
      <c r="B58" s="491" t="s">
        <v>574</v>
      </c>
      <c r="C58" s="585"/>
      <c r="D58" s="585"/>
      <c r="E58" s="584">
        <f t="shared" si="4"/>
        <v>0</v>
      </c>
      <c r="F58" s="518"/>
      <c r="G58" s="518"/>
      <c r="H58" s="584">
        <f t="shared" si="5"/>
        <v>0</v>
      </c>
    </row>
    <row r="59" spans="1:8" ht="14.4">
      <c r="A59" s="500">
        <v>27</v>
      </c>
      <c r="B59" s="491" t="s">
        <v>575</v>
      </c>
      <c r="C59" s="585">
        <f>SUM(C60:C61)</f>
        <v>0</v>
      </c>
      <c r="D59" s="585">
        <f>SUM(D60:D61)</f>
        <v>0</v>
      </c>
      <c r="E59" s="584">
        <f t="shared" si="4"/>
        <v>0</v>
      </c>
      <c r="F59" s="518"/>
      <c r="G59" s="518"/>
      <c r="H59" s="584">
        <f t="shared" si="5"/>
        <v>0</v>
      </c>
    </row>
    <row r="60" spans="1:8" ht="14.4">
      <c r="A60" s="500">
        <v>27.1</v>
      </c>
      <c r="B60" s="502" t="s">
        <v>576</v>
      </c>
      <c r="C60" s="585"/>
      <c r="D60" s="585"/>
      <c r="E60" s="584">
        <f t="shared" si="4"/>
        <v>0</v>
      </c>
      <c r="F60" s="518"/>
      <c r="G60" s="518"/>
      <c r="H60" s="584">
        <f t="shared" si="5"/>
        <v>0</v>
      </c>
    </row>
    <row r="61" spans="1:8" ht="14.4">
      <c r="A61" s="500">
        <v>27.2</v>
      </c>
      <c r="B61" s="502" t="s">
        <v>577</v>
      </c>
      <c r="C61" s="585"/>
      <c r="D61" s="585"/>
      <c r="E61" s="584">
        <f t="shared" si="4"/>
        <v>0</v>
      </c>
      <c r="F61" s="518"/>
      <c r="G61" s="518"/>
      <c r="H61" s="584">
        <f t="shared" si="5"/>
        <v>0</v>
      </c>
    </row>
    <row r="62" spans="1:8" ht="14.4">
      <c r="A62" s="500">
        <v>28</v>
      </c>
      <c r="B62" s="509" t="s">
        <v>578</v>
      </c>
      <c r="C62" s="585"/>
      <c r="D62" s="585"/>
      <c r="E62" s="584">
        <f t="shared" si="4"/>
        <v>0</v>
      </c>
      <c r="F62" s="518"/>
      <c r="G62" s="518"/>
      <c r="H62" s="584">
        <f t="shared" si="5"/>
        <v>0</v>
      </c>
    </row>
    <row r="63" spans="1:8" ht="14.4">
      <c r="A63" s="500">
        <v>29</v>
      </c>
      <c r="B63" s="491" t="s">
        <v>579</v>
      </c>
      <c r="C63" s="585">
        <f>SUM(C64:C66)</f>
        <v>0</v>
      </c>
      <c r="D63" s="585">
        <f>SUM(D64:D66)</f>
        <v>0</v>
      </c>
      <c r="E63" s="584">
        <f t="shared" si="4"/>
        <v>0</v>
      </c>
      <c r="F63" s="518"/>
      <c r="G63" s="518"/>
      <c r="H63" s="584">
        <f t="shared" si="5"/>
        <v>0</v>
      </c>
    </row>
    <row r="64" spans="1:8" ht="14.4">
      <c r="A64" s="500">
        <v>29.1</v>
      </c>
      <c r="B64" s="494" t="s">
        <v>580</v>
      </c>
      <c r="C64" s="585"/>
      <c r="D64" s="585"/>
      <c r="E64" s="584">
        <f t="shared" si="4"/>
        <v>0</v>
      </c>
      <c r="F64" s="518"/>
      <c r="G64" s="518"/>
      <c r="H64" s="584">
        <f t="shared" si="5"/>
        <v>0</v>
      </c>
    </row>
    <row r="65" spans="1:8" ht="25.05" customHeight="1">
      <c r="A65" s="500">
        <v>29.2</v>
      </c>
      <c r="B65" s="504" t="s">
        <v>581</v>
      </c>
      <c r="C65" s="585"/>
      <c r="D65" s="585"/>
      <c r="E65" s="584">
        <f t="shared" si="4"/>
        <v>0</v>
      </c>
      <c r="F65" s="518"/>
      <c r="G65" s="518"/>
      <c r="H65" s="584">
        <f t="shared" si="5"/>
        <v>0</v>
      </c>
    </row>
    <row r="66" spans="1:8" ht="22.5" customHeight="1">
      <c r="A66" s="500">
        <v>29.3</v>
      </c>
      <c r="B66" s="504" t="s">
        <v>582</v>
      </c>
      <c r="C66" s="585"/>
      <c r="D66" s="585"/>
      <c r="E66" s="584">
        <f t="shared" si="4"/>
        <v>0</v>
      </c>
      <c r="F66" s="518"/>
      <c r="G66" s="518"/>
      <c r="H66" s="584">
        <f t="shared" si="5"/>
        <v>0</v>
      </c>
    </row>
    <row r="67" spans="1:8" ht="14.4">
      <c r="A67" s="500">
        <v>30</v>
      </c>
      <c r="B67" s="491" t="s">
        <v>583</v>
      </c>
      <c r="C67" s="585">
        <v>397683670.03318</v>
      </c>
      <c r="D67" s="585"/>
      <c r="E67" s="584">
        <f t="shared" si="4"/>
        <v>397683670.03318</v>
      </c>
      <c r="F67" s="585">
        <v>310514376.75000876</v>
      </c>
      <c r="G67" s="518"/>
      <c r="H67" s="584">
        <f t="shared" si="5"/>
        <v>310514376.75000876</v>
      </c>
    </row>
    <row r="68" spans="1:8" ht="14.4">
      <c r="A68" s="500">
        <v>31</v>
      </c>
      <c r="B68" s="510" t="s">
        <v>752</v>
      </c>
      <c r="C68" s="583">
        <f>SUM(C55,C56,C57,C58,C59,C62,C63,C67)</f>
        <v>444751415.51318002</v>
      </c>
      <c r="D68" s="583">
        <f>SUM(D55,D56,D57,D58,D59,D62,D63,D67)</f>
        <v>0</v>
      </c>
      <c r="E68" s="584">
        <f t="shared" si="4"/>
        <v>444751415.51318002</v>
      </c>
      <c r="F68" s="583">
        <f>SUM(F55,F56,F57,F58,F59,F62,F63,F67)</f>
        <v>354687799.91000879</v>
      </c>
      <c r="G68" s="518">
        <f>SUM(G55,G56,G57,G58,G59,G62,G63,G67)</f>
        <v>0</v>
      </c>
      <c r="H68" s="584">
        <f t="shared" si="5"/>
        <v>354687799.91000879</v>
      </c>
    </row>
    <row r="69" spans="1:8" ht="14.4">
      <c r="A69" s="500">
        <v>32</v>
      </c>
      <c r="B69" s="511" t="s">
        <v>585</v>
      </c>
      <c r="C69" s="583">
        <f>SUM(C53,C68)</f>
        <v>2688457983.4631796</v>
      </c>
      <c r="D69" s="583">
        <f>SUM(D53,D68)</f>
        <v>866551463.23999989</v>
      </c>
      <c r="E69" s="584">
        <f t="shared" si="4"/>
        <v>3555009446.7031794</v>
      </c>
      <c r="F69" s="583">
        <f>SUM(F53,F68)</f>
        <v>2265214146.8600187</v>
      </c>
      <c r="G69" s="583">
        <f>SUM(G53,G68)</f>
        <v>639770476.82489896</v>
      </c>
      <c r="H69" s="584">
        <f t="shared" si="5"/>
        <v>2904984623.6849174</v>
      </c>
    </row>
    <row r="72" spans="1:8">
      <c r="B72" s="565"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1" zoomScale="80" zoomScaleNormal="80" workbookViewId="0">
      <selection activeCell="C7" sqref="C7"/>
    </sheetView>
  </sheetViews>
  <sheetFormatPr defaultColWidth="9.21875" defaultRowHeight="12"/>
  <cols>
    <col min="1" max="1" width="11.77734375" style="379" bestFit="1" customWidth="1"/>
    <col min="2" max="2" width="93.44140625" style="379" customWidth="1"/>
    <col min="3" max="3" width="14.6640625" style="379" customWidth="1"/>
    <col min="4" max="5" width="16.109375" style="379" customWidth="1"/>
    <col min="6" max="6" width="16.109375" style="397" customWidth="1"/>
    <col min="7" max="7" width="25.21875" style="397" customWidth="1"/>
    <col min="8" max="8" width="16.109375" style="379" customWidth="1"/>
    <col min="9" max="11" width="16.109375" style="397" customWidth="1"/>
    <col min="12" max="12" width="26.21875" style="397" customWidth="1"/>
    <col min="13" max="16384" width="9.21875" style="379"/>
  </cols>
  <sheetData>
    <row r="1" spans="1:12" ht="13.8">
      <c r="A1" s="298" t="s">
        <v>31</v>
      </c>
      <c r="B1" s="365" t="str">
        <f>'Info '!C2</f>
        <v>JSC "CREDOBANK"</v>
      </c>
      <c r="F1" s="379"/>
      <c r="G1" s="379"/>
      <c r="I1" s="379"/>
      <c r="J1" s="379"/>
      <c r="K1" s="379"/>
      <c r="L1" s="379"/>
    </row>
    <row r="2" spans="1:12">
      <c r="A2" s="298" t="s">
        <v>32</v>
      </c>
      <c r="B2" s="364">
        <f>'1. key ratios '!B2</f>
        <v>45930</v>
      </c>
      <c r="F2" s="379"/>
      <c r="G2" s="379"/>
      <c r="I2" s="379"/>
      <c r="J2" s="379"/>
      <c r="K2" s="379"/>
      <c r="L2" s="379"/>
    </row>
    <row r="3" spans="1:12">
      <c r="A3" s="299" t="s">
        <v>467</v>
      </c>
      <c r="F3" s="379"/>
      <c r="G3" s="379"/>
      <c r="I3" s="379"/>
      <c r="J3" s="379"/>
      <c r="K3" s="379"/>
      <c r="L3" s="379"/>
    </row>
    <row r="4" spans="1:12">
      <c r="F4" s="379"/>
      <c r="G4" s="379"/>
      <c r="I4" s="379"/>
      <c r="J4" s="379"/>
      <c r="K4" s="379"/>
      <c r="L4" s="379"/>
    </row>
    <row r="5" spans="1:12" ht="37.5" customHeight="1">
      <c r="A5" s="786" t="s">
        <v>484</v>
      </c>
      <c r="B5" s="787"/>
      <c r="C5" s="832" t="s">
        <v>468</v>
      </c>
      <c r="D5" s="833"/>
      <c r="E5" s="833"/>
      <c r="F5" s="833"/>
      <c r="G5" s="833"/>
      <c r="H5" s="832" t="s">
        <v>628</v>
      </c>
      <c r="I5" s="834"/>
      <c r="J5" s="834"/>
      <c r="K5" s="834"/>
      <c r="L5" s="835"/>
    </row>
    <row r="6" spans="1:12" ht="39.450000000000003" customHeight="1">
      <c r="A6" s="790"/>
      <c r="B6" s="791"/>
      <c r="C6" s="301"/>
      <c r="D6" s="377" t="s">
        <v>649</v>
      </c>
      <c r="E6" s="377" t="s">
        <v>648</v>
      </c>
      <c r="F6" s="377" t="s">
        <v>647</v>
      </c>
      <c r="G6" s="377" t="s">
        <v>646</v>
      </c>
      <c r="H6" s="398"/>
      <c r="I6" s="377" t="s">
        <v>649</v>
      </c>
      <c r="J6" s="377" t="s">
        <v>648</v>
      </c>
      <c r="K6" s="377" t="s">
        <v>647</v>
      </c>
      <c r="L6" s="377" t="s">
        <v>646</v>
      </c>
    </row>
    <row r="7" spans="1:12">
      <c r="A7" s="368">
        <v>1</v>
      </c>
      <c r="B7" s="383" t="s">
        <v>487</v>
      </c>
      <c r="C7" s="709">
        <f>SUM(D7:G7)</f>
        <v>25303695.360000003</v>
      </c>
      <c r="D7" s="684">
        <v>24598049.100000001</v>
      </c>
      <c r="E7" s="684">
        <v>564965.66</v>
      </c>
      <c r="F7" s="684">
        <v>140680.6</v>
      </c>
      <c r="G7" s="684">
        <v>0</v>
      </c>
      <c r="H7" s="695">
        <f>SUM(I7:L7)</f>
        <v>459998.81</v>
      </c>
      <c r="I7" s="684">
        <v>231792.44</v>
      </c>
      <c r="J7" s="684">
        <v>113622.88</v>
      </c>
      <c r="K7" s="684">
        <v>114583.49</v>
      </c>
      <c r="L7" s="684">
        <v>0</v>
      </c>
    </row>
    <row r="8" spans="1:12">
      <c r="A8" s="368">
        <v>2</v>
      </c>
      <c r="B8" s="383" t="s">
        <v>400</v>
      </c>
      <c r="C8" s="709">
        <f t="shared" ref="C8:C32" si="0">SUM(D8:G8)</f>
        <v>22867756.91</v>
      </c>
      <c r="D8" s="684">
        <v>22534205.73</v>
      </c>
      <c r="E8" s="684">
        <v>304401.73</v>
      </c>
      <c r="F8" s="710">
        <v>29149.45</v>
      </c>
      <c r="G8" s="710">
        <v>0</v>
      </c>
      <c r="H8" s="695">
        <f t="shared" ref="H8:H32" si="1">SUM(I8:L8)</f>
        <v>242735.37999999998</v>
      </c>
      <c r="I8" s="710">
        <v>149129.74</v>
      </c>
      <c r="J8" s="710">
        <v>75719.149999999994</v>
      </c>
      <c r="K8" s="710">
        <v>17886.490000000002</v>
      </c>
      <c r="L8" s="710">
        <v>0</v>
      </c>
    </row>
    <row r="9" spans="1:12">
      <c r="A9" s="368">
        <v>3</v>
      </c>
      <c r="B9" s="383" t="s">
        <v>401</v>
      </c>
      <c r="C9" s="709">
        <f t="shared" si="0"/>
        <v>7888167.29</v>
      </c>
      <c r="D9" s="684">
        <v>7509531.4100000001</v>
      </c>
      <c r="E9" s="684">
        <v>280473.25</v>
      </c>
      <c r="F9" s="711">
        <v>98162.63</v>
      </c>
      <c r="G9" s="711">
        <v>0</v>
      </c>
      <c r="H9" s="695">
        <f t="shared" si="1"/>
        <v>199945.63999999998</v>
      </c>
      <c r="I9" s="711">
        <v>69771.789999999994</v>
      </c>
      <c r="J9" s="711">
        <v>58888.84</v>
      </c>
      <c r="K9" s="711">
        <v>71285.009999999995</v>
      </c>
      <c r="L9" s="711">
        <v>0</v>
      </c>
    </row>
    <row r="10" spans="1:12">
      <c r="A10" s="368">
        <v>4</v>
      </c>
      <c r="B10" s="383" t="s">
        <v>488</v>
      </c>
      <c r="C10" s="709">
        <f t="shared" si="0"/>
        <v>51730877.640000001</v>
      </c>
      <c r="D10" s="684">
        <v>49195248.329999998</v>
      </c>
      <c r="E10" s="684">
        <v>2523588.2400000002</v>
      </c>
      <c r="F10" s="711">
        <v>12041.07</v>
      </c>
      <c r="G10" s="711">
        <v>0</v>
      </c>
      <c r="H10" s="695">
        <f t="shared" si="1"/>
        <v>1219867.6600000001</v>
      </c>
      <c r="I10" s="711">
        <v>122730.01</v>
      </c>
      <c r="J10" s="711">
        <v>1087368.57</v>
      </c>
      <c r="K10" s="711">
        <v>9769.08</v>
      </c>
      <c r="L10" s="711">
        <v>0</v>
      </c>
    </row>
    <row r="11" spans="1:12">
      <c r="A11" s="368">
        <v>5</v>
      </c>
      <c r="B11" s="383" t="s">
        <v>402</v>
      </c>
      <c r="C11" s="709">
        <f t="shared" si="0"/>
        <v>47942757.639999993</v>
      </c>
      <c r="D11" s="684">
        <v>47050751.329999998</v>
      </c>
      <c r="E11" s="684">
        <v>828524.9</v>
      </c>
      <c r="F11" s="711">
        <v>63481.41</v>
      </c>
      <c r="G11" s="711">
        <v>0</v>
      </c>
      <c r="H11" s="695">
        <f t="shared" si="1"/>
        <v>273710.47000000003</v>
      </c>
      <c r="I11" s="711">
        <v>166787.63</v>
      </c>
      <c r="J11" s="711">
        <v>67004.88</v>
      </c>
      <c r="K11" s="711">
        <v>39917.96</v>
      </c>
      <c r="L11" s="711">
        <v>0</v>
      </c>
    </row>
    <row r="12" spans="1:12">
      <c r="A12" s="368">
        <v>6</v>
      </c>
      <c r="B12" s="383" t="s">
        <v>403</v>
      </c>
      <c r="C12" s="709">
        <f t="shared" si="0"/>
        <v>13824616.550000001</v>
      </c>
      <c r="D12" s="684">
        <v>12994644.060000001</v>
      </c>
      <c r="E12" s="684">
        <v>618987.49</v>
      </c>
      <c r="F12" s="711">
        <v>210985</v>
      </c>
      <c r="G12" s="711">
        <v>0</v>
      </c>
      <c r="H12" s="695">
        <f t="shared" si="1"/>
        <v>353438.03</v>
      </c>
      <c r="I12" s="711">
        <v>77533.84</v>
      </c>
      <c r="J12" s="711">
        <v>119424.73</v>
      </c>
      <c r="K12" s="711">
        <v>156479.46</v>
      </c>
      <c r="L12" s="711">
        <v>0</v>
      </c>
    </row>
    <row r="13" spans="1:12">
      <c r="A13" s="368">
        <v>7</v>
      </c>
      <c r="B13" s="383" t="s">
        <v>404</v>
      </c>
      <c r="C13" s="709">
        <f t="shared" si="0"/>
        <v>4953875.8900000006</v>
      </c>
      <c r="D13" s="684">
        <v>4531631.83</v>
      </c>
      <c r="E13" s="684">
        <v>372480.74</v>
      </c>
      <c r="F13" s="711">
        <v>49763.32</v>
      </c>
      <c r="G13" s="711">
        <v>0</v>
      </c>
      <c r="H13" s="695">
        <f t="shared" si="1"/>
        <v>140195.1</v>
      </c>
      <c r="I13" s="711">
        <v>34820.31</v>
      </c>
      <c r="J13" s="711">
        <v>64321.16</v>
      </c>
      <c r="K13" s="711">
        <v>41053.629999999997</v>
      </c>
      <c r="L13" s="711">
        <v>0</v>
      </c>
    </row>
    <row r="14" spans="1:12">
      <c r="A14" s="368">
        <v>8</v>
      </c>
      <c r="B14" s="383" t="s">
        <v>405</v>
      </c>
      <c r="C14" s="709">
        <f t="shared" si="0"/>
        <v>203596468.53</v>
      </c>
      <c r="D14" s="684">
        <v>194498662.09</v>
      </c>
      <c r="E14" s="684">
        <v>7816107.5199999996</v>
      </c>
      <c r="F14" s="711">
        <v>1276340.8500000001</v>
      </c>
      <c r="G14" s="711">
        <v>5358.07</v>
      </c>
      <c r="H14" s="695">
        <f t="shared" si="1"/>
        <v>3987065.76</v>
      </c>
      <c r="I14" s="711">
        <v>1434220.2</v>
      </c>
      <c r="J14" s="711">
        <v>1536623.49</v>
      </c>
      <c r="K14" s="711">
        <v>1016158.02</v>
      </c>
      <c r="L14" s="711">
        <v>64.05</v>
      </c>
    </row>
    <row r="15" spans="1:12">
      <c r="A15" s="368">
        <v>9</v>
      </c>
      <c r="B15" s="383" t="s">
        <v>406</v>
      </c>
      <c r="C15" s="709">
        <f t="shared" si="0"/>
        <v>37830765.130000003</v>
      </c>
      <c r="D15" s="684">
        <v>36272568.979999997</v>
      </c>
      <c r="E15" s="684">
        <v>1327741.77</v>
      </c>
      <c r="F15" s="711">
        <v>230454.38</v>
      </c>
      <c r="G15" s="711">
        <v>0</v>
      </c>
      <c r="H15" s="695">
        <f t="shared" si="1"/>
        <v>780208.08</v>
      </c>
      <c r="I15" s="711">
        <v>300803.51</v>
      </c>
      <c r="J15" s="711">
        <v>290225.99</v>
      </c>
      <c r="K15" s="711">
        <v>189178.58</v>
      </c>
      <c r="L15" s="711">
        <v>0</v>
      </c>
    </row>
    <row r="16" spans="1:12">
      <c r="A16" s="368">
        <v>10</v>
      </c>
      <c r="B16" s="383" t="s">
        <v>407</v>
      </c>
      <c r="C16" s="709">
        <f t="shared" si="0"/>
        <v>19122080.090000004</v>
      </c>
      <c r="D16" s="684">
        <v>15588735.4</v>
      </c>
      <c r="E16" s="684">
        <v>3412809.41</v>
      </c>
      <c r="F16" s="711">
        <v>120535.28</v>
      </c>
      <c r="G16" s="711">
        <v>0</v>
      </c>
      <c r="H16" s="695">
        <f t="shared" si="1"/>
        <v>1063849</v>
      </c>
      <c r="I16" s="711">
        <v>121821.95</v>
      </c>
      <c r="J16" s="711">
        <v>842992.97</v>
      </c>
      <c r="K16" s="711">
        <v>99034.08</v>
      </c>
      <c r="L16" s="711">
        <v>0</v>
      </c>
    </row>
    <row r="17" spans="1:12">
      <c r="A17" s="368">
        <v>11</v>
      </c>
      <c r="B17" s="383" t="s">
        <v>408</v>
      </c>
      <c r="C17" s="709">
        <f t="shared" si="0"/>
        <v>8564458.9799999986</v>
      </c>
      <c r="D17" s="684">
        <v>8149878.0700000003</v>
      </c>
      <c r="E17" s="684">
        <v>379602.79</v>
      </c>
      <c r="F17" s="711">
        <v>30562.76</v>
      </c>
      <c r="G17" s="711">
        <v>4415.3599999999997</v>
      </c>
      <c r="H17" s="695">
        <f t="shared" si="1"/>
        <v>189347.02</v>
      </c>
      <c r="I17" s="711">
        <v>82742.289999999994</v>
      </c>
      <c r="J17" s="711">
        <v>81137.94</v>
      </c>
      <c r="K17" s="711">
        <v>25414.01</v>
      </c>
      <c r="L17" s="711">
        <v>52.78</v>
      </c>
    </row>
    <row r="18" spans="1:12">
      <c r="A18" s="368">
        <v>12</v>
      </c>
      <c r="B18" s="383" t="s">
        <v>409</v>
      </c>
      <c r="C18" s="709">
        <f t="shared" si="0"/>
        <v>148582907.83000001</v>
      </c>
      <c r="D18" s="684">
        <v>142736383.87</v>
      </c>
      <c r="E18" s="684">
        <v>4761825.24</v>
      </c>
      <c r="F18" s="711">
        <v>1084698.72</v>
      </c>
      <c r="G18" s="711">
        <v>0</v>
      </c>
      <c r="H18" s="695">
        <f t="shared" si="1"/>
        <v>2873613.74</v>
      </c>
      <c r="I18" s="711">
        <v>1035998.94</v>
      </c>
      <c r="J18" s="711">
        <v>944554.3</v>
      </c>
      <c r="K18" s="711">
        <v>893060.5</v>
      </c>
      <c r="L18" s="711">
        <v>0</v>
      </c>
    </row>
    <row r="19" spans="1:12">
      <c r="A19" s="368">
        <v>13</v>
      </c>
      <c r="B19" s="383" t="s">
        <v>410</v>
      </c>
      <c r="C19" s="709">
        <f t="shared" si="0"/>
        <v>26630551.039999999</v>
      </c>
      <c r="D19" s="684">
        <v>25154094.09</v>
      </c>
      <c r="E19" s="684">
        <v>1263883.3600000001</v>
      </c>
      <c r="F19" s="711">
        <v>212573.59</v>
      </c>
      <c r="G19" s="711">
        <v>0</v>
      </c>
      <c r="H19" s="695">
        <f t="shared" si="1"/>
        <v>687047.94000000006</v>
      </c>
      <c r="I19" s="711">
        <v>197061.19</v>
      </c>
      <c r="J19" s="711">
        <v>321548.33</v>
      </c>
      <c r="K19" s="711">
        <v>168438.42</v>
      </c>
      <c r="L19" s="711">
        <v>0</v>
      </c>
    </row>
    <row r="20" spans="1:12">
      <c r="A20" s="368">
        <v>14</v>
      </c>
      <c r="B20" s="383" t="s">
        <v>411</v>
      </c>
      <c r="C20" s="709">
        <f t="shared" si="0"/>
        <v>84016619.86999999</v>
      </c>
      <c r="D20" s="684">
        <v>78412561.909999996</v>
      </c>
      <c r="E20" s="684">
        <v>5503799.6100000003</v>
      </c>
      <c r="F20" s="711">
        <v>100258.35</v>
      </c>
      <c r="G20" s="711">
        <v>0</v>
      </c>
      <c r="H20" s="695">
        <f t="shared" si="1"/>
        <v>1179323.26</v>
      </c>
      <c r="I20" s="711">
        <v>359377.27</v>
      </c>
      <c r="J20" s="711">
        <v>738752.06</v>
      </c>
      <c r="K20" s="711">
        <v>81193.929999999993</v>
      </c>
      <c r="L20" s="711">
        <v>0</v>
      </c>
    </row>
    <row r="21" spans="1:12">
      <c r="A21" s="368">
        <v>15</v>
      </c>
      <c r="B21" s="383" t="s">
        <v>412</v>
      </c>
      <c r="C21" s="709">
        <f t="shared" si="0"/>
        <v>59177814.450000003</v>
      </c>
      <c r="D21" s="684">
        <v>56194381.07</v>
      </c>
      <c r="E21" s="684">
        <v>2381952.6</v>
      </c>
      <c r="F21" s="711">
        <v>601480.78</v>
      </c>
      <c r="G21" s="711">
        <v>0</v>
      </c>
      <c r="H21" s="695">
        <f t="shared" si="1"/>
        <v>1380637.56</v>
      </c>
      <c r="I21" s="711">
        <v>483207.88</v>
      </c>
      <c r="J21" s="711">
        <v>405716.02</v>
      </c>
      <c r="K21" s="711">
        <v>491713.66</v>
      </c>
      <c r="L21" s="711">
        <v>0</v>
      </c>
    </row>
    <row r="22" spans="1:12">
      <c r="A22" s="368">
        <v>16</v>
      </c>
      <c r="B22" s="383" t="s">
        <v>413</v>
      </c>
      <c r="C22" s="709">
        <f t="shared" si="0"/>
        <v>15592265.74</v>
      </c>
      <c r="D22" s="684">
        <v>14049590.92</v>
      </c>
      <c r="E22" s="684">
        <v>1472237</v>
      </c>
      <c r="F22" s="711">
        <v>70437.820000000007</v>
      </c>
      <c r="G22" s="711">
        <v>0</v>
      </c>
      <c r="H22" s="695">
        <f t="shared" si="1"/>
        <v>386561.02</v>
      </c>
      <c r="I22" s="711">
        <v>106841.84</v>
      </c>
      <c r="J22" s="711">
        <v>221759.22</v>
      </c>
      <c r="K22" s="711">
        <v>57959.96</v>
      </c>
      <c r="L22" s="711">
        <v>0</v>
      </c>
    </row>
    <row r="23" spans="1:12">
      <c r="A23" s="368">
        <v>17</v>
      </c>
      <c r="B23" s="383" t="s">
        <v>491</v>
      </c>
      <c r="C23" s="709">
        <f t="shared" si="0"/>
        <v>923519.21</v>
      </c>
      <c r="D23" s="684">
        <v>902226.47</v>
      </c>
      <c r="E23" s="684">
        <v>21102.78</v>
      </c>
      <c r="F23" s="711">
        <v>189.96</v>
      </c>
      <c r="G23" s="711">
        <v>0</v>
      </c>
      <c r="H23" s="695">
        <f t="shared" si="1"/>
        <v>15006.78</v>
      </c>
      <c r="I23" s="711">
        <v>10742.14</v>
      </c>
      <c r="J23" s="711">
        <v>4110.5200000000004</v>
      </c>
      <c r="K23" s="711">
        <v>154.12</v>
      </c>
      <c r="L23" s="711">
        <v>0</v>
      </c>
    </row>
    <row r="24" spans="1:12">
      <c r="A24" s="368">
        <v>18</v>
      </c>
      <c r="B24" s="383" t="s">
        <v>414</v>
      </c>
      <c r="C24" s="709">
        <f t="shared" si="0"/>
        <v>4609658.29</v>
      </c>
      <c r="D24" s="684">
        <v>4476937.24</v>
      </c>
      <c r="E24" s="684">
        <v>113798.72</v>
      </c>
      <c r="F24" s="711">
        <v>18922.330000000002</v>
      </c>
      <c r="G24" s="711">
        <v>0</v>
      </c>
      <c r="H24" s="695">
        <f t="shared" si="1"/>
        <v>83487.37</v>
      </c>
      <c r="I24" s="711">
        <v>47172.92</v>
      </c>
      <c r="J24" s="711">
        <v>20769.59</v>
      </c>
      <c r="K24" s="711">
        <v>15544.86</v>
      </c>
      <c r="L24" s="711">
        <v>0</v>
      </c>
    </row>
    <row r="25" spans="1:12">
      <c r="A25" s="368">
        <v>19</v>
      </c>
      <c r="B25" s="383" t="s">
        <v>415</v>
      </c>
      <c r="C25" s="709">
        <f t="shared" si="0"/>
        <v>8568893.75</v>
      </c>
      <c r="D25" s="684">
        <v>8315082.2000000002</v>
      </c>
      <c r="E25" s="684">
        <v>135315.4</v>
      </c>
      <c r="F25" s="711">
        <v>118496.15</v>
      </c>
      <c r="G25" s="711">
        <v>0</v>
      </c>
      <c r="H25" s="695">
        <f t="shared" si="1"/>
        <v>184628.25</v>
      </c>
      <c r="I25" s="711">
        <v>68158.83</v>
      </c>
      <c r="J25" s="711">
        <v>28059.46</v>
      </c>
      <c r="K25" s="711">
        <v>88409.96</v>
      </c>
      <c r="L25" s="711">
        <v>0</v>
      </c>
    </row>
    <row r="26" spans="1:12">
      <c r="A26" s="368">
        <v>20</v>
      </c>
      <c r="B26" s="383" t="s">
        <v>490</v>
      </c>
      <c r="C26" s="709">
        <f t="shared" si="0"/>
        <v>21710912.899999999</v>
      </c>
      <c r="D26" s="684">
        <v>21415406.989999998</v>
      </c>
      <c r="E26" s="684">
        <v>260718.59</v>
      </c>
      <c r="F26" s="711">
        <v>34787.32</v>
      </c>
      <c r="G26" s="711">
        <v>0</v>
      </c>
      <c r="H26" s="695">
        <f t="shared" si="1"/>
        <v>219584.40999999997</v>
      </c>
      <c r="I26" s="711">
        <v>142797.51999999999</v>
      </c>
      <c r="J26" s="711">
        <v>48283.83</v>
      </c>
      <c r="K26" s="711">
        <v>28503.06</v>
      </c>
      <c r="L26" s="711">
        <v>0</v>
      </c>
    </row>
    <row r="27" spans="1:12">
      <c r="A27" s="368">
        <v>21</v>
      </c>
      <c r="B27" s="383" t="s">
        <v>416</v>
      </c>
      <c r="C27" s="709">
        <f t="shared" si="0"/>
        <v>2766440.4499999997</v>
      </c>
      <c r="D27" s="684">
        <v>2734446.32</v>
      </c>
      <c r="E27" s="684">
        <v>30602.38</v>
      </c>
      <c r="F27" s="711">
        <v>1391.75</v>
      </c>
      <c r="G27" s="711">
        <v>0</v>
      </c>
      <c r="H27" s="695">
        <f t="shared" si="1"/>
        <v>24401.16</v>
      </c>
      <c r="I27" s="711">
        <v>19293.64</v>
      </c>
      <c r="J27" s="711">
        <v>3978.37</v>
      </c>
      <c r="K27" s="711">
        <v>1129.1500000000001</v>
      </c>
      <c r="L27" s="711">
        <v>0</v>
      </c>
    </row>
    <row r="28" spans="1:12">
      <c r="A28" s="368">
        <v>22</v>
      </c>
      <c r="B28" s="383" t="s">
        <v>417</v>
      </c>
      <c r="C28" s="709">
        <f t="shared" si="0"/>
        <v>1490088.51</v>
      </c>
      <c r="D28" s="684">
        <v>1444941.05</v>
      </c>
      <c r="E28" s="684">
        <v>38726.879999999997</v>
      </c>
      <c r="F28" s="711">
        <v>6420.58</v>
      </c>
      <c r="G28" s="711">
        <v>0</v>
      </c>
      <c r="H28" s="695">
        <f t="shared" si="1"/>
        <v>24591.79</v>
      </c>
      <c r="I28" s="711">
        <v>9122.5499999999993</v>
      </c>
      <c r="J28" s="711">
        <v>10085.379999999999</v>
      </c>
      <c r="K28" s="711">
        <v>5383.86</v>
      </c>
      <c r="L28" s="711">
        <v>0</v>
      </c>
    </row>
    <row r="29" spans="1:12">
      <c r="A29" s="368">
        <v>23</v>
      </c>
      <c r="B29" s="383" t="s">
        <v>418</v>
      </c>
      <c r="C29" s="709">
        <f t="shared" si="0"/>
        <v>675027177.16000009</v>
      </c>
      <c r="D29" s="684">
        <v>637078044.34000003</v>
      </c>
      <c r="E29" s="684">
        <v>30162142.690000001</v>
      </c>
      <c r="F29" s="711">
        <v>7765248.0099999998</v>
      </c>
      <c r="G29" s="711">
        <v>21742.12</v>
      </c>
      <c r="H29" s="695">
        <f t="shared" si="1"/>
        <v>18826165.620000001</v>
      </c>
      <c r="I29" s="711">
        <v>6043359.7000000002</v>
      </c>
      <c r="J29" s="711">
        <v>6593146.3200000003</v>
      </c>
      <c r="K29" s="711">
        <v>6187920.1600000001</v>
      </c>
      <c r="L29" s="711">
        <v>1739.44</v>
      </c>
    </row>
    <row r="30" spans="1:12">
      <c r="A30" s="368">
        <v>24</v>
      </c>
      <c r="B30" s="383" t="s">
        <v>489</v>
      </c>
      <c r="C30" s="709">
        <f t="shared" si="0"/>
        <v>1044321008.41</v>
      </c>
      <c r="D30" s="684">
        <v>990993819.61000001</v>
      </c>
      <c r="E30" s="684">
        <v>44364026.770000003</v>
      </c>
      <c r="F30" s="711">
        <v>8963162.0299999993</v>
      </c>
      <c r="G30" s="711">
        <v>0</v>
      </c>
      <c r="H30" s="695">
        <f t="shared" si="1"/>
        <v>25119787.960000001</v>
      </c>
      <c r="I30" s="711">
        <v>8858304.75</v>
      </c>
      <c r="J30" s="711">
        <v>8950874.7300000004</v>
      </c>
      <c r="K30" s="711">
        <v>7310608.4800000004</v>
      </c>
      <c r="L30" s="711">
        <v>0</v>
      </c>
    </row>
    <row r="31" spans="1:12">
      <c r="A31" s="368">
        <v>25</v>
      </c>
      <c r="B31" s="383" t="s">
        <v>419</v>
      </c>
      <c r="C31" s="709">
        <f t="shared" si="0"/>
        <v>301349385.98000002</v>
      </c>
      <c r="D31" s="684">
        <v>289123144.51999998</v>
      </c>
      <c r="E31" s="684">
        <v>8566839.3800000008</v>
      </c>
      <c r="F31" s="711">
        <v>3654689.97</v>
      </c>
      <c r="G31" s="711">
        <v>4712.1099999999997</v>
      </c>
      <c r="H31" s="695">
        <f t="shared" si="1"/>
        <v>7348061.9500000002</v>
      </c>
      <c r="I31" s="711">
        <v>2576302.11</v>
      </c>
      <c r="J31" s="711">
        <v>1995231.97</v>
      </c>
      <c r="K31" s="711">
        <v>2776471.54</v>
      </c>
      <c r="L31" s="711">
        <v>56.33</v>
      </c>
    </row>
    <row r="32" spans="1:12">
      <c r="A32" s="368">
        <v>26</v>
      </c>
      <c r="B32" s="383" t="s">
        <v>486</v>
      </c>
      <c r="C32" s="709">
        <f t="shared" si="0"/>
        <v>88236805.540000007</v>
      </c>
      <c r="D32" s="684">
        <v>83509580.950000003</v>
      </c>
      <c r="E32" s="684">
        <v>3640520.93</v>
      </c>
      <c r="F32" s="711">
        <v>1086703.6599999999</v>
      </c>
      <c r="G32" s="711">
        <v>0</v>
      </c>
      <c r="H32" s="695">
        <f t="shared" si="1"/>
        <v>2549911.08</v>
      </c>
      <c r="I32" s="711">
        <v>899620.24</v>
      </c>
      <c r="J32" s="711">
        <v>775695.15</v>
      </c>
      <c r="K32" s="711">
        <v>874595.69</v>
      </c>
      <c r="L32" s="711">
        <v>0</v>
      </c>
    </row>
    <row r="33" spans="1:12">
      <c r="A33" s="368">
        <v>27</v>
      </c>
      <c r="B33" s="426" t="s">
        <v>65</v>
      </c>
      <c r="C33" s="709">
        <f>SUM(C7:C32)</f>
        <v>2926629569.1400003</v>
      </c>
      <c r="D33" s="709">
        <f t="shared" ref="D33:G33" si="2">SUM(D7:D32)</f>
        <v>2779464547.8800001</v>
      </c>
      <c r="E33" s="709">
        <f t="shared" si="2"/>
        <v>121147175.83000001</v>
      </c>
      <c r="F33" s="709">
        <f t="shared" si="2"/>
        <v>25981617.77</v>
      </c>
      <c r="G33" s="709">
        <f t="shared" si="2"/>
        <v>36227.659999999996</v>
      </c>
      <c r="H33" s="695">
        <f>SUM(H7:H32)</f>
        <v>69813170.839999989</v>
      </c>
      <c r="I33" s="695">
        <f t="shared" ref="I33:L33" si="3">SUM(I7:I32)</f>
        <v>23649515.229999997</v>
      </c>
      <c r="J33" s="695">
        <f t="shared" si="3"/>
        <v>25399895.849999994</v>
      </c>
      <c r="K33" s="695">
        <f t="shared" si="3"/>
        <v>20761847.16</v>
      </c>
      <c r="L33" s="695">
        <f t="shared" si="3"/>
        <v>1912.6</v>
      </c>
    </row>
    <row r="35" spans="1:12">
      <c r="B35" s="425"/>
      <c r="C35" s="425"/>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J23" sqref="J23"/>
    </sheetView>
  </sheetViews>
  <sheetFormatPr defaultColWidth="8.77734375" defaultRowHeight="12"/>
  <cols>
    <col min="1" max="1" width="11.77734375" style="427" bestFit="1" customWidth="1"/>
    <col min="2" max="2" width="68.77734375" style="427" customWidth="1"/>
    <col min="3" max="11" width="28.21875" style="427" customWidth="1"/>
    <col min="12" max="16384" width="8.77734375" style="427"/>
  </cols>
  <sheetData>
    <row r="1" spans="1:11" s="379" customFormat="1" ht="13.8">
      <c r="A1" s="298" t="s">
        <v>31</v>
      </c>
      <c r="B1" s="365" t="str">
        <f>'Info '!C2</f>
        <v>JSC "CREDOBANK"</v>
      </c>
    </row>
    <row r="2" spans="1:11" s="379" customFormat="1">
      <c r="A2" s="298" t="s">
        <v>32</v>
      </c>
      <c r="B2" s="364">
        <f>'1. key ratios '!B2</f>
        <v>45930</v>
      </c>
    </row>
    <row r="3" spans="1:11" s="379" customFormat="1">
      <c r="A3" s="299" t="s">
        <v>469</v>
      </c>
    </row>
    <row r="4" spans="1:11">
      <c r="C4" s="430" t="s">
        <v>663</v>
      </c>
      <c r="D4" s="430" t="s">
        <v>662</v>
      </c>
      <c r="E4" s="430" t="s">
        <v>661</v>
      </c>
      <c r="F4" s="430" t="s">
        <v>660</v>
      </c>
      <c r="G4" s="430" t="s">
        <v>659</v>
      </c>
      <c r="H4" s="430" t="s">
        <v>658</v>
      </c>
      <c r="I4" s="430" t="s">
        <v>657</v>
      </c>
      <c r="J4" s="430" t="s">
        <v>656</v>
      </c>
      <c r="K4" s="430" t="s">
        <v>655</v>
      </c>
    </row>
    <row r="5" spans="1:11" ht="103.95" customHeight="1">
      <c r="A5" s="836" t="s">
        <v>654</v>
      </c>
      <c r="B5" s="837"/>
      <c r="C5" s="429" t="s">
        <v>470</v>
      </c>
      <c r="D5" s="429" t="s">
        <v>471</v>
      </c>
      <c r="E5" s="429" t="s">
        <v>472</v>
      </c>
      <c r="F5" s="429" t="s">
        <v>473</v>
      </c>
      <c r="G5" s="429" t="s">
        <v>474</v>
      </c>
      <c r="H5" s="429" t="s">
        <v>475</v>
      </c>
      <c r="I5" s="429" t="s">
        <v>476</v>
      </c>
      <c r="J5" s="429" t="s">
        <v>477</v>
      </c>
      <c r="K5" s="429" t="s">
        <v>478</v>
      </c>
    </row>
    <row r="6" spans="1:11">
      <c r="A6" s="368">
        <v>1</v>
      </c>
      <c r="B6" s="368" t="s">
        <v>438</v>
      </c>
      <c r="C6" s="684">
        <v>7474271.0283387639</v>
      </c>
      <c r="D6" s="684">
        <v>56247.609988853183</v>
      </c>
      <c r="E6" s="684"/>
      <c r="F6" s="684"/>
      <c r="G6" s="684">
        <v>1025847184.0836172</v>
      </c>
      <c r="H6" s="684"/>
      <c r="I6" s="684">
        <v>119669146.78965607</v>
      </c>
      <c r="J6" s="684">
        <v>316465676.3438465</v>
      </c>
      <c r="K6" s="684">
        <v>1457117043.2884042</v>
      </c>
    </row>
    <row r="7" spans="1:11">
      <c r="A7" s="368">
        <v>2</v>
      </c>
      <c r="B7" s="368" t="s">
        <v>479</v>
      </c>
      <c r="C7" s="684"/>
      <c r="D7" s="684"/>
      <c r="E7" s="684"/>
      <c r="F7" s="684"/>
      <c r="G7" s="684"/>
      <c r="H7" s="684"/>
      <c r="I7" s="684"/>
      <c r="J7" s="684"/>
      <c r="K7" s="684"/>
    </row>
    <row r="8" spans="1:11">
      <c r="A8" s="368">
        <v>3</v>
      </c>
      <c r="B8" s="368" t="s">
        <v>446</v>
      </c>
      <c r="C8" s="684">
        <v>2750104.334633322</v>
      </c>
      <c r="D8" s="684">
        <v>0</v>
      </c>
      <c r="E8" s="684"/>
      <c r="F8" s="684"/>
      <c r="G8" s="684">
        <v>23348370.091227502</v>
      </c>
      <c r="H8" s="684"/>
      <c r="I8" s="684">
        <v>348695.986180662</v>
      </c>
      <c r="J8" s="684">
        <v>13478018.34631234</v>
      </c>
      <c r="K8" s="684">
        <v>377428170.9016462</v>
      </c>
    </row>
    <row r="9" spans="1:11">
      <c r="A9" s="368">
        <v>4</v>
      </c>
      <c r="B9" s="388" t="s">
        <v>480</v>
      </c>
      <c r="C9" s="712">
        <v>1029.5104877826</v>
      </c>
      <c r="D9" s="712">
        <v>0</v>
      </c>
      <c r="E9" s="712"/>
      <c r="F9" s="712"/>
      <c r="G9" s="712">
        <v>1638159.2097785005</v>
      </c>
      <c r="H9" s="712"/>
      <c r="I9" s="712">
        <v>2142395.1910679704</v>
      </c>
      <c r="J9" s="712">
        <v>2398131.4502361007</v>
      </c>
      <c r="K9" s="712">
        <v>19838130.08649217</v>
      </c>
    </row>
    <row r="10" spans="1:11">
      <c r="A10" s="368">
        <v>5</v>
      </c>
      <c r="B10" s="388" t="s">
        <v>481</v>
      </c>
      <c r="C10" s="712"/>
      <c r="D10" s="712"/>
      <c r="E10" s="712"/>
      <c r="F10" s="712"/>
      <c r="G10" s="712"/>
      <c r="H10" s="712"/>
      <c r="I10" s="712"/>
      <c r="J10" s="712"/>
      <c r="K10" s="712"/>
    </row>
    <row r="11" spans="1:11">
      <c r="A11" s="368">
        <v>6</v>
      </c>
      <c r="B11" s="388" t="s">
        <v>482</v>
      </c>
      <c r="C11" s="712"/>
      <c r="D11" s="712"/>
      <c r="E11" s="712"/>
      <c r="F11" s="712"/>
      <c r="G11" s="712"/>
      <c r="H11" s="712"/>
      <c r="I11" s="712"/>
      <c r="J11" s="712"/>
      <c r="K11" s="712"/>
    </row>
    <row r="13" spans="1:11" ht="13.8">
      <c r="B13" s="428"/>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M14" sqref="M14"/>
    </sheetView>
  </sheetViews>
  <sheetFormatPr defaultColWidth="8.77734375" defaultRowHeight="14.4"/>
  <cols>
    <col min="1" max="1" width="10" style="431" bestFit="1" customWidth="1"/>
    <col min="2" max="2" width="71.77734375" style="431" customWidth="1"/>
    <col min="3" max="3" width="11.6640625" style="431" bestFit="1" customWidth="1"/>
    <col min="4" max="7" width="15.5546875" style="431" customWidth="1"/>
    <col min="8" max="8" width="11.6640625" style="431" bestFit="1" customWidth="1"/>
    <col min="9" max="12" width="17.21875" style="431" customWidth="1"/>
    <col min="13" max="13" width="10.6640625" style="431" bestFit="1" customWidth="1"/>
    <col min="14" max="17" width="16.21875" style="431" customWidth="1"/>
    <col min="18" max="18" width="12.21875" style="431" bestFit="1" customWidth="1"/>
    <col min="19" max="19" width="46.88671875" style="431" bestFit="1" customWidth="1"/>
    <col min="20" max="20" width="43.44140625" style="431" bestFit="1" customWidth="1"/>
    <col min="21" max="21" width="45.88671875" style="431" bestFit="1" customWidth="1"/>
    <col min="22" max="22" width="43.33203125" style="431" bestFit="1" customWidth="1"/>
    <col min="23" max="16384" width="8.77734375" style="431"/>
  </cols>
  <sheetData>
    <row r="1" spans="1:22">
      <c r="A1" s="298" t="s">
        <v>31</v>
      </c>
      <c r="B1" s="365" t="str">
        <f>'Info '!C2</f>
        <v>JSC "CREDOBANK"</v>
      </c>
    </row>
    <row r="2" spans="1:22">
      <c r="A2" s="298" t="s">
        <v>32</v>
      </c>
      <c r="B2" s="364">
        <f>'1. key ratios '!B2</f>
        <v>45930</v>
      </c>
    </row>
    <row r="3" spans="1:22">
      <c r="A3" s="299" t="s">
        <v>497</v>
      </c>
      <c r="B3" s="379"/>
    </row>
    <row r="4" spans="1:22">
      <c r="A4" s="299"/>
      <c r="B4" s="379"/>
    </row>
    <row r="5" spans="1:22" ht="24" customHeight="1">
      <c r="A5" s="838" t="s">
        <v>498</v>
      </c>
      <c r="B5" s="839"/>
      <c r="C5" s="843" t="s">
        <v>664</v>
      </c>
      <c r="D5" s="843"/>
      <c r="E5" s="843"/>
      <c r="F5" s="843"/>
      <c r="G5" s="843"/>
      <c r="H5" s="843" t="s">
        <v>516</v>
      </c>
      <c r="I5" s="843"/>
      <c r="J5" s="843"/>
      <c r="K5" s="843"/>
      <c r="L5" s="843"/>
      <c r="M5" s="843" t="s">
        <v>628</v>
      </c>
      <c r="N5" s="843"/>
      <c r="O5" s="843"/>
      <c r="P5" s="843"/>
      <c r="Q5" s="843"/>
      <c r="R5" s="842" t="s">
        <v>499</v>
      </c>
      <c r="S5" s="842" t="s">
        <v>513</v>
      </c>
      <c r="T5" s="842" t="s">
        <v>514</v>
      </c>
      <c r="U5" s="842" t="s">
        <v>672</v>
      </c>
      <c r="V5" s="842" t="s">
        <v>673</v>
      </c>
    </row>
    <row r="6" spans="1:22" ht="36" customHeight="1">
      <c r="A6" s="840"/>
      <c r="B6" s="841"/>
      <c r="C6" s="440"/>
      <c r="D6" s="377" t="s">
        <v>649</v>
      </c>
      <c r="E6" s="377" t="s">
        <v>648</v>
      </c>
      <c r="F6" s="377" t="s">
        <v>647</v>
      </c>
      <c r="G6" s="377" t="s">
        <v>646</v>
      </c>
      <c r="H6" s="440"/>
      <c r="I6" s="377" t="s">
        <v>649</v>
      </c>
      <c r="J6" s="377" t="s">
        <v>648</v>
      </c>
      <c r="K6" s="377" t="s">
        <v>647</v>
      </c>
      <c r="L6" s="377" t="s">
        <v>646</v>
      </c>
      <c r="M6" s="440"/>
      <c r="N6" s="377" t="s">
        <v>649</v>
      </c>
      <c r="O6" s="377" t="s">
        <v>648</v>
      </c>
      <c r="P6" s="377" t="s">
        <v>647</v>
      </c>
      <c r="Q6" s="377" t="s">
        <v>646</v>
      </c>
      <c r="R6" s="842"/>
      <c r="S6" s="842"/>
      <c r="T6" s="842"/>
      <c r="U6" s="842"/>
      <c r="V6" s="842"/>
    </row>
    <row r="7" spans="1:22">
      <c r="A7" s="435">
        <v>1</v>
      </c>
      <c r="B7" s="439" t="s">
        <v>507</v>
      </c>
      <c r="C7" s="713">
        <f>SUM(D7:G7)</f>
        <v>28072968.399099886</v>
      </c>
      <c r="D7" s="712">
        <v>26668896.809099887</v>
      </c>
      <c r="E7" s="712">
        <v>757418.80000000028</v>
      </c>
      <c r="F7" s="712">
        <v>625309.15999999992</v>
      </c>
      <c r="G7" s="712">
        <v>21343.63</v>
      </c>
      <c r="H7" s="713">
        <f>SUM(I7:L7)</f>
        <v>28741561.302367784</v>
      </c>
      <c r="I7" s="712">
        <v>27108941.150005355</v>
      </c>
      <c r="J7" s="712">
        <v>795926.56613915833</v>
      </c>
      <c r="K7" s="712">
        <v>814951.46572928701</v>
      </c>
      <c r="L7" s="712">
        <v>21742.120493981802</v>
      </c>
      <c r="M7" s="713">
        <f>SUM(N7:Q7)</f>
        <v>1199497.5074572456</v>
      </c>
      <c r="N7" s="712">
        <v>334082.518749204</v>
      </c>
      <c r="O7" s="712">
        <v>282555.46617336106</v>
      </c>
      <c r="P7" s="712">
        <v>581120.0843658041</v>
      </c>
      <c r="Q7" s="712">
        <v>1739.4381688764299</v>
      </c>
      <c r="R7" s="712">
        <v>26830</v>
      </c>
      <c r="S7" s="714">
        <v>0.20610000000000001</v>
      </c>
      <c r="T7" s="714">
        <v>0.30380299999999999</v>
      </c>
      <c r="U7" s="714">
        <v>0.23</v>
      </c>
      <c r="V7" s="715">
        <v>33.960700000000003</v>
      </c>
    </row>
    <row r="8" spans="1:22">
      <c r="A8" s="435">
        <v>2</v>
      </c>
      <c r="B8" s="438" t="s">
        <v>506</v>
      </c>
      <c r="C8" s="713">
        <f t="shared" ref="C8:C18" si="0">SUM(D8:G8)</f>
        <v>1145473927.4004831</v>
      </c>
      <c r="D8" s="712">
        <v>1058239749.3217833</v>
      </c>
      <c r="E8" s="712">
        <v>75700860.698699936</v>
      </c>
      <c r="F8" s="712">
        <v>11533317.379999988</v>
      </c>
      <c r="G8" s="712">
        <v>0</v>
      </c>
      <c r="H8" s="713">
        <f t="shared" ref="H8:H18" si="1">SUM(I8:L8)</f>
        <v>1137703511.6925607</v>
      </c>
      <c r="I8" s="712">
        <v>1052106161.8922617</v>
      </c>
      <c r="J8" s="712">
        <v>72657841.309566185</v>
      </c>
      <c r="K8" s="712">
        <v>12939508.490732582</v>
      </c>
      <c r="L8" s="712">
        <v>0</v>
      </c>
      <c r="M8" s="713">
        <f t="shared" ref="M8:M18" si="2">SUM(N8:Q8)</f>
        <v>35685237.991803721</v>
      </c>
      <c r="N8" s="712">
        <v>10620513.974477246</v>
      </c>
      <c r="O8" s="712">
        <v>14576259.862557884</v>
      </c>
      <c r="P8" s="712">
        <v>10488464.15476859</v>
      </c>
      <c r="Q8" s="712">
        <v>0</v>
      </c>
      <c r="R8" s="712">
        <v>162000</v>
      </c>
      <c r="S8" s="714">
        <v>0.22109999999999999</v>
      </c>
      <c r="T8" s="714">
        <v>0.29571999999999998</v>
      </c>
      <c r="U8" s="714">
        <v>0.21</v>
      </c>
      <c r="V8" s="715">
        <v>41.674599999999998</v>
      </c>
    </row>
    <row r="9" spans="1:22">
      <c r="A9" s="435">
        <v>3</v>
      </c>
      <c r="B9" s="438" t="s">
        <v>505</v>
      </c>
      <c r="C9" s="713">
        <f t="shared" si="0"/>
        <v>0</v>
      </c>
      <c r="D9" s="712">
        <v>0</v>
      </c>
      <c r="E9" s="712">
        <v>0</v>
      </c>
      <c r="F9" s="712">
        <v>0</v>
      </c>
      <c r="G9" s="712">
        <v>0</v>
      </c>
      <c r="H9" s="713">
        <f t="shared" si="1"/>
        <v>0</v>
      </c>
      <c r="I9" s="712">
        <v>0</v>
      </c>
      <c r="J9" s="712">
        <v>0</v>
      </c>
      <c r="K9" s="712">
        <v>0</v>
      </c>
      <c r="L9" s="712">
        <v>0</v>
      </c>
      <c r="M9" s="713">
        <f t="shared" si="2"/>
        <v>0</v>
      </c>
      <c r="N9" s="712">
        <v>0</v>
      </c>
      <c r="O9" s="712">
        <v>0</v>
      </c>
      <c r="P9" s="712">
        <v>0</v>
      </c>
      <c r="Q9" s="712">
        <v>0</v>
      </c>
      <c r="R9" s="712">
        <v>0</v>
      </c>
      <c r="S9" s="714">
        <v>0</v>
      </c>
      <c r="T9" s="714">
        <v>0</v>
      </c>
      <c r="U9" s="714">
        <v>0</v>
      </c>
      <c r="V9" s="715">
        <v>0</v>
      </c>
    </row>
    <row r="10" spans="1:22">
      <c r="A10" s="435">
        <v>4</v>
      </c>
      <c r="B10" s="438" t="s">
        <v>504</v>
      </c>
      <c r="C10" s="713">
        <f t="shared" si="0"/>
        <v>269395829.51000684</v>
      </c>
      <c r="D10" s="712">
        <v>259792641.77000684</v>
      </c>
      <c r="E10" s="712">
        <v>6392311.0699999817</v>
      </c>
      <c r="F10" s="712">
        <v>3210876.6700000023</v>
      </c>
      <c r="G10" s="712">
        <v>0</v>
      </c>
      <c r="H10" s="713">
        <f t="shared" si="1"/>
        <v>291242708.57188344</v>
      </c>
      <c r="I10" s="712">
        <v>278478585.57199395</v>
      </c>
      <c r="J10" s="712">
        <v>7660282.919239128</v>
      </c>
      <c r="K10" s="712">
        <v>5103840.0806503957</v>
      </c>
      <c r="L10" s="712">
        <v>0</v>
      </c>
      <c r="M10" s="713">
        <f t="shared" si="2"/>
        <v>10250755.816018574</v>
      </c>
      <c r="N10" s="712">
        <v>3960121.0511973146</v>
      </c>
      <c r="O10" s="712">
        <v>2149820.8085784987</v>
      </c>
      <c r="P10" s="712">
        <v>4140813.9562427602</v>
      </c>
      <c r="Q10" s="712">
        <v>0</v>
      </c>
      <c r="R10" s="712">
        <v>299879</v>
      </c>
      <c r="S10" s="714">
        <v>9.6100000000000005E-2</v>
      </c>
      <c r="T10" s="714">
        <v>0.19742299999999999</v>
      </c>
      <c r="U10" s="714">
        <v>0.15</v>
      </c>
      <c r="V10" s="715">
        <v>17.448599999999999</v>
      </c>
    </row>
    <row r="11" spans="1:22">
      <c r="A11" s="435">
        <v>5</v>
      </c>
      <c r="B11" s="438" t="s">
        <v>503</v>
      </c>
      <c r="C11" s="713">
        <f t="shared" si="0"/>
        <v>1911272.6323999998</v>
      </c>
      <c r="D11" s="712">
        <v>1911272.6323999998</v>
      </c>
      <c r="E11" s="712">
        <v>0</v>
      </c>
      <c r="F11" s="712">
        <v>0</v>
      </c>
      <c r="G11" s="712">
        <v>0</v>
      </c>
      <c r="H11" s="713">
        <f t="shared" si="1"/>
        <v>1972001.8216717755</v>
      </c>
      <c r="I11" s="712">
        <v>1972001.8216717755</v>
      </c>
      <c r="J11" s="712">
        <v>0</v>
      </c>
      <c r="K11" s="712">
        <v>0</v>
      </c>
      <c r="L11" s="712">
        <v>0</v>
      </c>
      <c r="M11" s="713">
        <f t="shared" si="2"/>
        <v>5199.1270975437428</v>
      </c>
      <c r="N11" s="712">
        <v>5199.1270975437428</v>
      </c>
      <c r="O11" s="712">
        <v>0</v>
      </c>
      <c r="P11" s="712">
        <v>0</v>
      </c>
      <c r="Q11" s="712">
        <v>0</v>
      </c>
      <c r="R11" s="712">
        <v>21</v>
      </c>
      <c r="S11" s="716">
        <v>0.14149999999999999</v>
      </c>
      <c r="T11" s="716">
        <v>0.17171700000000001</v>
      </c>
      <c r="U11" s="714">
        <v>0.12</v>
      </c>
      <c r="V11" s="715">
        <v>7.5518000000000001</v>
      </c>
    </row>
    <row r="12" spans="1:22">
      <c r="A12" s="435">
        <v>6</v>
      </c>
      <c r="B12" s="438" t="s">
        <v>502</v>
      </c>
      <c r="C12" s="713">
        <f t="shared" si="0"/>
        <v>79631614.229999065</v>
      </c>
      <c r="D12" s="712">
        <v>75721408.169999063</v>
      </c>
      <c r="E12" s="712">
        <v>2159359.6400000011</v>
      </c>
      <c r="F12" s="712">
        <v>1750846.4200000002</v>
      </c>
      <c r="G12" s="712">
        <v>0</v>
      </c>
      <c r="H12" s="713">
        <f t="shared" si="1"/>
        <v>79860387.44601813</v>
      </c>
      <c r="I12" s="712">
        <v>75938030.081063598</v>
      </c>
      <c r="J12" s="712">
        <v>2166996.608883372</v>
      </c>
      <c r="K12" s="712">
        <v>1755360.7560711727</v>
      </c>
      <c r="L12" s="712">
        <v>0</v>
      </c>
      <c r="M12" s="713">
        <f t="shared" si="2"/>
        <v>3402045.8065116666</v>
      </c>
      <c r="N12" s="712">
        <v>1141726.328271939</v>
      </c>
      <c r="O12" s="712">
        <v>836171.73808284895</v>
      </c>
      <c r="P12" s="712">
        <v>1424147.740156879</v>
      </c>
      <c r="Q12" s="712">
        <v>0</v>
      </c>
      <c r="R12" s="712">
        <v>129450</v>
      </c>
      <c r="S12" s="714">
        <v>0.35</v>
      </c>
      <c r="T12" s="714">
        <v>0.40207300000000001</v>
      </c>
      <c r="U12" s="714">
        <v>0.34</v>
      </c>
      <c r="V12" s="715">
        <v>321.82400000000001</v>
      </c>
    </row>
    <row r="13" spans="1:22">
      <c r="A13" s="435">
        <v>7</v>
      </c>
      <c r="B13" s="438" t="s">
        <v>501</v>
      </c>
      <c r="C13" s="713">
        <f t="shared" si="0"/>
        <v>318206161.07990032</v>
      </c>
      <c r="D13" s="713">
        <f>SUM(D14:D16)</f>
        <v>314622236.12990034</v>
      </c>
      <c r="E13" s="713">
        <f t="shared" ref="E13:G13" si="3">SUM(E14:E16)</f>
        <v>2945372.9899999988</v>
      </c>
      <c r="F13" s="713">
        <f t="shared" si="3"/>
        <v>633207.37</v>
      </c>
      <c r="G13" s="713">
        <f t="shared" si="3"/>
        <v>5344.59</v>
      </c>
      <c r="H13" s="713">
        <f t="shared" si="1"/>
        <v>320710654.73610574</v>
      </c>
      <c r="I13" s="713">
        <f>SUM(I14:I16)</f>
        <v>317144061.29809147</v>
      </c>
      <c r="J13" s="713">
        <f t="shared" ref="J13:L13" si="4">SUM(J14:J16)</f>
        <v>2895027.4830733323</v>
      </c>
      <c r="K13" s="713">
        <f t="shared" si="4"/>
        <v>666207.88715016632</v>
      </c>
      <c r="L13" s="713">
        <f t="shared" si="4"/>
        <v>5358.0677907194204</v>
      </c>
      <c r="M13" s="713">
        <f t="shared" si="2"/>
        <v>2652387.8647195916</v>
      </c>
      <c r="N13" s="713">
        <f>SUM(N14:N16)</f>
        <v>1523285.266020481</v>
      </c>
      <c r="O13" s="713">
        <f t="shared" ref="O13:Q13" si="5">SUM(O14:O16)</f>
        <v>625378.91698210686</v>
      </c>
      <c r="P13" s="713">
        <f t="shared" si="5"/>
        <v>503659.63310716907</v>
      </c>
      <c r="Q13" s="713">
        <f t="shared" si="5"/>
        <v>64.048609834820397</v>
      </c>
      <c r="R13" s="713">
        <f>SUM(R14:R16)</f>
        <v>10788</v>
      </c>
      <c r="S13" s="714">
        <v>0.1497</v>
      </c>
      <c r="T13" s="714">
        <v>0.18234400000000001</v>
      </c>
      <c r="U13" s="714">
        <v>0.1479</v>
      </c>
      <c r="V13" s="715">
        <v>104.4512</v>
      </c>
    </row>
    <row r="14" spans="1:22">
      <c r="A14" s="433">
        <v>7.1</v>
      </c>
      <c r="B14" s="432" t="s">
        <v>510</v>
      </c>
      <c r="C14" s="713">
        <f t="shared" si="0"/>
        <v>233209246.70810041</v>
      </c>
      <c r="D14" s="712">
        <v>232722721.96810043</v>
      </c>
      <c r="E14" s="712">
        <v>275080.67000000004</v>
      </c>
      <c r="F14" s="712">
        <v>211444.07</v>
      </c>
      <c r="G14" s="712">
        <v>0</v>
      </c>
      <c r="H14" s="713">
        <f t="shared" si="1"/>
        <v>236103082.00018567</v>
      </c>
      <c r="I14" s="712">
        <v>235596783.54178038</v>
      </c>
      <c r="J14" s="712">
        <v>286213.84852221305</v>
      </c>
      <c r="K14" s="712">
        <v>220084.609883072</v>
      </c>
      <c r="L14" s="712">
        <v>0</v>
      </c>
      <c r="M14" s="713">
        <f t="shared" si="2"/>
        <v>1110887.6680135299</v>
      </c>
      <c r="N14" s="712">
        <v>909409.77129211696</v>
      </c>
      <c r="O14" s="712">
        <v>70100.687561673549</v>
      </c>
      <c r="P14" s="712">
        <v>131377.20915973932</v>
      </c>
      <c r="Q14" s="712">
        <v>0</v>
      </c>
      <c r="R14" s="712">
        <v>2527</v>
      </c>
      <c r="S14" s="714">
        <v>0.1414</v>
      </c>
      <c r="T14" s="714">
        <v>0.16827800000000001</v>
      </c>
      <c r="U14" s="714">
        <v>0.13</v>
      </c>
      <c r="V14" s="715">
        <v>122.86709999999999</v>
      </c>
    </row>
    <row r="15" spans="1:22">
      <c r="A15" s="433">
        <v>7.2</v>
      </c>
      <c r="B15" s="432" t="s">
        <v>512</v>
      </c>
      <c r="C15" s="713">
        <f t="shared" si="0"/>
        <v>4294692.6002000012</v>
      </c>
      <c r="D15" s="712">
        <v>4226148.8002000013</v>
      </c>
      <c r="E15" s="712">
        <v>68543.8</v>
      </c>
      <c r="F15" s="712">
        <v>0</v>
      </c>
      <c r="G15" s="712">
        <v>0</v>
      </c>
      <c r="H15" s="713">
        <f t="shared" si="1"/>
        <v>4314039.8134254925</v>
      </c>
      <c r="I15" s="712">
        <v>4246197.3808186473</v>
      </c>
      <c r="J15" s="712">
        <v>67842.432606845294</v>
      </c>
      <c r="K15" s="712">
        <v>0</v>
      </c>
      <c r="L15" s="712">
        <v>0</v>
      </c>
      <c r="M15" s="713">
        <f t="shared" si="2"/>
        <v>29030.431174348349</v>
      </c>
      <c r="N15" s="712">
        <v>10586.530160342945</v>
      </c>
      <c r="O15" s="712">
        <v>18443.901014005402</v>
      </c>
      <c r="P15" s="712">
        <v>0</v>
      </c>
      <c r="Q15" s="712">
        <v>0</v>
      </c>
      <c r="R15" s="712">
        <v>56</v>
      </c>
      <c r="S15" s="714">
        <v>0.1353</v>
      </c>
      <c r="T15" s="714">
        <v>0.16419800000000001</v>
      </c>
      <c r="U15" s="714">
        <v>0.12</v>
      </c>
      <c r="V15" s="715">
        <v>92.120699999999999</v>
      </c>
    </row>
    <row r="16" spans="1:22">
      <c r="A16" s="433">
        <v>7.3</v>
      </c>
      <c r="B16" s="432" t="s">
        <v>509</v>
      </c>
      <c r="C16" s="713">
        <f t="shared" si="0"/>
        <v>80702221.771599904</v>
      </c>
      <c r="D16" s="712">
        <v>77673365.361599907</v>
      </c>
      <c r="E16" s="712">
        <v>2601748.5199999986</v>
      </c>
      <c r="F16" s="712">
        <v>421763.3</v>
      </c>
      <c r="G16" s="712">
        <v>5344.59</v>
      </c>
      <c r="H16" s="713">
        <f t="shared" si="1"/>
        <v>80293532.92249456</v>
      </c>
      <c r="I16" s="712">
        <v>77301080.375492468</v>
      </c>
      <c r="J16" s="712">
        <v>2540971.2019442739</v>
      </c>
      <c r="K16" s="712">
        <v>446123.27726709435</v>
      </c>
      <c r="L16" s="712">
        <v>5358.0677907194204</v>
      </c>
      <c r="M16" s="713">
        <f t="shared" si="2"/>
        <v>1512469.7655317134</v>
      </c>
      <c r="N16" s="712">
        <v>603288.96456802101</v>
      </c>
      <c r="O16" s="712">
        <v>536834.32840642787</v>
      </c>
      <c r="P16" s="712">
        <v>372282.42394742975</v>
      </c>
      <c r="Q16" s="712">
        <v>64.048609834820397</v>
      </c>
      <c r="R16" s="712">
        <v>8205</v>
      </c>
      <c r="S16" s="714">
        <v>0.1875</v>
      </c>
      <c r="T16" s="714">
        <v>0.24567900000000001</v>
      </c>
      <c r="U16" s="714">
        <v>0.19</v>
      </c>
      <c r="V16" s="715">
        <v>51.89</v>
      </c>
    </row>
    <row r="17" spans="1:22">
      <c r="A17" s="435">
        <v>8</v>
      </c>
      <c r="B17" s="438" t="s">
        <v>508</v>
      </c>
      <c r="C17" s="713">
        <f t="shared" si="0"/>
        <v>0</v>
      </c>
      <c r="D17" s="712">
        <v>0</v>
      </c>
      <c r="E17" s="712">
        <v>0</v>
      </c>
      <c r="F17" s="712">
        <v>0</v>
      </c>
      <c r="G17" s="712">
        <v>0</v>
      </c>
      <c r="H17" s="713">
        <f t="shared" si="1"/>
        <v>0</v>
      </c>
      <c r="I17" s="712">
        <v>0</v>
      </c>
      <c r="J17" s="712">
        <v>0</v>
      </c>
      <c r="K17" s="712">
        <v>0</v>
      </c>
      <c r="L17" s="712">
        <v>0</v>
      </c>
      <c r="M17" s="713">
        <f t="shared" si="2"/>
        <v>0</v>
      </c>
      <c r="N17" s="712">
        <v>0</v>
      </c>
      <c r="O17" s="712">
        <v>0</v>
      </c>
      <c r="P17" s="712">
        <v>0</v>
      </c>
      <c r="Q17" s="712"/>
      <c r="R17" s="712">
        <v>0</v>
      </c>
      <c r="S17" s="714">
        <v>0</v>
      </c>
      <c r="T17" s="714">
        <v>0</v>
      </c>
      <c r="U17" s="714">
        <v>0</v>
      </c>
      <c r="V17" s="715">
        <v>0</v>
      </c>
    </row>
    <row r="18" spans="1:22">
      <c r="A18" s="437">
        <v>9</v>
      </c>
      <c r="B18" s="436" t="s">
        <v>500</v>
      </c>
      <c r="C18" s="713">
        <f t="shared" si="0"/>
        <v>7654447.3809000021</v>
      </c>
      <c r="D18" s="717">
        <v>7589491.1409000019</v>
      </c>
      <c r="E18" s="717">
        <v>56214.359999999993</v>
      </c>
      <c r="F18" s="717">
        <v>8741.880000000001</v>
      </c>
      <c r="G18" s="717">
        <v>0</v>
      </c>
      <c r="H18" s="713">
        <f t="shared" si="1"/>
        <v>8199049.0343629923</v>
      </c>
      <c r="I18" s="717">
        <v>8125119.168849417</v>
      </c>
      <c r="J18" s="717">
        <v>62319.471221106018</v>
      </c>
      <c r="K18" s="717">
        <v>11610.39429246922</v>
      </c>
      <c r="L18" s="717">
        <v>0</v>
      </c>
      <c r="M18" s="713">
        <f t="shared" si="2"/>
        <v>129227.95010231686</v>
      </c>
      <c r="N18" s="717">
        <v>103787.74400629867</v>
      </c>
      <c r="O18" s="717">
        <v>16020.537383041696</v>
      </c>
      <c r="P18" s="717">
        <v>9419.6687129764905</v>
      </c>
      <c r="Q18" s="717"/>
      <c r="R18" s="717">
        <v>2531</v>
      </c>
      <c r="S18" s="714">
        <v>4.9200000000000001E-2</v>
      </c>
      <c r="T18" s="714">
        <v>6.1043E-2</v>
      </c>
      <c r="U18" s="714">
        <v>0.04</v>
      </c>
      <c r="V18" s="718">
        <v>44.3476</v>
      </c>
    </row>
    <row r="19" spans="1:22">
      <c r="A19" s="435">
        <v>10</v>
      </c>
      <c r="B19" s="434" t="s">
        <v>511</v>
      </c>
      <c r="C19" s="713">
        <f>SUM(C7:C13)+C17+C18</f>
        <v>1850346220.6327891</v>
      </c>
      <c r="D19" s="713">
        <f t="shared" ref="D19:G19" si="6">SUM(D7:D13)+D17+D18</f>
        <v>1744545695.9740894</v>
      </c>
      <c r="E19" s="713">
        <f t="shared" si="6"/>
        <v>88011537.558699906</v>
      </c>
      <c r="F19" s="713">
        <f t="shared" si="6"/>
        <v>17762298.879999992</v>
      </c>
      <c r="G19" s="713">
        <f t="shared" si="6"/>
        <v>26688.22</v>
      </c>
      <c r="H19" s="713">
        <f>SUM(H7:H13)+H17+H18</f>
        <v>1868429874.6049705</v>
      </c>
      <c r="I19" s="713">
        <f t="shared" ref="I19:L19" si="7">SUM(I7:I13)+I17+I18</f>
        <v>1760872900.9839373</v>
      </c>
      <c r="J19" s="713">
        <f t="shared" si="7"/>
        <v>86238394.358122289</v>
      </c>
      <c r="K19" s="713">
        <f t="shared" si="7"/>
        <v>21291479.074626073</v>
      </c>
      <c r="L19" s="713">
        <f t="shared" si="7"/>
        <v>27100.188284701224</v>
      </c>
      <c r="M19" s="713">
        <f>SUM(M7:M13)+M17+M18</f>
        <v>53324352.063710667</v>
      </c>
      <c r="N19" s="713">
        <f t="shared" ref="N19:Q19" si="8">SUM(N7:N13)+N17+N18</f>
        <v>17688716.009820025</v>
      </c>
      <c r="O19" s="713">
        <f t="shared" si="8"/>
        <v>18486207.329757743</v>
      </c>
      <c r="P19" s="713">
        <f t="shared" si="8"/>
        <v>17147625.237354182</v>
      </c>
      <c r="Q19" s="713">
        <f t="shared" si="8"/>
        <v>1803.4867787112503</v>
      </c>
      <c r="R19" s="713">
        <f t="shared" ref="R19" si="9">SUM(R7:R13)+R17+R18</f>
        <v>631499</v>
      </c>
      <c r="S19" s="714">
        <v>0.18</v>
      </c>
      <c r="T19" s="714">
        <v>0.25</v>
      </c>
      <c r="U19" s="714">
        <v>0.1978</v>
      </c>
      <c r="V19" s="715">
        <v>60.858600000000003</v>
      </c>
    </row>
    <row r="20" spans="1:22" ht="24">
      <c r="A20" s="433">
        <v>10.1</v>
      </c>
      <c r="B20" s="432" t="s">
        <v>515</v>
      </c>
      <c r="C20" s="713">
        <f>SUM(D20:G20)</f>
        <v>2872090.7228999999</v>
      </c>
      <c r="D20" s="712">
        <v>2693413.4128999999</v>
      </c>
      <c r="E20" s="712">
        <v>161925.47999999998</v>
      </c>
      <c r="F20" s="712">
        <v>16751.829999999998</v>
      </c>
      <c r="G20" s="712">
        <v>0</v>
      </c>
      <c r="H20" s="713">
        <f>SUM(I20:L20)</f>
        <v>2882222.919078941</v>
      </c>
      <c r="I20" s="712">
        <v>2711914.4648826029</v>
      </c>
      <c r="J20" s="712">
        <v>149425.78257053718</v>
      </c>
      <c r="K20" s="712">
        <v>20882.671625800784</v>
      </c>
      <c r="L20" s="712">
        <v>0</v>
      </c>
      <c r="M20" s="713">
        <f>SUM(N20:Q20)</f>
        <v>83198.444704675785</v>
      </c>
      <c r="N20" s="712">
        <v>30347.672495039951</v>
      </c>
      <c r="O20" s="712">
        <v>35610.086771530609</v>
      </c>
      <c r="P20" s="712">
        <v>17240.685438105233</v>
      </c>
      <c r="Q20" s="712">
        <v>0</v>
      </c>
      <c r="R20" s="712">
        <v>1288</v>
      </c>
      <c r="S20" s="714">
        <v>0.19</v>
      </c>
      <c r="T20" s="714">
        <v>0.26596999999999998</v>
      </c>
      <c r="U20" s="714">
        <v>0.2142</v>
      </c>
      <c r="V20" s="715">
        <v>42.131399999999999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4" zoomScale="80" zoomScaleNormal="80" workbookViewId="0">
      <selection activeCell="E37" sqref="E37"/>
    </sheetView>
  </sheetViews>
  <sheetFormatPr defaultRowHeight="14.4"/>
  <cols>
    <col min="2" max="2" width="66.6640625" customWidth="1"/>
    <col min="3" max="8" width="17.77734375" customWidth="1"/>
  </cols>
  <sheetData>
    <row r="1" spans="1:8" s="8" customFormat="1" ht="13.8">
      <c r="A1" s="5" t="s">
        <v>31</v>
      </c>
      <c r="B1" s="6" t="str">
        <f>'Info '!C2</f>
        <v>JSC "CREDOBANK"</v>
      </c>
      <c r="C1" s="6"/>
      <c r="D1" s="7"/>
      <c r="E1" s="7"/>
      <c r="F1" s="7"/>
      <c r="G1" s="7"/>
    </row>
    <row r="2" spans="1:8" s="8" customFormat="1" ht="13.8">
      <c r="A2" s="5" t="s">
        <v>32</v>
      </c>
      <c r="B2" s="261">
        <f>'1. key ratios '!B2</f>
        <v>45930</v>
      </c>
      <c r="C2" s="6"/>
      <c r="D2" s="7"/>
      <c r="E2" s="7"/>
      <c r="F2" s="7"/>
      <c r="G2" s="7"/>
    </row>
    <row r="4" spans="1:8">
      <c r="A4" s="735" t="s">
        <v>7</v>
      </c>
      <c r="B4" s="737" t="s">
        <v>586</v>
      </c>
      <c r="C4" s="730" t="s">
        <v>523</v>
      </c>
      <c r="D4" s="730"/>
      <c r="E4" s="730"/>
      <c r="F4" s="730" t="s">
        <v>524</v>
      </c>
      <c r="G4" s="730"/>
      <c r="H4" s="731"/>
    </row>
    <row r="5" spans="1:8" ht="15.45" customHeight="1">
      <c r="A5" s="736"/>
      <c r="B5" s="738"/>
      <c r="C5" s="329" t="s">
        <v>33</v>
      </c>
      <c r="D5" s="329" t="s">
        <v>34</v>
      </c>
      <c r="E5" s="329" t="s">
        <v>35</v>
      </c>
      <c r="F5" s="329" t="s">
        <v>33</v>
      </c>
      <c r="G5" s="329" t="s">
        <v>34</v>
      </c>
      <c r="H5" s="329" t="s">
        <v>35</v>
      </c>
    </row>
    <row r="6" spans="1:8">
      <c r="A6" s="330">
        <v>1</v>
      </c>
      <c r="B6" s="331" t="s">
        <v>587</v>
      </c>
      <c r="C6" s="583">
        <f>SUM(C7:C12)</f>
        <v>449393718.55005383</v>
      </c>
      <c r="D6" s="583">
        <f>SUM(D7:D12)</f>
        <v>22107754.699999988</v>
      </c>
      <c r="E6" s="584">
        <f>C6+D6</f>
        <v>471501473.25005382</v>
      </c>
      <c r="F6" s="583">
        <f>SUM(F7:F12)</f>
        <v>364156866.70000702</v>
      </c>
      <c r="G6" s="583">
        <f>SUM(G7:G12)</f>
        <v>16982805.109999955</v>
      </c>
      <c r="H6" s="584">
        <f>F6+G6</f>
        <v>381139671.81000698</v>
      </c>
    </row>
    <row r="7" spans="1:8">
      <c r="A7" s="330">
        <v>1.1000000000000001</v>
      </c>
      <c r="B7" s="332" t="s">
        <v>530</v>
      </c>
      <c r="C7" s="585"/>
      <c r="D7" s="585"/>
      <c r="E7" s="584">
        <f t="shared" ref="E7:E45" si="0">C7+D7</f>
        <v>0</v>
      </c>
      <c r="F7" s="585"/>
      <c r="G7" s="585"/>
      <c r="H7" s="584">
        <f t="shared" ref="H7:H44" si="1">F7+G7</f>
        <v>0</v>
      </c>
    </row>
    <row r="8" spans="1:8">
      <c r="A8" s="330">
        <v>1.2</v>
      </c>
      <c r="B8" s="332" t="s">
        <v>532</v>
      </c>
      <c r="C8" s="585"/>
      <c r="D8" s="585"/>
      <c r="E8" s="584">
        <f t="shared" si="0"/>
        <v>0</v>
      </c>
      <c r="F8" s="585"/>
      <c r="G8" s="585"/>
      <c r="H8" s="584">
        <f t="shared" si="1"/>
        <v>0</v>
      </c>
    </row>
    <row r="9" spans="1:8" ht="21.45" customHeight="1">
      <c r="A9" s="330">
        <v>1.3</v>
      </c>
      <c r="B9" s="332" t="s">
        <v>588</v>
      </c>
      <c r="C9" s="585"/>
      <c r="D9" s="585"/>
      <c r="E9" s="584">
        <f t="shared" si="0"/>
        <v>0</v>
      </c>
      <c r="F9" s="585"/>
      <c r="G9" s="585"/>
      <c r="H9" s="584">
        <f t="shared" si="1"/>
        <v>0</v>
      </c>
    </row>
    <row r="10" spans="1:8">
      <c r="A10" s="330">
        <v>1.4</v>
      </c>
      <c r="B10" s="332" t="s">
        <v>534</v>
      </c>
      <c r="C10" s="585"/>
      <c r="D10" s="585"/>
      <c r="E10" s="584">
        <f t="shared" si="0"/>
        <v>0</v>
      </c>
      <c r="F10" s="585"/>
      <c r="G10" s="585"/>
      <c r="H10" s="584">
        <f t="shared" si="1"/>
        <v>0</v>
      </c>
    </row>
    <row r="11" spans="1:8">
      <c r="A11" s="330">
        <v>1.5</v>
      </c>
      <c r="B11" s="332" t="s">
        <v>538</v>
      </c>
      <c r="C11" s="585">
        <v>449393718.55005383</v>
      </c>
      <c r="D11" s="585">
        <v>22107754.699999988</v>
      </c>
      <c r="E11" s="584">
        <f t="shared" si="0"/>
        <v>471501473.25005382</v>
      </c>
      <c r="F11" s="585">
        <v>364156866.70000702</v>
      </c>
      <c r="G11" s="585">
        <v>16982805.109999955</v>
      </c>
      <c r="H11" s="584">
        <f t="shared" si="1"/>
        <v>381139671.81000698</v>
      </c>
    </row>
    <row r="12" spans="1:8">
      <c r="A12" s="330">
        <v>1.6</v>
      </c>
      <c r="B12" s="333" t="s">
        <v>420</v>
      </c>
      <c r="C12" s="585"/>
      <c r="D12" s="585"/>
      <c r="E12" s="584">
        <f t="shared" si="0"/>
        <v>0</v>
      </c>
      <c r="F12" s="518"/>
      <c r="G12" s="518"/>
      <c r="H12" s="584">
        <f t="shared" si="1"/>
        <v>0</v>
      </c>
    </row>
    <row r="13" spans="1:8">
      <c r="A13" s="330">
        <v>2</v>
      </c>
      <c r="B13" s="334" t="s">
        <v>589</v>
      </c>
      <c r="C13" s="583">
        <f>SUM(C14:C17)</f>
        <v>-168985446.37</v>
      </c>
      <c r="D13" s="583">
        <f>SUM(D14:D17)</f>
        <v>-23540667.5</v>
      </c>
      <c r="E13" s="584">
        <f t="shared" si="0"/>
        <v>-192526113.87</v>
      </c>
      <c r="F13" s="583">
        <f>SUM(F14:F17)</f>
        <v>-145394691.06999999</v>
      </c>
      <c r="G13" s="583">
        <f>SUM(G14:G17)</f>
        <v>-15197163.75</v>
      </c>
      <c r="H13" s="584">
        <f t="shared" si="1"/>
        <v>-160591854.81999999</v>
      </c>
    </row>
    <row r="14" spans="1:8">
      <c r="A14" s="330">
        <v>2.1</v>
      </c>
      <c r="B14" s="332" t="s">
        <v>590</v>
      </c>
      <c r="C14" s="585"/>
      <c r="D14" s="585"/>
      <c r="E14" s="584">
        <f t="shared" si="0"/>
        <v>0</v>
      </c>
      <c r="F14" s="585"/>
      <c r="G14" s="585"/>
      <c r="H14" s="584">
        <f t="shared" si="1"/>
        <v>0</v>
      </c>
    </row>
    <row r="15" spans="1:8" ht="24.45" customHeight="1">
      <c r="A15" s="330">
        <v>2.2000000000000002</v>
      </c>
      <c r="B15" s="332" t="s">
        <v>591</v>
      </c>
      <c r="C15" s="585"/>
      <c r="D15" s="585"/>
      <c r="E15" s="584">
        <f t="shared" si="0"/>
        <v>0</v>
      </c>
      <c r="F15" s="585"/>
      <c r="G15" s="585"/>
      <c r="H15" s="584">
        <f t="shared" si="1"/>
        <v>0</v>
      </c>
    </row>
    <row r="16" spans="1:8" ht="20.55" customHeight="1">
      <c r="A16" s="330">
        <v>2.2999999999999998</v>
      </c>
      <c r="B16" s="332" t="s">
        <v>592</v>
      </c>
      <c r="C16" s="585">
        <v>-168985446.37</v>
      </c>
      <c r="D16" s="585">
        <v>-23540667.5</v>
      </c>
      <c r="E16" s="584">
        <f t="shared" si="0"/>
        <v>-192526113.87</v>
      </c>
      <c r="F16" s="585">
        <v>-145394691.06999999</v>
      </c>
      <c r="G16" s="585">
        <v>-15197163.75</v>
      </c>
      <c r="H16" s="584">
        <f t="shared" si="1"/>
        <v>-160591854.81999999</v>
      </c>
    </row>
    <row r="17" spans="1:8">
      <c r="A17" s="330">
        <v>2.4</v>
      </c>
      <c r="B17" s="332" t="s">
        <v>593</v>
      </c>
      <c r="C17" s="585"/>
      <c r="D17" s="585"/>
      <c r="E17" s="584">
        <f t="shared" si="0"/>
        <v>0</v>
      </c>
      <c r="F17" s="518"/>
      <c r="G17" s="518"/>
      <c r="H17" s="584">
        <f t="shared" si="1"/>
        <v>0</v>
      </c>
    </row>
    <row r="18" spans="1:8">
      <c r="A18" s="330">
        <v>3</v>
      </c>
      <c r="B18" s="334" t="s">
        <v>594</v>
      </c>
      <c r="C18" s="585"/>
      <c r="D18" s="585"/>
      <c r="E18" s="584">
        <f t="shared" si="0"/>
        <v>0</v>
      </c>
      <c r="F18" s="518"/>
      <c r="G18" s="518"/>
      <c r="H18" s="584">
        <f t="shared" si="1"/>
        <v>0</v>
      </c>
    </row>
    <row r="19" spans="1:8">
      <c r="A19" s="330">
        <v>4</v>
      </c>
      <c r="B19" s="334" t="s">
        <v>595</v>
      </c>
      <c r="C19" s="585">
        <v>48206248.859999985</v>
      </c>
      <c r="D19" s="585">
        <v>9424446.8200000003</v>
      </c>
      <c r="E19" s="584">
        <f t="shared" si="0"/>
        <v>57630695.679999985</v>
      </c>
      <c r="F19" s="585">
        <v>41222683.540000029</v>
      </c>
      <c r="G19" s="585">
        <v>6920918.7299999967</v>
      </c>
      <c r="H19" s="584">
        <f t="shared" si="1"/>
        <v>48143602.270000026</v>
      </c>
    </row>
    <row r="20" spans="1:8">
      <c r="A20" s="330">
        <v>5</v>
      </c>
      <c r="B20" s="334" t="s">
        <v>596</v>
      </c>
      <c r="C20" s="585">
        <v>-16495018.559999995</v>
      </c>
      <c r="D20" s="585">
        <v>-10024453.479999997</v>
      </c>
      <c r="E20" s="584">
        <f t="shared" si="0"/>
        <v>-26519472.039999992</v>
      </c>
      <c r="F20" s="585">
        <v>-12420683.330000002</v>
      </c>
      <c r="G20" s="585">
        <v>-5974182.4400000013</v>
      </c>
      <c r="H20" s="584">
        <f t="shared" si="1"/>
        <v>-18394865.770000003</v>
      </c>
    </row>
    <row r="21" spans="1:8" ht="24" customHeight="1">
      <c r="A21" s="330">
        <v>6</v>
      </c>
      <c r="B21" s="334" t="s">
        <v>597</v>
      </c>
      <c r="C21" s="585"/>
      <c r="D21" s="585"/>
      <c r="E21" s="584">
        <f t="shared" si="0"/>
        <v>0</v>
      </c>
      <c r="F21" s="585"/>
      <c r="G21" s="585"/>
      <c r="H21" s="584">
        <f t="shared" si="1"/>
        <v>0</v>
      </c>
    </row>
    <row r="22" spans="1:8" ht="18.45" customHeight="1">
      <c r="A22" s="330">
        <v>7</v>
      </c>
      <c r="B22" s="334" t="s">
        <v>598</v>
      </c>
      <c r="C22" s="585">
        <v>-15422501.349999923</v>
      </c>
      <c r="D22" s="585"/>
      <c r="E22" s="584">
        <f t="shared" si="0"/>
        <v>-15422501.349999923</v>
      </c>
      <c r="F22" s="585">
        <v>-8124312.9400001019</v>
      </c>
      <c r="G22" s="585"/>
      <c r="H22" s="584">
        <f t="shared" si="1"/>
        <v>-8124312.9400001019</v>
      </c>
    </row>
    <row r="23" spans="1:8" ht="25.5" customHeight="1">
      <c r="A23" s="330">
        <v>8</v>
      </c>
      <c r="B23" s="335" t="s">
        <v>599</v>
      </c>
      <c r="C23" s="585"/>
      <c r="D23" s="585"/>
      <c r="E23" s="584">
        <f t="shared" si="0"/>
        <v>0</v>
      </c>
      <c r="F23" s="585"/>
      <c r="G23" s="585"/>
      <c r="H23" s="584">
        <f t="shared" si="1"/>
        <v>0</v>
      </c>
    </row>
    <row r="24" spans="1:8" ht="34.5" customHeight="1">
      <c r="A24" s="330">
        <v>9</v>
      </c>
      <c r="B24" s="335" t="s">
        <v>600</v>
      </c>
      <c r="C24" s="585"/>
      <c r="D24" s="585"/>
      <c r="E24" s="584">
        <f t="shared" si="0"/>
        <v>0</v>
      </c>
      <c r="F24" s="585"/>
      <c r="G24" s="585">
        <v>0</v>
      </c>
      <c r="H24" s="584">
        <f t="shared" si="1"/>
        <v>0</v>
      </c>
    </row>
    <row r="25" spans="1:8">
      <c r="A25" s="330">
        <v>10</v>
      </c>
      <c r="B25" s="334" t="s">
        <v>601</v>
      </c>
      <c r="C25" s="585">
        <v>7957640.4800000014</v>
      </c>
      <c r="D25" s="585"/>
      <c r="E25" s="584">
        <f t="shared" si="0"/>
        <v>7957640.4800000014</v>
      </c>
      <c r="F25" s="585">
        <v>4646190.79</v>
      </c>
      <c r="G25" s="585">
        <v>0</v>
      </c>
      <c r="H25" s="584">
        <f t="shared" si="1"/>
        <v>4646190.79</v>
      </c>
    </row>
    <row r="26" spans="1:8">
      <c r="A26" s="330">
        <v>11</v>
      </c>
      <c r="B26" s="336" t="s">
        <v>602</v>
      </c>
      <c r="C26" s="585">
        <v>112530.12000000011</v>
      </c>
      <c r="D26" s="585">
        <v>0</v>
      </c>
      <c r="E26" s="584">
        <f t="shared" si="0"/>
        <v>112530.12000000011</v>
      </c>
      <c r="F26" s="585">
        <v>207612.22000000009</v>
      </c>
      <c r="G26" s="585">
        <v>0</v>
      </c>
      <c r="H26" s="584">
        <f t="shared" si="1"/>
        <v>207612.22000000009</v>
      </c>
    </row>
    <row r="27" spans="1:8">
      <c r="A27" s="330">
        <v>12</v>
      </c>
      <c r="B27" s="334" t="s">
        <v>603</v>
      </c>
      <c r="C27" s="585">
        <v>1023067.27</v>
      </c>
      <c r="D27" s="585">
        <v>15179.32</v>
      </c>
      <c r="E27" s="584">
        <f t="shared" si="0"/>
        <v>1038246.59</v>
      </c>
      <c r="F27" s="585">
        <v>1402296.22</v>
      </c>
      <c r="G27" s="585">
        <v>643.16999999999996</v>
      </c>
      <c r="H27" s="584">
        <f t="shared" si="1"/>
        <v>1402939.39</v>
      </c>
    </row>
    <row r="28" spans="1:8">
      <c r="A28" s="330">
        <v>13</v>
      </c>
      <c r="B28" s="337" t="s">
        <v>604</v>
      </c>
      <c r="C28" s="585">
        <v>-21274460.059999999</v>
      </c>
      <c r="D28" s="585">
        <v>-781565.01</v>
      </c>
      <c r="E28" s="584">
        <f t="shared" si="0"/>
        <v>-22056025.07</v>
      </c>
      <c r="F28" s="585">
        <v>-19342195.250000007</v>
      </c>
      <c r="G28" s="585">
        <v>-592742.80000000005</v>
      </c>
      <c r="H28" s="584">
        <f t="shared" si="1"/>
        <v>-19934938.050000008</v>
      </c>
    </row>
    <row r="29" spans="1:8">
      <c r="A29" s="330">
        <v>14</v>
      </c>
      <c r="B29" s="338" t="s">
        <v>605</v>
      </c>
      <c r="C29" s="583">
        <f>SUM(C30:C31)</f>
        <v>-119259080.52000003</v>
      </c>
      <c r="D29" s="583">
        <f>SUM(D30:D31)</f>
        <v>-1130983.1399999999</v>
      </c>
      <c r="E29" s="584">
        <f t="shared" si="0"/>
        <v>-120390063.66000003</v>
      </c>
      <c r="F29" s="583">
        <v>-102557582.88999997</v>
      </c>
      <c r="G29" s="583">
        <v>-941318.83999999985</v>
      </c>
      <c r="H29" s="584">
        <f t="shared" si="1"/>
        <v>-103498901.72999997</v>
      </c>
    </row>
    <row r="30" spans="1:8">
      <c r="A30" s="330">
        <v>14.1</v>
      </c>
      <c r="B30" s="313" t="s">
        <v>606</v>
      </c>
      <c r="C30" s="585">
        <v>-112695045.43000002</v>
      </c>
      <c r="D30" s="585">
        <v>-183859.45</v>
      </c>
      <c r="E30" s="584">
        <f t="shared" si="0"/>
        <v>-112878904.88000003</v>
      </c>
      <c r="F30" s="585">
        <v>-97585198.959999979</v>
      </c>
      <c r="G30" s="585">
        <v>-83421.36</v>
      </c>
      <c r="H30" s="584">
        <f t="shared" si="1"/>
        <v>-97668620.319999978</v>
      </c>
    </row>
    <row r="31" spans="1:8">
      <c r="A31" s="330">
        <v>14.2</v>
      </c>
      <c r="B31" s="313" t="s">
        <v>607</v>
      </c>
      <c r="C31" s="585">
        <v>-6564035.0900000008</v>
      </c>
      <c r="D31" s="585">
        <v>-947123.69</v>
      </c>
      <c r="E31" s="584">
        <f t="shared" si="0"/>
        <v>-7511158.7800000012</v>
      </c>
      <c r="F31" s="585">
        <v>-4972383.9299999988</v>
      </c>
      <c r="G31" s="585">
        <v>-857897.47999999986</v>
      </c>
      <c r="H31" s="584">
        <f t="shared" si="1"/>
        <v>-5830281.4099999983</v>
      </c>
    </row>
    <row r="32" spans="1:8">
      <c r="A32" s="330">
        <v>15</v>
      </c>
      <c r="B32" s="334" t="s">
        <v>608</v>
      </c>
      <c r="C32" s="585">
        <v>-17309892.82</v>
      </c>
      <c r="D32" s="585">
        <v>0</v>
      </c>
      <c r="E32" s="584">
        <f t="shared" si="0"/>
        <v>-17309892.82</v>
      </c>
      <c r="F32" s="585">
        <v>-15529749.65</v>
      </c>
      <c r="G32" s="585">
        <v>0</v>
      </c>
      <c r="H32" s="584">
        <f t="shared" si="1"/>
        <v>-15529749.65</v>
      </c>
    </row>
    <row r="33" spans="1:8" ht="22.5" customHeight="1">
      <c r="A33" s="330">
        <v>16</v>
      </c>
      <c r="B33" s="311" t="s">
        <v>609</v>
      </c>
      <c r="C33" s="585"/>
      <c r="D33" s="585"/>
      <c r="E33" s="584">
        <f t="shared" si="0"/>
        <v>0</v>
      </c>
      <c r="F33" s="518"/>
      <c r="G33" s="518"/>
      <c r="H33" s="584">
        <f t="shared" si="1"/>
        <v>0</v>
      </c>
    </row>
    <row r="34" spans="1:8">
      <c r="A34" s="330">
        <v>17</v>
      </c>
      <c r="B34" s="334" t="s">
        <v>610</v>
      </c>
      <c r="C34" s="585">
        <f>SUM(C35:C36)</f>
        <v>-1308683.3400000001</v>
      </c>
      <c r="D34" s="585">
        <f>SUM(D35:D36)</f>
        <v>0</v>
      </c>
      <c r="E34" s="584">
        <f t="shared" si="0"/>
        <v>-1308683.3400000001</v>
      </c>
      <c r="F34" s="518">
        <f>SUM(F35:F36)</f>
        <v>0</v>
      </c>
      <c r="G34" s="518">
        <f>SUM(G35:G36)</f>
        <v>0</v>
      </c>
      <c r="H34" s="584">
        <f t="shared" si="1"/>
        <v>0</v>
      </c>
    </row>
    <row r="35" spans="1:8">
      <c r="A35" s="330">
        <v>17.100000000000001</v>
      </c>
      <c r="B35" s="313" t="s">
        <v>611</v>
      </c>
      <c r="C35" s="585">
        <v>-1308683.3400000001</v>
      </c>
      <c r="D35" s="585"/>
      <c r="E35" s="584">
        <f t="shared" si="0"/>
        <v>-1308683.3400000001</v>
      </c>
      <c r="F35" s="518"/>
      <c r="G35" s="518"/>
      <c r="H35" s="584">
        <f t="shared" si="1"/>
        <v>0</v>
      </c>
    </row>
    <row r="36" spans="1:8">
      <c r="A36" s="330">
        <v>17.2</v>
      </c>
      <c r="B36" s="313" t="s">
        <v>612</v>
      </c>
      <c r="C36" s="585"/>
      <c r="D36" s="585"/>
      <c r="E36" s="584">
        <f t="shared" si="0"/>
        <v>0</v>
      </c>
      <c r="F36" s="518"/>
      <c r="G36" s="518"/>
      <c r="H36" s="584">
        <f t="shared" si="1"/>
        <v>0</v>
      </c>
    </row>
    <row r="37" spans="1:8" ht="41.55" customHeight="1">
      <c r="A37" s="330">
        <v>18</v>
      </c>
      <c r="B37" s="339" t="s">
        <v>613</v>
      </c>
      <c r="C37" s="583">
        <f>SUM(C38:C39)</f>
        <v>-61373591.121964857</v>
      </c>
      <c r="D37" s="583">
        <f>SUM(D38:D39)</f>
        <v>-1770149.4547711308</v>
      </c>
      <c r="E37" s="584">
        <f t="shared" si="0"/>
        <v>-63143740.576735988</v>
      </c>
      <c r="F37" s="583">
        <f>SUM(F38:F39)</f>
        <v>-49938534.189998217</v>
      </c>
      <c r="G37" s="583">
        <f>SUM(G38:G39)</f>
        <v>-935786.199999996</v>
      </c>
      <c r="H37" s="584">
        <f t="shared" si="1"/>
        <v>-50874320.389998212</v>
      </c>
    </row>
    <row r="38" spans="1:8">
      <c r="A38" s="330">
        <v>18.100000000000001</v>
      </c>
      <c r="B38" s="340" t="s">
        <v>614</v>
      </c>
      <c r="C38" s="585"/>
      <c r="D38" s="585"/>
      <c r="E38" s="584">
        <f t="shared" si="0"/>
        <v>0</v>
      </c>
      <c r="F38" s="585"/>
      <c r="G38" s="585"/>
      <c r="H38" s="584">
        <f t="shared" si="1"/>
        <v>0</v>
      </c>
    </row>
    <row r="39" spans="1:8">
      <c r="A39" s="330">
        <v>18.2</v>
      </c>
      <c r="B39" s="340" t="s">
        <v>615</v>
      </c>
      <c r="C39" s="585">
        <v>-61373591.121964857</v>
      </c>
      <c r="D39" s="585">
        <v>-1770149.4547711308</v>
      </c>
      <c r="E39" s="584">
        <f t="shared" si="0"/>
        <v>-63143740.576735988</v>
      </c>
      <c r="F39" s="585">
        <v>-49938534.189998217</v>
      </c>
      <c r="G39" s="585">
        <v>-935786.199999996</v>
      </c>
      <c r="H39" s="584">
        <f t="shared" si="1"/>
        <v>-50874320.389998212</v>
      </c>
    </row>
    <row r="40" spans="1:8" ht="24.45" customHeight="1">
      <c r="A40" s="330">
        <v>19</v>
      </c>
      <c r="B40" s="339" t="s">
        <v>616</v>
      </c>
      <c r="C40" s="585"/>
      <c r="D40" s="585"/>
      <c r="E40" s="584">
        <f t="shared" si="0"/>
        <v>0</v>
      </c>
      <c r="F40" s="585"/>
      <c r="G40" s="585"/>
      <c r="H40" s="584">
        <f t="shared" si="1"/>
        <v>0</v>
      </c>
    </row>
    <row r="41" spans="1:8" ht="17.55" customHeight="1">
      <c r="A41" s="330">
        <v>20</v>
      </c>
      <c r="B41" s="339" t="s">
        <v>617</v>
      </c>
      <c r="C41" s="585">
        <v>-377455.37</v>
      </c>
      <c r="D41" s="585"/>
      <c r="E41" s="584">
        <f t="shared" si="0"/>
        <v>-377455.37</v>
      </c>
      <c r="F41" s="585">
        <v>-1222284.05</v>
      </c>
      <c r="G41" s="585"/>
      <c r="H41" s="584">
        <f t="shared" si="1"/>
        <v>-1222284.05</v>
      </c>
    </row>
    <row r="42" spans="1:8" ht="26.55" customHeight="1">
      <c r="A42" s="330">
        <v>21</v>
      </c>
      <c r="B42" s="339" t="s">
        <v>618</v>
      </c>
      <c r="C42" s="585"/>
      <c r="D42" s="585"/>
      <c r="E42" s="584">
        <f t="shared" si="0"/>
        <v>0</v>
      </c>
      <c r="F42" s="518"/>
      <c r="G42" s="518"/>
      <c r="H42" s="584">
        <f t="shared" si="1"/>
        <v>0</v>
      </c>
    </row>
    <row r="43" spans="1:8">
      <c r="A43" s="330">
        <v>22</v>
      </c>
      <c r="B43" s="341" t="s">
        <v>619</v>
      </c>
      <c r="C43" s="585">
        <f>SUM(C6,C13,C18,C19,C20,C21,C22,C23,C24,C25,C26,C27,C28,C29,C32,C33,C34,C37,C40,C41,C42)</f>
        <v>84887075.768089041</v>
      </c>
      <c r="D43" s="585">
        <f>SUM(D6,D13,D18,D19,D20,D21,D22,D23,D24,D25,D26,D27,D28,D29,D32,D33,D34,D37,D40,D41,D42)</f>
        <v>-5700437.7447711397</v>
      </c>
      <c r="E43" s="584">
        <f t="shared" si="0"/>
        <v>79186638.023317903</v>
      </c>
      <c r="F43" s="585">
        <f>SUM(F6,F13,F18,F19,F20,F21,F22,F23,F24,F25,F26,F27,F28,F29,F32,F33,F34,F37,F40,F41,F42)</f>
        <v>57105616.100008748</v>
      </c>
      <c r="G43" s="585">
        <f>SUM(G6,G13,G18,G19,G20,G21,G22,G23,G24,G25,G26,G27,G28,G29,G32,G33,G34,G37,G40,G41,G42)</f>
        <v>263172.97999995435</v>
      </c>
      <c r="H43" s="584">
        <f t="shared" si="1"/>
        <v>57368789.0800087</v>
      </c>
    </row>
    <row r="44" spans="1:8">
      <c r="A44" s="330">
        <v>23</v>
      </c>
      <c r="B44" s="341" t="s">
        <v>620</v>
      </c>
      <c r="C44" s="585">
        <v>14715154.359999999</v>
      </c>
      <c r="D44" s="585"/>
      <c r="E44" s="584">
        <f t="shared" si="0"/>
        <v>14715154.359999999</v>
      </c>
      <c r="F44" s="585">
        <v>11461673.75</v>
      </c>
      <c r="G44" s="518"/>
      <c r="H44" s="584">
        <f t="shared" si="1"/>
        <v>11461673.75</v>
      </c>
    </row>
    <row r="45" spans="1:8">
      <c r="A45" s="330">
        <v>24</v>
      </c>
      <c r="B45" s="342" t="s">
        <v>621</v>
      </c>
      <c r="C45" s="585">
        <f>C43-C44</f>
        <v>70171921.408089042</v>
      </c>
      <c r="D45" s="585">
        <f>D43-D44</f>
        <v>-5700437.7447711397</v>
      </c>
      <c r="E45" s="584">
        <f t="shared" si="0"/>
        <v>64471483.663317904</v>
      </c>
      <c r="F45" s="585">
        <f>F43-F44</f>
        <v>45643942.350008748</v>
      </c>
      <c r="G45" s="585">
        <f>G43+G44</f>
        <v>263172.97999995435</v>
      </c>
      <c r="H45" s="584">
        <f>F45+G45</f>
        <v>45907115.3300087</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C6" sqref="C6:H43"/>
    </sheetView>
  </sheetViews>
  <sheetFormatPr defaultColWidth="8.77734375" defaultRowHeight="13.8"/>
  <cols>
    <col min="1" max="1" width="8.77734375" style="512"/>
    <col min="2" max="2" width="87.6640625" style="481" bestFit="1" customWidth="1"/>
    <col min="3" max="8" width="15.44140625" style="481" customWidth="1"/>
    <col min="9" max="16384" width="8.77734375" style="481"/>
  </cols>
  <sheetData>
    <row r="1" spans="1:8">
      <c r="A1" s="130" t="s">
        <v>31</v>
      </c>
      <c r="B1" s="480" t="str">
        <f>'Info '!C2</f>
        <v>JSC "CREDOBANK"</v>
      </c>
      <c r="C1" s="480"/>
    </row>
    <row r="2" spans="1:8">
      <c r="A2" s="130" t="s">
        <v>32</v>
      </c>
      <c r="B2" s="482">
        <f>'1. key ratios '!B2</f>
        <v>45930</v>
      </c>
      <c r="C2" s="480"/>
    </row>
    <row r="3" spans="1:8" ht="14.4" thickBot="1">
      <c r="A3" s="481"/>
    </row>
    <row r="4" spans="1:8">
      <c r="A4" s="739" t="s">
        <v>7</v>
      </c>
      <c r="B4" s="740" t="s">
        <v>95</v>
      </c>
      <c r="C4" s="741" t="s">
        <v>523</v>
      </c>
      <c r="D4" s="741"/>
      <c r="E4" s="741"/>
      <c r="F4" s="741" t="s">
        <v>524</v>
      </c>
      <c r="G4" s="741"/>
      <c r="H4" s="742"/>
    </row>
    <row r="5" spans="1:8">
      <c r="A5" s="739"/>
      <c r="B5" s="740"/>
      <c r="C5" s="329" t="s">
        <v>33</v>
      </c>
      <c r="D5" s="329" t="s">
        <v>34</v>
      </c>
      <c r="E5" s="329" t="s">
        <v>35</v>
      </c>
      <c r="F5" s="329" t="s">
        <v>33</v>
      </c>
      <c r="G5" s="329" t="s">
        <v>34</v>
      </c>
      <c r="H5" s="329" t="s">
        <v>35</v>
      </c>
    </row>
    <row r="6" spans="1:8">
      <c r="A6" s="355">
        <v>1</v>
      </c>
      <c r="B6" s="344" t="s">
        <v>622</v>
      </c>
      <c r="C6" s="519"/>
      <c r="D6" s="519"/>
      <c r="E6" s="516">
        <f t="shared" ref="E6:E43" si="0">C6+D6</f>
        <v>0</v>
      </c>
      <c r="F6" s="519"/>
      <c r="G6" s="519"/>
      <c r="H6" s="589">
        <f t="shared" ref="H6:H43" si="1">F6+G6</f>
        <v>0</v>
      </c>
    </row>
    <row r="7" spans="1:8">
      <c r="A7" s="355">
        <v>2</v>
      </c>
      <c r="B7" s="344" t="s">
        <v>184</v>
      </c>
      <c r="C7" s="519"/>
      <c r="D7" s="519"/>
      <c r="E7" s="516">
        <f t="shared" si="0"/>
        <v>0</v>
      </c>
      <c r="F7" s="519"/>
      <c r="G7" s="519"/>
      <c r="H7" s="589">
        <f t="shared" si="1"/>
        <v>0</v>
      </c>
    </row>
    <row r="8" spans="1:8">
      <c r="A8" s="355">
        <v>3</v>
      </c>
      <c r="B8" s="344" t="s">
        <v>194</v>
      </c>
      <c r="C8" s="590">
        <f>C9+C10</f>
        <v>1721689525.0999999</v>
      </c>
      <c r="D8" s="519">
        <f>D9+D10</f>
        <v>0</v>
      </c>
      <c r="E8" s="516">
        <f t="shared" si="0"/>
        <v>1721689525.0999999</v>
      </c>
      <c r="F8" s="590">
        <f>F9+F10</f>
        <v>1440685797.8299999</v>
      </c>
      <c r="G8" s="590">
        <f>G9+G10</f>
        <v>0</v>
      </c>
      <c r="H8" s="589">
        <f t="shared" si="1"/>
        <v>1440685797.8299999</v>
      </c>
    </row>
    <row r="9" spans="1:8">
      <c r="A9" s="355">
        <v>3.1</v>
      </c>
      <c r="B9" s="343" t="s">
        <v>185</v>
      </c>
      <c r="C9" s="519">
        <v>1721633277.0999999</v>
      </c>
      <c r="D9" s="519"/>
      <c r="E9" s="516">
        <f t="shared" si="0"/>
        <v>1721633277.0999999</v>
      </c>
      <c r="F9" s="519">
        <v>1440419692.8299999</v>
      </c>
      <c r="G9" s="519"/>
      <c r="H9" s="589">
        <f t="shared" si="1"/>
        <v>1440419692.8299999</v>
      </c>
    </row>
    <row r="10" spans="1:8">
      <c r="A10" s="355">
        <v>3.2</v>
      </c>
      <c r="B10" s="343" t="s">
        <v>181</v>
      </c>
      <c r="C10" s="519">
        <v>56248</v>
      </c>
      <c r="D10" s="519"/>
      <c r="E10" s="516">
        <f t="shared" si="0"/>
        <v>56248</v>
      </c>
      <c r="F10" s="519">
        <v>266105</v>
      </c>
      <c r="G10" s="519"/>
      <c r="H10" s="589">
        <f t="shared" si="1"/>
        <v>266105</v>
      </c>
    </row>
    <row r="11" spans="1:8">
      <c r="A11" s="355">
        <v>4</v>
      </c>
      <c r="B11" s="344" t="s">
        <v>183</v>
      </c>
      <c r="C11" s="519">
        <f>C12+C13</f>
        <v>0</v>
      </c>
      <c r="D11" s="519">
        <f>D12+D13</f>
        <v>0</v>
      </c>
      <c r="E11" s="516">
        <f t="shared" si="0"/>
        <v>0</v>
      </c>
      <c r="F11" s="519"/>
      <c r="G11" s="519"/>
      <c r="H11" s="589">
        <f t="shared" si="1"/>
        <v>0</v>
      </c>
    </row>
    <row r="12" spans="1:8">
      <c r="A12" s="355">
        <v>4.0999999999999996</v>
      </c>
      <c r="B12" s="343" t="s">
        <v>167</v>
      </c>
      <c r="C12" s="519"/>
      <c r="D12" s="519"/>
      <c r="E12" s="516">
        <f t="shared" si="0"/>
        <v>0</v>
      </c>
      <c r="F12" s="519"/>
      <c r="G12" s="519"/>
      <c r="H12" s="589">
        <f t="shared" si="1"/>
        <v>0</v>
      </c>
    </row>
    <row r="13" spans="1:8">
      <c r="A13" s="355">
        <v>4.2</v>
      </c>
      <c r="B13" s="343" t="s">
        <v>168</v>
      </c>
      <c r="C13" s="519"/>
      <c r="D13" s="519"/>
      <c r="E13" s="516">
        <f t="shared" si="0"/>
        <v>0</v>
      </c>
      <c r="F13" s="519"/>
      <c r="G13" s="519"/>
      <c r="H13" s="589">
        <f t="shared" si="1"/>
        <v>0</v>
      </c>
    </row>
    <row r="14" spans="1:8">
      <c r="A14" s="355">
        <v>5</v>
      </c>
      <c r="B14" s="344" t="s">
        <v>193</v>
      </c>
      <c r="C14" s="590">
        <f>C15+C16+C17+C23+C24+C25+C26</f>
        <v>2721121523.0599995</v>
      </c>
      <c r="D14" s="590">
        <f>D15+D16+D17+D23+D24+D25+D26</f>
        <v>1896160</v>
      </c>
      <c r="E14" s="516">
        <f t="shared" si="0"/>
        <v>2723017683.0599995</v>
      </c>
      <c r="F14" s="590">
        <f>F15+F16+F17+F23+F24+F25+F26</f>
        <v>1884365880.5</v>
      </c>
      <c r="G14" s="590">
        <f>G15+G16+G17+G23+G24+G25+G26</f>
        <v>1910790</v>
      </c>
      <c r="H14" s="589">
        <f t="shared" si="1"/>
        <v>1886276670.5</v>
      </c>
    </row>
    <row r="15" spans="1:8">
      <c r="A15" s="355">
        <v>5.0999999999999996</v>
      </c>
      <c r="B15" s="345" t="s">
        <v>171</v>
      </c>
      <c r="C15" s="519">
        <v>21572580.5</v>
      </c>
      <c r="D15" s="519">
        <v>1896160</v>
      </c>
      <c r="E15" s="516">
        <f t="shared" si="0"/>
        <v>23468740.5</v>
      </c>
      <c r="F15" s="519">
        <v>17452147.940000001</v>
      </c>
      <c r="G15" s="519">
        <v>1910790</v>
      </c>
      <c r="H15" s="589">
        <f t="shared" si="1"/>
        <v>19362937.940000001</v>
      </c>
    </row>
    <row r="16" spans="1:8">
      <c r="A16" s="355">
        <v>5.2</v>
      </c>
      <c r="B16" s="345" t="s">
        <v>170</v>
      </c>
      <c r="C16" s="519">
        <v>2028</v>
      </c>
      <c r="D16" s="519"/>
      <c r="E16" s="516">
        <f t="shared" si="0"/>
        <v>2028</v>
      </c>
      <c r="F16" s="519">
        <v>2027.79</v>
      </c>
      <c r="G16" s="519">
        <v>0</v>
      </c>
      <c r="H16" s="589">
        <f t="shared" si="1"/>
        <v>2027.79</v>
      </c>
    </row>
    <row r="17" spans="1:8">
      <c r="A17" s="355">
        <v>5.3</v>
      </c>
      <c r="B17" s="345" t="s">
        <v>169</v>
      </c>
      <c r="C17" s="519">
        <f>C18+C19+C20+C21+C22</f>
        <v>2404209241.8599997</v>
      </c>
      <c r="D17" s="519">
        <f>D18+D19+D20+D21+D22</f>
        <v>0</v>
      </c>
      <c r="E17" s="516">
        <f t="shared" si="0"/>
        <v>2404209241.8599997</v>
      </c>
      <c r="F17" s="590">
        <f>F18+F19+F20+F21+F22</f>
        <v>1662670766.1800001</v>
      </c>
      <c r="G17" s="590">
        <f>G18+G19+G20+G21+G22</f>
        <v>0</v>
      </c>
      <c r="H17" s="589">
        <f t="shared" si="1"/>
        <v>1662670766.1800001</v>
      </c>
    </row>
    <row r="18" spans="1:8">
      <c r="A18" s="355" t="s">
        <v>16</v>
      </c>
      <c r="B18" s="346" t="s">
        <v>37</v>
      </c>
      <c r="C18" s="519">
        <v>1790102525.3</v>
      </c>
      <c r="D18" s="519"/>
      <c r="E18" s="516">
        <f t="shared" si="0"/>
        <v>1790102525.3</v>
      </c>
      <c r="F18" s="519">
        <v>1234602980.51</v>
      </c>
      <c r="G18" s="519"/>
      <c r="H18" s="589">
        <f t="shared" si="1"/>
        <v>1234602980.51</v>
      </c>
    </row>
    <row r="19" spans="1:8">
      <c r="A19" s="355" t="s">
        <v>17</v>
      </c>
      <c r="B19" s="346" t="s">
        <v>38</v>
      </c>
      <c r="C19" s="519">
        <v>263130631.77000001</v>
      </c>
      <c r="D19" s="519"/>
      <c r="E19" s="516">
        <f t="shared" si="0"/>
        <v>263130631.77000001</v>
      </c>
      <c r="F19" s="519">
        <v>192975168.49000001</v>
      </c>
      <c r="G19" s="519"/>
      <c r="H19" s="589">
        <f t="shared" si="1"/>
        <v>192975168.49000001</v>
      </c>
    </row>
    <row r="20" spans="1:8">
      <c r="A20" s="355" t="s">
        <v>18</v>
      </c>
      <c r="B20" s="346" t="s">
        <v>39</v>
      </c>
      <c r="C20" s="519"/>
      <c r="D20" s="519"/>
      <c r="E20" s="516">
        <f t="shared" si="0"/>
        <v>0</v>
      </c>
      <c r="F20" s="519"/>
      <c r="G20" s="519"/>
      <c r="H20" s="589">
        <f t="shared" si="1"/>
        <v>0</v>
      </c>
    </row>
    <row r="21" spans="1:8">
      <c r="A21" s="355" t="s">
        <v>19</v>
      </c>
      <c r="B21" s="346" t="s">
        <v>40</v>
      </c>
      <c r="C21" s="519">
        <v>347153776</v>
      </c>
      <c r="D21" s="519"/>
      <c r="E21" s="516">
        <f t="shared" si="0"/>
        <v>347153776</v>
      </c>
      <c r="F21" s="519">
        <v>230677321</v>
      </c>
      <c r="G21" s="519"/>
      <c r="H21" s="589">
        <f t="shared" si="1"/>
        <v>230677321</v>
      </c>
    </row>
    <row r="22" spans="1:8">
      <c r="A22" s="355" t="s">
        <v>20</v>
      </c>
      <c r="B22" s="346" t="s">
        <v>41</v>
      </c>
      <c r="C22" s="519">
        <v>3822308.79</v>
      </c>
      <c r="D22" s="519"/>
      <c r="E22" s="516">
        <f t="shared" si="0"/>
        <v>3822308.79</v>
      </c>
      <c r="F22" s="519">
        <v>4415296.18</v>
      </c>
      <c r="G22" s="519"/>
      <c r="H22" s="589">
        <f t="shared" si="1"/>
        <v>4415296.18</v>
      </c>
    </row>
    <row r="23" spans="1:8">
      <c r="A23" s="355">
        <v>5.4</v>
      </c>
      <c r="B23" s="345" t="s">
        <v>172</v>
      </c>
      <c r="C23" s="519">
        <v>295337672.69999999</v>
      </c>
      <c r="D23" s="519"/>
      <c r="E23" s="516">
        <f t="shared" si="0"/>
        <v>295337672.69999999</v>
      </c>
      <c r="F23" s="519">
        <v>204240938.59</v>
      </c>
      <c r="G23" s="519"/>
      <c r="H23" s="589">
        <f t="shared" si="1"/>
        <v>204240938.59</v>
      </c>
    </row>
    <row r="24" spans="1:8">
      <c r="A24" s="355">
        <v>5.5</v>
      </c>
      <c r="B24" s="345" t="s">
        <v>173</v>
      </c>
      <c r="C24" s="519"/>
      <c r="D24" s="519"/>
      <c r="E24" s="516">
        <f t="shared" si="0"/>
        <v>0</v>
      </c>
      <c r="F24" s="519"/>
      <c r="G24" s="519"/>
      <c r="H24" s="589">
        <f t="shared" si="1"/>
        <v>0</v>
      </c>
    </row>
    <row r="25" spans="1:8">
      <c r="A25" s="355">
        <v>5.6</v>
      </c>
      <c r="B25" s="345" t="s">
        <v>174</v>
      </c>
      <c r="C25" s="519"/>
      <c r="D25" s="519"/>
      <c r="E25" s="516">
        <f t="shared" si="0"/>
        <v>0</v>
      </c>
      <c r="F25" s="519"/>
      <c r="G25" s="519"/>
      <c r="H25" s="589">
        <f t="shared" si="1"/>
        <v>0</v>
      </c>
    </row>
    <row r="26" spans="1:8">
      <c r="A26" s="355">
        <v>5.7</v>
      </c>
      <c r="B26" s="345" t="s">
        <v>41</v>
      </c>
      <c r="C26" s="519"/>
      <c r="D26" s="519"/>
      <c r="E26" s="516">
        <f t="shared" si="0"/>
        <v>0</v>
      </c>
      <c r="F26" s="519"/>
      <c r="G26" s="519"/>
      <c r="H26" s="589">
        <f t="shared" si="1"/>
        <v>0</v>
      </c>
    </row>
    <row r="27" spans="1:8">
      <c r="A27" s="355">
        <v>6</v>
      </c>
      <c r="B27" s="514" t="s">
        <v>623</v>
      </c>
      <c r="C27" s="519">
        <v>375285763</v>
      </c>
      <c r="D27" s="519">
        <v>38037575</v>
      </c>
      <c r="E27" s="516">
        <f t="shared" si="0"/>
        <v>413323338</v>
      </c>
      <c r="F27" s="519">
        <v>64794778</v>
      </c>
      <c r="G27" s="519">
        <v>24795585</v>
      </c>
      <c r="H27" s="589">
        <f t="shared" si="1"/>
        <v>89590363</v>
      </c>
    </row>
    <row r="28" spans="1:8">
      <c r="A28" s="355">
        <v>7</v>
      </c>
      <c r="B28" s="514" t="s">
        <v>624</v>
      </c>
      <c r="C28" s="519">
        <v>1943750</v>
      </c>
      <c r="D28" s="519"/>
      <c r="E28" s="516">
        <f t="shared" si="0"/>
        <v>1943750</v>
      </c>
      <c r="F28" s="519">
        <v>1732973</v>
      </c>
      <c r="G28" s="519"/>
      <c r="H28" s="589">
        <f t="shared" si="1"/>
        <v>1732973</v>
      </c>
    </row>
    <row r="29" spans="1:8">
      <c r="A29" s="355">
        <v>8</v>
      </c>
      <c r="B29" s="514" t="s">
        <v>182</v>
      </c>
      <c r="C29" s="519"/>
      <c r="D29" s="519"/>
      <c r="E29" s="516">
        <f t="shared" si="0"/>
        <v>0</v>
      </c>
      <c r="F29" s="519"/>
      <c r="G29" s="519"/>
      <c r="H29" s="589">
        <f t="shared" si="1"/>
        <v>0</v>
      </c>
    </row>
    <row r="30" spans="1:8">
      <c r="A30" s="355">
        <v>9</v>
      </c>
      <c r="B30" s="515" t="s">
        <v>199</v>
      </c>
      <c r="C30" s="519">
        <f>C31+C32+C33+C34+C35+C36+C37</f>
        <v>289216598</v>
      </c>
      <c r="D30" s="519">
        <f>D31+D32+D33+D34+D35+D36+D37</f>
        <v>286602705</v>
      </c>
      <c r="E30" s="516">
        <f t="shared" si="0"/>
        <v>575819303</v>
      </c>
      <c r="F30" s="590">
        <f>F31+F32+F33+F34+F35+F36+F37</f>
        <v>251544597</v>
      </c>
      <c r="G30" s="590">
        <f>G31+G32+G33+G34+G35+G36+G37</f>
        <v>253308240</v>
      </c>
      <c r="H30" s="589">
        <f t="shared" si="1"/>
        <v>504852837</v>
      </c>
    </row>
    <row r="31" spans="1:8">
      <c r="A31" s="355">
        <v>9.1</v>
      </c>
      <c r="B31" s="347" t="s">
        <v>189</v>
      </c>
      <c r="C31" s="519">
        <v>2725900</v>
      </c>
      <c r="D31" s="591">
        <v>283576515</v>
      </c>
      <c r="E31" s="516">
        <f t="shared" si="0"/>
        <v>286302415</v>
      </c>
      <c r="F31" s="519">
        <v>1910590</v>
      </c>
      <c r="G31" s="519">
        <v>251397450</v>
      </c>
      <c r="H31" s="592">
        <f t="shared" si="1"/>
        <v>253308040</v>
      </c>
    </row>
    <row r="32" spans="1:8">
      <c r="A32" s="355">
        <v>9.1999999999999993</v>
      </c>
      <c r="B32" s="347" t="s">
        <v>190</v>
      </c>
      <c r="C32" s="519">
        <v>286490698</v>
      </c>
      <c r="D32" s="519">
        <v>3026190</v>
      </c>
      <c r="E32" s="516">
        <f t="shared" si="0"/>
        <v>289516888</v>
      </c>
      <c r="F32" s="519">
        <v>249634007</v>
      </c>
      <c r="G32" s="519">
        <v>1910790</v>
      </c>
      <c r="H32" s="592">
        <f t="shared" si="1"/>
        <v>251544797</v>
      </c>
    </row>
    <row r="33" spans="1:8">
      <c r="A33" s="355">
        <v>9.3000000000000007</v>
      </c>
      <c r="B33" s="347" t="s">
        <v>186</v>
      </c>
      <c r="C33" s="519"/>
      <c r="D33" s="519"/>
      <c r="E33" s="516">
        <f t="shared" si="0"/>
        <v>0</v>
      </c>
      <c r="F33" s="519"/>
      <c r="G33" s="519"/>
      <c r="H33" s="592">
        <f t="shared" si="1"/>
        <v>0</v>
      </c>
    </row>
    <row r="34" spans="1:8">
      <c r="A34" s="355">
        <v>9.4</v>
      </c>
      <c r="B34" s="347" t="s">
        <v>187</v>
      </c>
      <c r="C34" s="519"/>
      <c r="D34" s="519"/>
      <c r="E34" s="516">
        <f t="shared" si="0"/>
        <v>0</v>
      </c>
      <c r="F34" s="519"/>
      <c r="G34" s="519"/>
      <c r="H34" s="592">
        <f t="shared" si="1"/>
        <v>0</v>
      </c>
    </row>
    <row r="35" spans="1:8">
      <c r="A35" s="355">
        <v>9.5</v>
      </c>
      <c r="B35" s="347" t="s">
        <v>188</v>
      </c>
      <c r="C35" s="519"/>
      <c r="D35" s="519"/>
      <c r="E35" s="516">
        <f t="shared" si="0"/>
        <v>0</v>
      </c>
      <c r="F35" s="519"/>
      <c r="G35" s="519"/>
      <c r="H35" s="592">
        <f t="shared" si="1"/>
        <v>0</v>
      </c>
    </row>
    <row r="36" spans="1:8">
      <c r="A36" s="355">
        <v>9.6</v>
      </c>
      <c r="B36" s="347" t="s">
        <v>191</v>
      </c>
      <c r="C36" s="519"/>
      <c r="D36" s="519"/>
      <c r="E36" s="516">
        <f t="shared" si="0"/>
        <v>0</v>
      </c>
      <c r="F36" s="519"/>
      <c r="G36" s="519"/>
      <c r="H36" s="592">
        <f t="shared" si="1"/>
        <v>0</v>
      </c>
    </row>
    <row r="37" spans="1:8">
      <c r="A37" s="355">
        <v>9.6999999999999993</v>
      </c>
      <c r="B37" s="347" t="s">
        <v>192</v>
      </c>
      <c r="C37" s="519"/>
      <c r="D37" s="519"/>
      <c r="E37" s="516">
        <f t="shared" si="0"/>
        <v>0</v>
      </c>
      <c r="F37" s="519"/>
      <c r="G37" s="519"/>
      <c r="H37" s="592">
        <f t="shared" si="1"/>
        <v>0</v>
      </c>
    </row>
    <row r="38" spans="1:8">
      <c r="A38" s="355">
        <v>10</v>
      </c>
      <c r="B38" s="344" t="s">
        <v>195</v>
      </c>
      <c r="C38" s="519">
        <f>C41+C42</f>
        <v>315600795.21999997</v>
      </c>
      <c r="D38" s="519">
        <f>D41+D42</f>
        <v>4650600.6068019997</v>
      </c>
      <c r="E38" s="516">
        <f t="shared" si="0"/>
        <v>320251395.82680196</v>
      </c>
      <c r="F38" s="590">
        <f>F39+F40+F41+F42</f>
        <v>277753662.54999995</v>
      </c>
      <c r="G38" s="590">
        <f>G39+G40+G41+G42</f>
        <v>6097585.1271000002</v>
      </c>
      <c r="H38" s="592">
        <f t="shared" si="1"/>
        <v>283851247.67709994</v>
      </c>
    </row>
    <row r="39" spans="1:8">
      <c r="A39" s="355">
        <v>10.1</v>
      </c>
      <c r="B39" s="347" t="s">
        <v>196</v>
      </c>
      <c r="C39" s="519">
        <v>13430341.140000002</v>
      </c>
      <c r="D39" s="519">
        <v>49200.286544000002</v>
      </c>
      <c r="E39" s="516">
        <f t="shared" si="0"/>
        <v>13479541.426544003</v>
      </c>
      <c r="F39" s="519">
        <v>9714215.2799999677</v>
      </c>
      <c r="G39" s="519">
        <v>346606.11422999995</v>
      </c>
      <c r="H39" s="592">
        <f t="shared" si="1"/>
        <v>10060821.394229967</v>
      </c>
    </row>
    <row r="40" spans="1:8">
      <c r="A40" s="355">
        <v>10.199999999999999</v>
      </c>
      <c r="B40" s="347" t="s">
        <v>197</v>
      </c>
      <c r="C40" s="519">
        <v>8222850</v>
      </c>
      <c r="D40" s="519">
        <v>73264</v>
      </c>
      <c r="E40" s="516">
        <f t="shared" si="0"/>
        <v>8296114</v>
      </c>
      <c r="F40" s="519">
        <v>6490713.2699999735</v>
      </c>
      <c r="G40" s="519">
        <v>175665.01286999998</v>
      </c>
      <c r="H40" s="592">
        <f t="shared" si="1"/>
        <v>6666378.2828699732</v>
      </c>
    </row>
    <row r="41" spans="1:8">
      <c r="A41" s="355">
        <v>10.3</v>
      </c>
      <c r="B41" s="347" t="s">
        <v>200</v>
      </c>
      <c r="C41" s="519">
        <v>193262853.53000003</v>
      </c>
      <c r="D41" s="519">
        <v>2994623.9349349998</v>
      </c>
      <c r="E41" s="516">
        <f t="shared" si="0"/>
        <v>196257477.46493503</v>
      </c>
      <c r="F41" s="519">
        <v>157545984</v>
      </c>
      <c r="G41" s="519">
        <v>3620684</v>
      </c>
      <c r="H41" s="592">
        <f t="shared" si="1"/>
        <v>161166668</v>
      </c>
    </row>
    <row r="42" spans="1:8" ht="26.4">
      <c r="A42" s="355">
        <v>10.4</v>
      </c>
      <c r="B42" s="347" t="s">
        <v>201</v>
      </c>
      <c r="C42" s="519">
        <v>122337941.68999994</v>
      </c>
      <c r="D42" s="519">
        <v>1655976.6718669999</v>
      </c>
      <c r="E42" s="516">
        <f t="shared" si="0"/>
        <v>123993918.36186694</v>
      </c>
      <c r="F42" s="519">
        <v>104002750</v>
      </c>
      <c r="G42" s="519">
        <v>1954630</v>
      </c>
      <c r="H42" s="592">
        <f t="shared" si="1"/>
        <v>105957380</v>
      </c>
    </row>
    <row r="43" spans="1:8" ht="14.4" thickBot="1">
      <c r="A43" s="355">
        <v>11</v>
      </c>
      <c r="B43" s="106" t="s">
        <v>198</v>
      </c>
      <c r="C43" s="519"/>
      <c r="D43" s="519"/>
      <c r="E43" s="516">
        <f t="shared" si="0"/>
        <v>0</v>
      </c>
      <c r="F43" s="519"/>
      <c r="G43" s="519"/>
      <c r="H43" s="589">
        <f t="shared" si="1"/>
        <v>0</v>
      </c>
    </row>
    <row r="44" spans="1:8">
      <c r="C44" s="348"/>
      <c r="D44" s="348"/>
      <c r="E44" s="348"/>
      <c r="F44" s="348"/>
      <c r="G44" s="348"/>
      <c r="H44" s="348"/>
    </row>
    <row r="45" spans="1:8">
      <c r="C45" s="348"/>
      <c r="D45" s="348"/>
      <c r="E45" s="348"/>
      <c r="F45" s="348"/>
      <c r="G45" s="348"/>
      <c r="H45" s="348"/>
    </row>
    <row r="46" spans="1:8">
      <c r="C46" s="348"/>
      <c r="D46" s="348"/>
      <c r="E46" s="348"/>
      <c r="F46" s="348"/>
      <c r="G46" s="348"/>
      <c r="H46" s="348"/>
    </row>
    <row r="47" spans="1:8">
      <c r="C47" s="348"/>
      <c r="D47" s="348"/>
      <c r="E47" s="348"/>
      <c r="F47" s="348"/>
      <c r="G47" s="348"/>
      <c r="H47" s="348"/>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5" sqref="B15"/>
    </sheetView>
  </sheetViews>
  <sheetFormatPr defaultColWidth="9.21875" defaultRowHeight="13.2"/>
  <cols>
    <col min="1" max="1" width="9.5546875" style="7" bestFit="1" customWidth="1"/>
    <col min="2" max="2" width="93.5546875" style="7" customWidth="1"/>
    <col min="3" max="4" width="12.33203125" style="7" bestFit="1" customWidth="1"/>
    <col min="5" max="7" width="12.33203125" style="19" bestFit="1" customWidth="1"/>
    <col min="8" max="11" width="9.77734375" style="19" customWidth="1"/>
    <col min="12" max="16384" width="9.21875" style="19"/>
  </cols>
  <sheetData>
    <row r="1" spans="1:7">
      <c r="A1" s="5" t="s">
        <v>31</v>
      </c>
      <c r="B1" s="6" t="str">
        <f>'Info '!C2</f>
        <v>JSC "CREDOBANK"</v>
      </c>
      <c r="C1" s="6"/>
    </row>
    <row r="2" spans="1:7">
      <c r="A2" s="5" t="s">
        <v>32</v>
      </c>
      <c r="B2" s="261">
        <f>'1. key ratios '!B2</f>
        <v>45930</v>
      </c>
      <c r="C2" s="6"/>
    </row>
    <row r="3" spans="1:7">
      <c r="A3" s="5"/>
      <c r="B3" s="6"/>
      <c r="C3" s="6"/>
    </row>
    <row r="4" spans="1:7" ht="15" customHeight="1" thickBot="1">
      <c r="A4" s="7" t="s">
        <v>97</v>
      </c>
      <c r="B4" s="83" t="s">
        <v>175</v>
      </c>
      <c r="C4" s="22" t="s">
        <v>36</v>
      </c>
    </row>
    <row r="5" spans="1:7" ht="15" customHeight="1">
      <c r="A5" s="128" t="s">
        <v>7</v>
      </c>
      <c r="B5" s="129"/>
      <c r="C5" s="259" t="str">
        <f>INT((MONTH($B$2))/3)&amp;"Q"&amp;"-"&amp;YEAR($B$2)</f>
        <v>3Q-2025</v>
      </c>
      <c r="D5" s="259" t="str">
        <f>IF(INT(MONTH($B$2))=3, "4"&amp;"Q"&amp;"-"&amp;YEAR($B$2)-1, IF(INT(MONTH($B$2))=6, "1"&amp;"Q"&amp;"-"&amp;YEAR($B$2), IF(INT(MONTH($B$2))=9, "2"&amp;"Q"&amp;"-"&amp;YEAR($B$2),IF(INT(MONTH($B$2))=12, "3"&amp;"Q"&amp;"-"&amp;YEAR($B$2), 0))))</f>
        <v>2Q-2025</v>
      </c>
      <c r="E5" s="259" t="str">
        <f>IF(INT(MONTH($B$2))=3, "3"&amp;"Q"&amp;"-"&amp;YEAR($B$2)-1, IF(INT(MONTH($B$2))=6, "4"&amp;"Q"&amp;"-"&amp;YEAR($B$2)-1, IF(INT(MONTH($B$2))=9, "1"&amp;"Q"&amp;"-"&amp;YEAR($B$2),IF(INT(MONTH($B$2))=12, "2"&amp;"Q"&amp;"-"&amp;YEAR($B$2), 0))))</f>
        <v>1Q-2025</v>
      </c>
      <c r="F5" s="259" t="str">
        <f>IF(INT(MONTH($B$2))=3, "2"&amp;"Q"&amp;"-"&amp;YEAR($B$2)-1, IF(INT(MONTH($B$2))=6, "3"&amp;"Q"&amp;"-"&amp;YEAR($B$2)-1, IF(INT(MONTH($B$2))=9, "4"&amp;"Q"&amp;"-"&amp;YEAR($B$2)-1,IF(INT(MONTH($B$2))=12, "1"&amp;"Q"&amp;"-"&amp;YEAR($B$2), 0))))</f>
        <v>4Q-2024</v>
      </c>
      <c r="G5" s="260" t="str">
        <f>IF(INT(MONTH($B$2))=3, "1"&amp;"Q"&amp;"-"&amp;YEAR($B$2)-1, IF(INT(MONTH($B$2))=6, "2"&amp;"Q"&amp;"-"&amp;YEAR($B$2)-1, IF(INT(MONTH($B$2))=9, "3"&amp;"Q"&amp;"-"&amp;YEAR($B$2)-1,IF(INT(MONTH($B$2))=12, "4"&amp;"Q"&amp;"-"&amp;YEAR($B$2)-1, 0))))</f>
        <v>3Q-2024</v>
      </c>
    </row>
    <row r="6" spans="1:7" ht="15" customHeight="1">
      <c r="A6" s="23">
        <v>1</v>
      </c>
      <c r="B6" s="215" t="s">
        <v>179</v>
      </c>
      <c r="C6" s="251">
        <f>C7+C9+C10</f>
        <v>2425903959.9770231</v>
      </c>
      <c r="D6" s="253">
        <f>D7+D9+D10</f>
        <v>2279557645.9717302</v>
      </c>
      <c r="E6" s="217">
        <f t="shared" ref="E6:G6" si="0">E7+E9+E10</f>
        <v>2155615504.3424869</v>
      </c>
      <c r="F6" s="251">
        <f t="shared" si="0"/>
        <v>2056136249.6177859</v>
      </c>
      <c r="G6" s="256">
        <f t="shared" si="0"/>
        <v>1909219821.9494481</v>
      </c>
    </row>
    <row r="7" spans="1:7" ht="15" customHeight="1">
      <c r="A7" s="23">
        <v>1.1000000000000001</v>
      </c>
      <c r="B7" s="215" t="s">
        <v>745</v>
      </c>
      <c r="C7" s="252">
        <v>2336499078.746449</v>
      </c>
      <c r="D7" s="254">
        <v>2198265315.321897</v>
      </c>
      <c r="E7" s="252">
        <v>2078270635.7190535</v>
      </c>
      <c r="F7" s="252">
        <v>2005870754.2077861</v>
      </c>
      <c r="G7" s="257">
        <v>1869413263.9154482</v>
      </c>
    </row>
    <row r="8" spans="1:7">
      <c r="A8" s="23" t="s">
        <v>15</v>
      </c>
      <c r="B8" s="215" t="s">
        <v>96</v>
      </c>
      <c r="C8" s="252">
        <v>1991498.97</v>
      </c>
      <c r="D8" s="254">
        <v>2202413.5</v>
      </c>
      <c r="E8" s="252">
        <v>2328266.9</v>
      </c>
      <c r="F8" s="252">
        <v>2463673.85</v>
      </c>
      <c r="G8" s="257">
        <v>2655263.0099999998</v>
      </c>
    </row>
    <row r="9" spans="1:7" ht="15" customHeight="1">
      <c r="A9" s="23">
        <v>1.2</v>
      </c>
      <c r="B9" s="216" t="s">
        <v>95</v>
      </c>
      <c r="C9" s="252">
        <v>86362246.617500007</v>
      </c>
      <c r="D9" s="254">
        <v>77574328.375</v>
      </c>
      <c r="E9" s="252">
        <v>72260100.875</v>
      </c>
      <c r="F9" s="252">
        <v>44874370.850000001</v>
      </c>
      <c r="G9" s="257">
        <v>35505361.174999997</v>
      </c>
    </row>
    <row r="10" spans="1:7" ht="15" customHeight="1">
      <c r="A10" s="23">
        <v>1.3</v>
      </c>
      <c r="B10" s="215" t="s">
        <v>29</v>
      </c>
      <c r="C10" s="252">
        <v>3042634.6130742901</v>
      </c>
      <c r="D10" s="254">
        <v>3718002.2748331837</v>
      </c>
      <c r="E10" s="252">
        <v>5084767.7484337837</v>
      </c>
      <c r="F10" s="252">
        <v>5391124.5600000005</v>
      </c>
      <c r="G10" s="257">
        <v>4301196.8590000002</v>
      </c>
    </row>
    <row r="11" spans="1:7" ht="15" customHeight="1">
      <c r="A11" s="23">
        <v>2</v>
      </c>
      <c r="B11" s="215" t="s">
        <v>176</v>
      </c>
      <c r="C11" s="252">
        <v>3455625.7996334741</v>
      </c>
      <c r="D11" s="254">
        <v>2452100</v>
      </c>
      <c r="E11" s="252">
        <v>1537337</v>
      </c>
      <c r="F11" s="252">
        <v>991776</v>
      </c>
      <c r="G11" s="257">
        <v>712359.72000208776</v>
      </c>
    </row>
    <row r="12" spans="1:7" ht="15" customHeight="1">
      <c r="A12" s="23">
        <v>3</v>
      </c>
      <c r="B12" s="215" t="s">
        <v>177</v>
      </c>
      <c r="C12" s="252">
        <v>559691583.66043723</v>
      </c>
      <c r="D12" s="254">
        <v>559691583.66043723</v>
      </c>
      <c r="E12" s="252">
        <v>559691583.66043723</v>
      </c>
      <c r="F12" s="252">
        <v>559691583.66043723</v>
      </c>
      <c r="G12" s="257">
        <v>497590830.13999999</v>
      </c>
    </row>
    <row r="13" spans="1:7" ht="15" customHeight="1" thickBot="1">
      <c r="A13" s="25">
        <v>4</v>
      </c>
      <c r="B13" s="26" t="s">
        <v>178</v>
      </c>
      <c r="C13" s="218">
        <f>C6+C11+C12</f>
        <v>2989051169.4370937</v>
      </c>
      <c r="D13" s="255">
        <f>D6+D11+D12</f>
        <v>2841701329.6321673</v>
      </c>
      <c r="E13" s="219">
        <f t="shared" ref="E13:G13" si="1">E6+E11+E12</f>
        <v>2716844425.002924</v>
      </c>
      <c r="F13" s="218">
        <f t="shared" si="1"/>
        <v>2616819609.278223</v>
      </c>
      <c r="G13" s="258">
        <f t="shared" si="1"/>
        <v>2407523011.8094501</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tabSelected="1" zoomScale="80" zoomScaleNormal="80" workbookViewId="0">
      <pane xSplit="1" ySplit="4" topLeftCell="B19" activePane="bottomRight" state="frozen"/>
      <selection activeCell="B19" sqref="B19"/>
      <selection pane="topRight" activeCell="B19" sqref="B19"/>
      <selection pane="bottomLeft" activeCell="B19" sqref="B19"/>
      <selection pane="bottomRight" activeCell="C34" sqref="C34"/>
    </sheetView>
  </sheetViews>
  <sheetFormatPr defaultColWidth="9.21875" defaultRowHeight="13.8"/>
  <cols>
    <col min="1" max="1" width="9.5546875" style="7" bestFit="1" customWidth="1"/>
    <col min="2" max="2" width="65.5546875" style="7" customWidth="1"/>
    <col min="3" max="3" width="27.5546875" style="7" customWidth="1"/>
    <col min="4" max="16384" width="9.21875" style="8"/>
  </cols>
  <sheetData>
    <row r="1" spans="1:3">
      <c r="A1" s="5" t="s">
        <v>31</v>
      </c>
      <c r="B1" s="6" t="str">
        <f>'Info '!C2</f>
        <v>JSC "CREDOBANK"</v>
      </c>
    </row>
    <row r="2" spans="1:3">
      <c r="A2" s="5" t="s">
        <v>32</v>
      </c>
      <c r="B2" s="261">
        <f>'1. key ratios '!B2</f>
        <v>45930</v>
      </c>
    </row>
    <row r="4" spans="1:3" ht="28.05" customHeight="1" thickBot="1">
      <c r="A4" s="30" t="s">
        <v>42</v>
      </c>
      <c r="B4" s="31" t="s">
        <v>152</v>
      </c>
      <c r="C4" s="32"/>
    </row>
    <row r="5" spans="1:3">
      <c r="A5" s="33"/>
      <c r="B5" s="246" t="s">
        <v>43</v>
      </c>
      <c r="C5" s="247" t="s">
        <v>336</v>
      </c>
    </row>
    <row r="6" spans="1:3">
      <c r="A6" s="34">
        <v>1</v>
      </c>
      <c r="B6" s="35" t="s">
        <v>758</v>
      </c>
      <c r="C6" s="36" t="s">
        <v>763</v>
      </c>
    </row>
    <row r="7" spans="1:3">
      <c r="A7" s="34">
        <v>2</v>
      </c>
      <c r="B7" s="35" t="s">
        <v>759</v>
      </c>
      <c r="C7" s="36" t="s">
        <v>764</v>
      </c>
    </row>
    <row r="8" spans="1:3">
      <c r="A8" s="34">
        <v>3</v>
      </c>
      <c r="B8" s="35" t="s">
        <v>760</v>
      </c>
      <c r="C8" s="36" t="s">
        <v>765</v>
      </c>
    </row>
    <row r="9" spans="1:3">
      <c r="A9" s="34">
        <v>4</v>
      </c>
      <c r="B9" s="35" t="s">
        <v>761</v>
      </c>
      <c r="C9" s="36" t="s">
        <v>764</v>
      </c>
    </row>
    <row r="10" spans="1:3">
      <c r="A10" s="34">
        <v>5</v>
      </c>
      <c r="B10" s="35" t="s">
        <v>762</v>
      </c>
      <c r="C10" s="36" t="s">
        <v>765</v>
      </c>
    </row>
    <row r="11" spans="1:3">
      <c r="A11" s="34"/>
      <c r="B11" s="248"/>
      <c r="C11" s="249"/>
    </row>
    <row r="12" spans="1:3" ht="26.4">
      <c r="A12" s="34"/>
      <c r="B12" s="112" t="s">
        <v>44</v>
      </c>
      <c r="C12" s="250" t="s">
        <v>337</v>
      </c>
    </row>
    <row r="13" spans="1:3">
      <c r="A13" s="34">
        <v>1</v>
      </c>
      <c r="B13" s="593" t="s">
        <v>756</v>
      </c>
      <c r="C13" s="594" t="s">
        <v>766</v>
      </c>
    </row>
    <row r="14" spans="1:3">
      <c r="A14" s="34">
        <v>2</v>
      </c>
      <c r="B14" s="593" t="s">
        <v>767</v>
      </c>
      <c r="C14" s="594" t="s">
        <v>768</v>
      </c>
    </row>
    <row r="15" spans="1:3">
      <c r="A15" s="34">
        <v>3</v>
      </c>
      <c r="B15" s="593" t="s">
        <v>769</v>
      </c>
      <c r="C15" s="594" t="s">
        <v>770</v>
      </c>
    </row>
    <row r="16" spans="1:3">
      <c r="A16" s="34">
        <v>4</v>
      </c>
      <c r="B16" s="593" t="s">
        <v>771</v>
      </c>
      <c r="C16" s="594" t="s">
        <v>772</v>
      </c>
    </row>
    <row r="17" spans="1:3">
      <c r="A17" s="34">
        <v>5</v>
      </c>
      <c r="B17" s="593" t="s">
        <v>773</v>
      </c>
      <c r="C17" s="594" t="s">
        <v>774</v>
      </c>
    </row>
    <row r="18" spans="1:3">
      <c r="A18" s="34">
        <v>6</v>
      </c>
      <c r="B18" s="593" t="s">
        <v>775</v>
      </c>
      <c r="C18" s="594" t="s">
        <v>776</v>
      </c>
    </row>
    <row r="19" spans="1:3" ht="15.75" customHeight="1">
      <c r="A19" s="34"/>
      <c r="B19" s="35"/>
      <c r="C19" s="37"/>
    </row>
    <row r="20" spans="1:3" ht="30" customHeight="1">
      <c r="A20" s="34"/>
      <c r="B20" s="743" t="s">
        <v>45</v>
      </c>
      <c r="C20" s="744"/>
    </row>
    <row r="21" spans="1:3" ht="15">
      <c r="A21" s="34">
        <v>1</v>
      </c>
      <c r="B21" s="596" t="s">
        <v>777</v>
      </c>
      <c r="C21" s="597">
        <v>0.50260000000000005</v>
      </c>
    </row>
    <row r="22" spans="1:3" ht="15">
      <c r="A22" s="595">
        <v>2</v>
      </c>
      <c r="B22" s="596" t="s">
        <v>778</v>
      </c>
      <c r="C22" s="597">
        <v>0.3322</v>
      </c>
    </row>
    <row r="23" spans="1:3" ht="28.8">
      <c r="A23" s="34">
        <v>3</v>
      </c>
      <c r="B23" s="596" t="s">
        <v>779</v>
      </c>
      <c r="C23" s="597">
        <v>0.1469</v>
      </c>
    </row>
    <row r="24" spans="1:3" ht="15.75" customHeight="1">
      <c r="A24" s="34"/>
      <c r="B24" s="35"/>
      <c r="C24" s="36"/>
    </row>
    <row r="25" spans="1:3" ht="29.25" customHeight="1">
      <c r="A25" s="34"/>
      <c r="B25" s="743" t="s">
        <v>46</v>
      </c>
      <c r="C25" s="744"/>
    </row>
    <row r="26" spans="1:3" ht="15">
      <c r="A26" s="844">
        <v>1</v>
      </c>
      <c r="B26" s="596" t="s">
        <v>780</v>
      </c>
      <c r="C26" s="598">
        <v>5.91E-2</v>
      </c>
    </row>
    <row r="27" spans="1:3" ht="15.6" thickBot="1">
      <c r="A27" s="845">
        <v>2</v>
      </c>
      <c r="B27" s="599" t="s">
        <v>781</v>
      </c>
      <c r="C27" s="600">
        <v>5.91E-2</v>
      </c>
    </row>
    <row r="28" spans="1:3" ht="15">
      <c r="A28" s="844">
        <v>3</v>
      </c>
      <c r="B28" s="599" t="s">
        <v>782</v>
      </c>
      <c r="C28" s="600">
        <v>7.4399999999999994E-2</v>
      </c>
    </row>
    <row r="29" spans="1:3" ht="15.6" thickBot="1">
      <c r="A29" s="845">
        <v>4</v>
      </c>
      <c r="B29" s="599" t="s">
        <v>783</v>
      </c>
      <c r="C29" s="600">
        <v>6.3600000000000004E-2</v>
      </c>
    </row>
    <row r="30" spans="1:3" ht="15">
      <c r="A30" s="844">
        <v>5</v>
      </c>
      <c r="B30" s="599" t="s">
        <v>784</v>
      </c>
      <c r="C30" s="600">
        <v>0.11890000000000001</v>
      </c>
    </row>
    <row r="31" spans="1:3" ht="15.6" thickBot="1">
      <c r="A31" s="845">
        <v>6</v>
      </c>
      <c r="B31" s="599" t="s">
        <v>785</v>
      </c>
      <c r="C31" s="600">
        <v>5.6099999999999997E-2</v>
      </c>
    </row>
    <row r="32" spans="1:3" ht="15">
      <c r="A32" s="846">
        <v>7</v>
      </c>
      <c r="B32" s="599" t="s">
        <v>786</v>
      </c>
      <c r="C32" s="600">
        <v>0.1278</v>
      </c>
    </row>
    <row r="33" spans="1:3" ht="15">
      <c r="A33" s="846">
        <v>8</v>
      </c>
      <c r="B33" s="599" t="s">
        <v>793</v>
      </c>
      <c r="C33" s="600">
        <v>7.1599999999999997E-2</v>
      </c>
    </row>
    <row r="34" spans="1:3" ht="15.6" thickBot="1">
      <c r="A34" s="844">
        <v>9</v>
      </c>
      <c r="B34" s="601" t="s">
        <v>792</v>
      </c>
      <c r="C34" s="602">
        <v>6.0299999999999999E-2</v>
      </c>
    </row>
  </sheetData>
  <mergeCells count="2">
    <mergeCell ref="B25:C25"/>
    <mergeCell ref="B20:C20"/>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18" activePane="bottomRight" state="frozen"/>
      <selection activeCell="B19" sqref="B19"/>
      <selection pane="topRight" activeCell="B19" sqref="B19"/>
      <selection pane="bottomLeft" activeCell="B19" sqref="B19"/>
      <selection pane="bottomRight" activeCell="C8" sqref="C8:E36"/>
    </sheetView>
  </sheetViews>
  <sheetFormatPr defaultColWidth="9.21875" defaultRowHeight="13.8"/>
  <cols>
    <col min="1" max="1" width="9.5546875" style="7" bestFit="1" customWidth="1"/>
    <col min="2" max="2" width="54.21875" style="7" customWidth="1"/>
    <col min="3" max="3" width="28" style="7" customWidth="1"/>
    <col min="4" max="4" width="22.44140625" style="7" customWidth="1"/>
    <col min="5" max="5" width="22.21875" style="7" customWidth="1"/>
    <col min="6" max="6" width="12" style="8" bestFit="1" customWidth="1"/>
    <col min="7" max="7" width="12.5546875" style="8" bestFit="1" customWidth="1"/>
    <col min="8" max="16384" width="9.21875" style="8"/>
  </cols>
  <sheetData>
    <row r="1" spans="1:5">
      <c r="A1" s="28" t="s">
        <v>31</v>
      </c>
      <c r="B1" s="6" t="str">
        <f>'Info '!C2</f>
        <v>JSC "CREDOBANK"</v>
      </c>
    </row>
    <row r="2" spans="1:5" s="5" customFormat="1" ht="15.75" customHeight="1">
      <c r="A2" s="28" t="s">
        <v>32</v>
      </c>
      <c r="B2" s="261">
        <f>'1. key ratios '!B2</f>
        <v>45930</v>
      </c>
    </row>
    <row r="3" spans="1:5" s="5" customFormat="1" ht="15.75" customHeight="1">
      <c r="A3" s="28"/>
    </row>
    <row r="4" spans="1:5" s="5" customFormat="1" ht="15.75" customHeight="1" thickBot="1">
      <c r="A4" s="166" t="s">
        <v>100</v>
      </c>
      <c r="B4" s="749" t="s">
        <v>213</v>
      </c>
      <c r="C4" s="750"/>
      <c r="D4" s="750"/>
      <c r="E4" s="750"/>
    </row>
    <row r="5" spans="1:5" s="41" customFormat="1" ht="17.55" customHeight="1">
      <c r="A5" s="115"/>
      <c r="B5" s="116"/>
      <c r="C5" s="39" t="s">
        <v>0</v>
      </c>
      <c r="D5" s="39" t="s">
        <v>1</v>
      </c>
      <c r="E5" s="40" t="s">
        <v>2</v>
      </c>
    </row>
    <row r="6" spans="1:5" ht="14.55" customHeight="1">
      <c r="A6" s="100"/>
      <c r="B6" s="745" t="s">
        <v>220</v>
      </c>
      <c r="C6" s="745" t="s">
        <v>625</v>
      </c>
      <c r="D6" s="747" t="s">
        <v>99</v>
      </c>
      <c r="E6" s="748"/>
    </row>
    <row r="7" spans="1:5" ht="99.6" customHeight="1">
      <c r="A7" s="100"/>
      <c r="B7" s="746"/>
      <c r="C7" s="745"/>
      <c r="D7" s="201" t="s">
        <v>98</v>
      </c>
      <c r="E7" s="202" t="s">
        <v>221</v>
      </c>
    </row>
    <row r="8" spans="1:5" ht="20.399999999999999">
      <c r="A8" s="305">
        <v>1</v>
      </c>
      <c r="B8" s="306" t="s">
        <v>526</v>
      </c>
      <c r="C8" s="603">
        <f>SUM(C9:C11)</f>
        <v>464785833.45967305</v>
      </c>
      <c r="D8" s="603">
        <f t="shared" ref="D8:E8" si="0">SUM(D9:D11)</f>
        <v>0</v>
      </c>
      <c r="E8" s="603">
        <f t="shared" si="0"/>
        <v>464785833.45967305</v>
      </c>
    </row>
    <row r="9" spans="1:5" ht="14.4">
      <c r="A9" s="305">
        <v>1.1000000000000001</v>
      </c>
      <c r="B9" s="307" t="s">
        <v>527</v>
      </c>
      <c r="C9" s="604">
        <v>101498534.2</v>
      </c>
      <c r="D9" s="604"/>
      <c r="E9" s="604">
        <f>C9-D9</f>
        <v>101498534.2</v>
      </c>
    </row>
    <row r="10" spans="1:5" ht="14.4">
      <c r="A10" s="305">
        <v>1.2</v>
      </c>
      <c r="B10" s="307" t="s">
        <v>528</v>
      </c>
      <c r="C10" s="604">
        <v>187232237.14803767</v>
      </c>
      <c r="D10" s="604"/>
      <c r="E10" s="604">
        <f t="shared" ref="E10:E13" si="1">C10-D10</f>
        <v>187232237.14803767</v>
      </c>
    </row>
    <row r="11" spans="1:5" ht="14.4">
      <c r="A11" s="305">
        <v>1.3</v>
      </c>
      <c r="B11" s="307" t="s">
        <v>529</v>
      </c>
      <c r="C11" s="604">
        <v>176055062.11163539</v>
      </c>
      <c r="D11" s="604"/>
      <c r="E11" s="604">
        <f t="shared" si="1"/>
        <v>176055062.11163539</v>
      </c>
    </row>
    <row r="12" spans="1:5" ht="14.4">
      <c r="A12" s="305">
        <v>2</v>
      </c>
      <c r="B12" s="308" t="s">
        <v>530</v>
      </c>
      <c r="C12" s="604">
        <v>461883.99</v>
      </c>
      <c r="D12" s="604"/>
      <c r="E12" s="604">
        <f>C12-D12</f>
        <v>461883.99</v>
      </c>
    </row>
    <row r="13" spans="1:5" ht="14.4">
      <c r="A13" s="305">
        <v>2.1</v>
      </c>
      <c r="B13" s="309" t="s">
        <v>531</v>
      </c>
      <c r="C13" s="604">
        <v>461883.99</v>
      </c>
      <c r="D13" s="604"/>
      <c r="E13" s="604">
        <f t="shared" si="1"/>
        <v>461883.99</v>
      </c>
    </row>
    <row r="14" spans="1:5" ht="20.399999999999999">
      <c r="A14" s="305">
        <v>3</v>
      </c>
      <c r="B14" s="310" t="s">
        <v>532</v>
      </c>
      <c r="C14" s="604"/>
      <c r="D14" s="604"/>
      <c r="E14" s="604"/>
    </row>
    <row r="15" spans="1:5" ht="14.4">
      <c r="A15" s="305">
        <v>4</v>
      </c>
      <c r="B15" s="311" t="s">
        <v>533</v>
      </c>
      <c r="C15" s="604"/>
      <c r="D15" s="604"/>
      <c r="E15" s="604"/>
    </row>
    <row r="16" spans="1:5" ht="20.399999999999999">
      <c r="A16" s="305">
        <v>5</v>
      </c>
      <c r="B16" s="312" t="s">
        <v>534</v>
      </c>
      <c r="C16" s="603">
        <f>SUM(C17:C19)</f>
        <v>0</v>
      </c>
      <c r="D16" s="603">
        <f t="shared" ref="D16:E16" si="2">SUM(D17:D19)</f>
        <v>0</v>
      </c>
      <c r="E16" s="603">
        <f t="shared" si="2"/>
        <v>0</v>
      </c>
    </row>
    <row r="17" spans="1:5" ht="14.4">
      <c r="A17" s="305">
        <v>5.0999999999999996</v>
      </c>
      <c r="B17" s="313" t="s">
        <v>535</v>
      </c>
      <c r="C17" s="604"/>
      <c r="D17" s="604"/>
      <c r="E17" s="604"/>
    </row>
    <row r="18" spans="1:5" ht="14.4">
      <c r="A18" s="305">
        <v>5.2</v>
      </c>
      <c r="B18" s="313" t="s">
        <v>536</v>
      </c>
      <c r="C18" s="604"/>
      <c r="D18" s="604"/>
      <c r="E18" s="604"/>
    </row>
    <row r="19" spans="1:5" ht="14.4">
      <c r="A19" s="305">
        <v>5.3</v>
      </c>
      <c r="B19" s="314" t="s">
        <v>537</v>
      </c>
      <c r="C19" s="604"/>
      <c r="D19" s="604"/>
      <c r="E19" s="604"/>
    </row>
    <row r="20" spans="1:5" ht="14.4">
      <c r="A20" s="305">
        <v>6</v>
      </c>
      <c r="B20" s="310" t="s">
        <v>538</v>
      </c>
      <c r="C20" s="603">
        <f>SUM(C21:C22)</f>
        <v>2938360151.7178798</v>
      </c>
      <c r="D20" s="603">
        <f t="shared" ref="D20:E20" si="3">SUM(D21:D22)</f>
        <v>0</v>
      </c>
      <c r="E20" s="603">
        <f t="shared" si="3"/>
        <v>2938360151.7178798</v>
      </c>
    </row>
    <row r="21" spans="1:5" ht="14.4">
      <c r="A21" s="305">
        <v>6.1</v>
      </c>
      <c r="B21" s="313" t="s">
        <v>536</v>
      </c>
      <c r="C21" s="605">
        <v>81543753.829999998</v>
      </c>
      <c r="D21" s="605"/>
      <c r="E21" s="605">
        <f>C21-D21</f>
        <v>81543753.829999998</v>
      </c>
    </row>
    <row r="22" spans="1:5" ht="14.4">
      <c r="A22" s="305">
        <v>6.2</v>
      </c>
      <c r="B22" s="314" t="s">
        <v>537</v>
      </c>
      <c r="C22" s="605">
        <v>2856816397.8878798</v>
      </c>
      <c r="D22" s="605"/>
      <c r="E22" s="605">
        <f t="shared" ref="E22:E23" si="4">C22-D22</f>
        <v>2856816397.8878798</v>
      </c>
    </row>
    <row r="23" spans="1:5" ht="14.4">
      <c r="A23" s="305">
        <v>7</v>
      </c>
      <c r="B23" s="308" t="s">
        <v>539</v>
      </c>
      <c r="C23" s="605">
        <v>1991498.97</v>
      </c>
      <c r="D23" s="605"/>
      <c r="E23" s="605">
        <f t="shared" si="4"/>
        <v>1991498.97</v>
      </c>
    </row>
    <row r="24" spans="1:5" ht="20.399999999999999">
      <c r="A24" s="305">
        <v>8</v>
      </c>
      <c r="B24" s="315" t="s">
        <v>540</v>
      </c>
      <c r="C24" s="605"/>
      <c r="D24" s="605"/>
      <c r="E24" s="605"/>
    </row>
    <row r="25" spans="1:5" ht="14.4">
      <c r="A25" s="305">
        <v>9</v>
      </c>
      <c r="B25" s="311" t="s">
        <v>541</v>
      </c>
      <c r="C25" s="606">
        <f>SUM(C26:C27)</f>
        <v>53365415.600000016</v>
      </c>
      <c r="D25" s="606">
        <f t="shared" ref="D25:E25" si="5">SUM(D26:D27)</f>
        <v>0</v>
      </c>
      <c r="E25" s="606">
        <f t="shared" si="5"/>
        <v>53365415.600000016</v>
      </c>
    </row>
    <row r="26" spans="1:5" ht="14.4">
      <c r="A26" s="305">
        <v>9.1</v>
      </c>
      <c r="B26" s="313" t="s">
        <v>542</v>
      </c>
      <c r="C26" s="605">
        <v>53365415.600000016</v>
      </c>
      <c r="D26" s="605"/>
      <c r="E26" s="605">
        <f>C26-D26</f>
        <v>53365415.600000016</v>
      </c>
    </row>
    <row r="27" spans="1:5" ht="14.4">
      <c r="A27" s="305">
        <v>9.1999999999999993</v>
      </c>
      <c r="B27" s="313" t="s">
        <v>543</v>
      </c>
      <c r="C27" s="605"/>
      <c r="D27" s="605"/>
      <c r="E27" s="605"/>
    </row>
    <row r="28" spans="1:5" ht="14.4">
      <c r="A28" s="305">
        <v>10</v>
      </c>
      <c r="B28" s="311" t="s">
        <v>544</v>
      </c>
      <c r="C28" s="606">
        <f>SUM(C29:C30)</f>
        <v>37235905.250000007</v>
      </c>
      <c r="D28" s="606">
        <f t="shared" ref="D28:E28" si="6">SUM(D29:D30)</f>
        <v>37235905.250000007</v>
      </c>
      <c r="E28" s="606">
        <f t="shared" si="6"/>
        <v>0</v>
      </c>
    </row>
    <row r="29" spans="1:5" ht="14.4">
      <c r="A29" s="305">
        <v>10.1</v>
      </c>
      <c r="B29" s="313" t="s">
        <v>545</v>
      </c>
      <c r="C29" s="605"/>
      <c r="D29" s="605"/>
      <c r="E29" s="605"/>
    </row>
    <row r="30" spans="1:5" ht="14.4">
      <c r="A30" s="305">
        <v>10.199999999999999</v>
      </c>
      <c r="B30" s="313" t="s">
        <v>546</v>
      </c>
      <c r="C30" s="605">
        <v>37235905.250000007</v>
      </c>
      <c r="D30" s="605">
        <v>37235905.250000007</v>
      </c>
      <c r="E30" s="605">
        <f>C30-D30</f>
        <v>0</v>
      </c>
    </row>
    <row r="31" spans="1:5" ht="14.4">
      <c r="A31" s="305">
        <v>11</v>
      </c>
      <c r="B31" s="311" t="s">
        <v>547</v>
      </c>
      <c r="C31" s="606">
        <f>SUM(C32:C33)</f>
        <v>355395.73999999277</v>
      </c>
      <c r="D31" s="606">
        <f t="shared" ref="D31:E31" si="7">SUM(D32:D33)</f>
        <v>0</v>
      </c>
      <c r="E31" s="606">
        <f t="shared" si="7"/>
        <v>355395.73999999277</v>
      </c>
    </row>
    <row r="32" spans="1:5" ht="14.4">
      <c r="A32" s="305">
        <v>11.1</v>
      </c>
      <c r="B32" s="313" t="s">
        <v>548</v>
      </c>
      <c r="C32" s="605">
        <v>355395.73999999277</v>
      </c>
      <c r="D32" s="605"/>
      <c r="E32" s="605">
        <f>C32-D32</f>
        <v>355395.73999999277</v>
      </c>
    </row>
    <row r="33" spans="1:7" ht="14.4">
      <c r="A33" s="305">
        <v>11.2</v>
      </c>
      <c r="B33" s="313" t="s">
        <v>549</v>
      </c>
      <c r="C33" s="605"/>
      <c r="D33" s="605"/>
      <c r="E33" s="605"/>
    </row>
    <row r="34" spans="1:7" ht="14.4">
      <c r="A34" s="305">
        <v>13</v>
      </c>
      <c r="B34" s="311" t="s">
        <v>550</v>
      </c>
      <c r="C34" s="606">
        <v>58453360.470000014</v>
      </c>
      <c r="D34" s="606"/>
      <c r="E34" s="606">
        <f>C34-D34</f>
        <v>58453360.470000014</v>
      </c>
    </row>
    <row r="35" spans="1:7" ht="14.4">
      <c r="A35" s="305">
        <v>13.1</v>
      </c>
      <c r="B35" s="316" t="s">
        <v>551</v>
      </c>
      <c r="C35" s="605">
        <v>31594315.879999995</v>
      </c>
      <c r="D35" s="605"/>
      <c r="E35" s="605">
        <f>C35-D35</f>
        <v>31594315.879999995</v>
      </c>
    </row>
    <row r="36" spans="1:7" ht="14.4">
      <c r="A36" s="305">
        <v>13.2</v>
      </c>
      <c r="B36" s="316" t="s">
        <v>552</v>
      </c>
      <c r="C36" s="607"/>
      <c r="D36" s="607"/>
      <c r="E36" s="607"/>
    </row>
    <row r="37" spans="1:7" ht="27" thickBot="1">
      <c r="A37" s="103"/>
      <c r="B37" s="167" t="s">
        <v>222</v>
      </c>
      <c r="C37" s="117">
        <f>SUM(C8,C12,C14,C15,C16,C20,C23,C24,C25,C28,C31,C34)</f>
        <v>3555009445.1975522</v>
      </c>
      <c r="D37" s="117">
        <f>SUM(D8,D12,D14,D15,D16,D20,D23,D24,D25,D28,D31,D34)</f>
        <v>37235905.250000007</v>
      </c>
      <c r="E37" s="117">
        <f>SUM(E8,E12,E14,E15,E16,E20,E23,E24,E25,E28,E31,E34)</f>
        <v>3517773539.9475522</v>
      </c>
    </row>
    <row r="38" spans="1:7">
      <c r="A38" s="8"/>
      <c r="B38" s="8"/>
      <c r="C38" s="8"/>
      <c r="D38" s="8"/>
      <c r="E38" s="8"/>
    </row>
    <row r="39" spans="1:7">
      <c r="A39" s="8"/>
      <c r="B39" s="8"/>
      <c r="C39" s="8"/>
      <c r="D39" s="8"/>
      <c r="E39" s="8"/>
    </row>
    <row r="41" spans="1:7" s="7" customFormat="1">
      <c r="B41" s="42"/>
      <c r="F41" s="8"/>
      <c r="G41" s="8"/>
    </row>
    <row r="42" spans="1:7" s="7" customFormat="1">
      <c r="B42" s="42"/>
      <c r="F42" s="8"/>
      <c r="G42" s="8"/>
    </row>
    <row r="43" spans="1:7" s="7" customFormat="1">
      <c r="B43" s="42"/>
      <c r="F43" s="8"/>
      <c r="G43" s="8"/>
    </row>
    <row r="44" spans="1:7" s="7" customFormat="1">
      <c r="B44" s="42"/>
      <c r="F44" s="8"/>
      <c r="G44" s="8"/>
    </row>
    <row r="45" spans="1:7" s="7" customFormat="1">
      <c r="B45" s="42"/>
      <c r="F45" s="8"/>
      <c r="G45" s="8"/>
    </row>
    <row r="46" spans="1:7" s="7" customFormat="1">
      <c r="B46" s="42"/>
      <c r="F46" s="8"/>
      <c r="G46" s="8"/>
    </row>
    <row r="47" spans="1:7" s="7" customFormat="1">
      <c r="B47" s="42"/>
      <c r="F47" s="8"/>
      <c r="G47" s="8"/>
    </row>
    <row r="48" spans="1:7" s="7" customFormat="1">
      <c r="B48" s="42"/>
      <c r="F48" s="8"/>
      <c r="G48" s="8"/>
    </row>
    <row r="49" spans="2:7" s="7" customFormat="1">
      <c r="B49" s="42"/>
      <c r="F49" s="8"/>
      <c r="G49" s="8"/>
    </row>
    <row r="50" spans="2:7" s="7" customFormat="1">
      <c r="B50" s="42"/>
      <c r="F50" s="8"/>
      <c r="G50" s="8"/>
    </row>
    <row r="51" spans="2:7" s="7" customFormat="1">
      <c r="B51" s="42"/>
      <c r="F51" s="8"/>
      <c r="G51" s="8"/>
    </row>
    <row r="52" spans="2:7" s="7" customFormat="1">
      <c r="B52" s="42"/>
      <c r="F52" s="8"/>
      <c r="G52" s="8"/>
    </row>
    <row r="53" spans="2:7" s="7" customFormat="1">
      <c r="B53" s="42"/>
      <c r="F53" s="8"/>
      <c r="G53" s="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0" sqref="C10:C11"/>
    </sheetView>
  </sheetViews>
  <sheetFormatPr defaultColWidth="9.21875" defaultRowHeight="13.2" outlineLevelRow="1"/>
  <cols>
    <col min="1" max="1" width="9.5546875" style="7" bestFit="1" customWidth="1"/>
    <col min="2" max="2" width="114.21875" style="7" customWidth="1"/>
    <col min="3" max="3" width="18.77734375" style="7" customWidth="1"/>
    <col min="4" max="4" width="25.44140625" style="7" customWidth="1"/>
    <col min="5" max="5" width="24.21875" style="7" customWidth="1"/>
    <col min="6" max="6" width="24" style="7" customWidth="1"/>
    <col min="7" max="7" width="10" style="7" bestFit="1" customWidth="1"/>
    <col min="8" max="8" width="12" style="7" bestFit="1" customWidth="1"/>
    <col min="9" max="9" width="12.5546875" style="7" bestFit="1" customWidth="1"/>
    <col min="10" max="16384" width="9.21875" style="7"/>
  </cols>
  <sheetData>
    <row r="1" spans="1:6">
      <c r="A1" s="5" t="s">
        <v>31</v>
      </c>
      <c r="B1" s="6" t="str">
        <f>'Info '!C2</f>
        <v>JSC "CREDOBANK"</v>
      </c>
    </row>
    <row r="2" spans="1:6" s="5" customFormat="1" ht="15.75" customHeight="1">
      <c r="A2" s="5" t="s">
        <v>32</v>
      </c>
      <c r="B2" s="261">
        <f>'1. key ratios '!B2</f>
        <v>45930</v>
      </c>
      <c r="C2" s="7"/>
      <c r="D2" s="7"/>
      <c r="E2" s="7"/>
      <c r="F2" s="7"/>
    </row>
    <row r="3" spans="1:6" s="5" customFormat="1" ht="15.75" customHeight="1">
      <c r="C3" s="7"/>
      <c r="D3" s="7"/>
      <c r="E3" s="7"/>
      <c r="F3" s="7"/>
    </row>
    <row r="4" spans="1:6" s="5" customFormat="1" ht="13.8" thickBot="1">
      <c r="A4" s="5" t="s">
        <v>47</v>
      </c>
      <c r="B4" s="168" t="s">
        <v>519</v>
      </c>
      <c r="C4" s="38" t="s">
        <v>36</v>
      </c>
      <c r="D4" s="7"/>
      <c r="E4" s="7"/>
      <c r="F4" s="7"/>
    </row>
    <row r="5" spans="1:6">
      <c r="A5" s="121">
        <v>1</v>
      </c>
      <c r="B5" s="169" t="s">
        <v>521</v>
      </c>
      <c r="C5" s="122">
        <f>'7. LI1 '!E37</f>
        <v>3517773539.9475522</v>
      </c>
    </row>
    <row r="6" spans="1:6" ht="14.4">
      <c r="A6" s="43">
        <v>2.1</v>
      </c>
      <c r="B6" s="101" t="s">
        <v>202</v>
      </c>
      <c r="C6" s="608">
        <v>415267088.41000003</v>
      </c>
    </row>
    <row r="7" spans="1:6" s="29" customFormat="1" ht="14.4" outlineLevel="1">
      <c r="A7" s="23">
        <v>2.2000000000000002</v>
      </c>
      <c r="B7" s="24" t="s">
        <v>203</v>
      </c>
      <c r="C7" s="609">
        <v>282314500</v>
      </c>
    </row>
    <row r="8" spans="1:6" s="29" customFormat="1">
      <c r="A8" s="23">
        <v>3</v>
      </c>
      <c r="B8" s="119" t="s">
        <v>520</v>
      </c>
      <c r="C8" s="124">
        <f>SUM(C5:C7)</f>
        <v>4215355128.3575521</v>
      </c>
    </row>
    <row r="9" spans="1:6">
      <c r="A9" s="43">
        <v>4</v>
      </c>
      <c r="B9" s="44" t="s">
        <v>49</v>
      </c>
      <c r="C9" s="92"/>
    </row>
    <row r="10" spans="1:6" s="29" customFormat="1" ht="14.4" outlineLevel="1">
      <c r="A10" s="23">
        <v>5.0999999999999996</v>
      </c>
      <c r="B10" s="24" t="s">
        <v>204</v>
      </c>
      <c r="C10" s="609">
        <v>-303344609.70500004</v>
      </c>
    </row>
    <row r="11" spans="1:6" s="29" customFormat="1" ht="14.4" outlineLevel="1">
      <c r="A11" s="23">
        <v>5.2</v>
      </c>
      <c r="B11" s="24" t="s">
        <v>205</v>
      </c>
      <c r="C11" s="609">
        <v>-279271865.3869257</v>
      </c>
    </row>
    <row r="12" spans="1:6" s="29" customFormat="1">
      <c r="A12" s="23">
        <v>6</v>
      </c>
      <c r="B12" s="118" t="s">
        <v>746</v>
      </c>
      <c r="C12" s="123"/>
    </row>
    <row r="13" spans="1:6" s="29" customFormat="1" ht="13.8" thickBot="1">
      <c r="A13" s="25">
        <v>7</v>
      </c>
      <c r="B13" s="120" t="s">
        <v>165</v>
      </c>
      <c r="C13" s="125">
        <f>SUM(C8:C12)</f>
        <v>3632738653.2656264</v>
      </c>
    </row>
    <row r="15" spans="1:6">
      <c r="B15" s="29"/>
    </row>
    <row r="17" spans="1:2" ht="13.8">
      <c r="A17" s="130"/>
      <c r="B17" s="131"/>
    </row>
    <row r="18" spans="1:2" ht="14.4">
      <c r="A18" s="135"/>
      <c r="B18" s="136"/>
    </row>
    <row r="19" spans="1:2" ht="13.8">
      <c r="A19" s="137"/>
      <c r="B19" s="132"/>
    </row>
    <row r="20" spans="1:2" ht="13.8">
      <c r="A20" s="138"/>
      <c r="B20" s="133"/>
    </row>
    <row r="21" spans="1:2" ht="13.8">
      <c r="A21" s="138"/>
      <c r="B21" s="136"/>
    </row>
    <row r="22" spans="1:2" ht="13.8">
      <c r="A22" s="137"/>
      <c r="B22" s="134"/>
    </row>
    <row r="23" spans="1:2" ht="13.8">
      <c r="A23" s="138"/>
      <c r="B23" s="133"/>
    </row>
    <row r="24" spans="1:2" ht="13.8">
      <c r="A24" s="138"/>
      <c r="B24" s="133"/>
    </row>
    <row r="25" spans="1:2" ht="13.8">
      <c r="A25" s="138"/>
      <c r="B25" s="139"/>
    </row>
    <row r="26" spans="1:2" ht="13.8">
      <c r="A26" s="138"/>
      <c r="B26" s="136"/>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HZvBAiTmSFDdWhbnRw2tNBy04MWVLAD0HK9BZvysVKU=</DigestValue>
    </Reference>
    <Reference Type="http://www.w3.org/2000/09/xmldsig#Object" URI="#idOfficeObject">
      <DigestMethod Algorithm="http://www.w3.org/2001/04/xmlenc#sha256"/>
      <DigestValue>fueJHoUtxhvtfNuDxGaiNFTzipHJGh7PCj0Ck4MQAs4=</DigestValue>
    </Reference>
    <Reference Type="http://uri.etsi.org/01903#SignedProperties" URI="#idSignedProperties">
      <Transforms>
        <Transform Algorithm="http://www.w3.org/TR/2001/REC-xml-c14n-20010315"/>
      </Transforms>
      <DigestMethod Algorithm="http://www.w3.org/2001/04/xmlenc#sha256"/>
      <DigestValue>mvdT8DZDMpPDXgR0WdbLDCHRCKwgiA6aQq7eyPkFZY0=</DigestValue>
    </Reference>
  </SignedInfo>
  <SignatureValue>izl8+o/HuZPs49OiU2G/qEaH446gJGkfwdkAY82ChlECccu5p62ijzEMgYfTb2N3WzBW5TcdCPU4
bRyrAs61m5u3GO0c8uR9H2WAsNf7EzgV7+VJa/mhgpCWj1sgEKH10bMEpqBu1Ap3aDl1LgyqgeUd
LbLRAPZYdLpB4Ydx2qJiE/pjeoDeBnIsEPbKo15J5kvbZDgg7rNsfqGvog9c5LdQEnynDhaMOoaS
E0tzFWFVS/ttv6M1Cyl1nLPbRx5UFf2mJHfXYmOAiIoVMv8oTQ6SIl5J4g3XfqqvhxD2q0ybltQ1
iQ8o93E6bAzxSps2pDOHHY9RqL45A+L1PnGO1w==</SignatureValue>
  <KeyInfo>
    <X509Data>
      <X509Certificate>MIIGKzCCBROgAwIBAgIKJ40y3AAEAAKI8TANBgkqhkiG9w0BAQsFADBKMRIwEAYKCZImiZPyLGQBGRYCZ2UxEzARBgoJkiaJk/IsZAEZFgNuYmcxHzAdBgNVBAMTFk5CRyBDbGFzcyAyIElOVCBTdWIgQ0EwHhcNMjUwNjMwMDczNDQ4WhcNMjcwNjMwMDczNDQ4WjApMScwJQYDVQQDEx5CQ0QgLSBLb25zdGFudGluZSBHaGFtYmFzaGlkemUwggEiMA0GCSqGSIb3DQEBAQUAA4IBDwAwggEKAoIBAQDp+8svDO5/CWsNWcoY4JcK1WBL+1emG9Kjybiy/UFmdLQlZjNEIXZQuPQDB3l8lGifPu2MKhEVn4pSWM96ENL/s3ow4Kn0EcUaZg/Wib3Vv3Zrqsvqnc9sORLf6wAwjrJq6WdMsP73+KUQPB8dFoDzAzKTuxIjHd4wk/ehOqjmuDXkeZUWUO0SoOSSf+9zaiIKJfHk78fTo2PLVILR8LBcREHKMOkqfEvI2ZAzyU8ZbTfQCUuPuA+tP9Rg8qwbyHs3oB9PMOFyV6rcA+K3O73hOwig2phvHz5FsOBK8Um8U8pnj7FwdNVykTG9IuJ4k0abryk4O0DfiJKBwIgjVQMRAgMBAAGjggMyMIIDLjA8BgkrBgEEAYI3FQcELzAtBiUrBgEEAYI3FQjmsmCDjfVEhoGZCYO4oUqDvoRxBIPEkTOEg4hdAgFkAgEjMB0GA1UdJQQWMBQGCCsGAQUFBwMCBggrBgEFBQcDBDALBgNVHQ8EBAMCB4AwJwYJKwYBBAGCNxUKBBowGDAKBggrBgEFBQcDAjAKBggrBgEFBQcDBDAdBgNVHQ4EFgQUMdNFy5GzIzAwJEakNbOCs8N27Hs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J3ihD8LaacrVnsHjHrRYobo+5IAtEEzQzFEVXymIXShx9rOvpyiubjqjWnNFH8PRthCx4f7ygT9RAkjY5o3nLnjZVsapunkubFkpqGnrXzqwqroDAC7r90eMNsyZZbpWwUAFD5Y6e9Sx/++lfOp6FkHoX2cwS+fXDYT9ZOuFZc5eCAG18vr3mrn64cUob3He7gjGkGnx1vkjtzp+0V213dqtFVjGxQjZQz7Add8GCNFg3KnFW91Ihrd2rI4w32xavXu5cZU+FimHpvnBUBqDYy/vN/jn7BAu2CRdrjwCDvgun6l1dr89IojTity3ldh8BPlzQhjBCLULzK/lgMkif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bEE9bE3Vxj1QHIiGvLvomXssaYOITdiVeTE51Pn3nPc=</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PS7M1pmQ3gew/43lrfNGtVf6TBlYmBvJBrRXQ02usgY=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593Ea8utz+0Sijzmovsr/YMTaDZuB+wPvgL+bPC/IGc=</DigestValue>
      </Reference>
      <Reference URI="/xl/styles.xml?ContentType=application/vnd.openxmlformats-officedocument.spreadsheetml.styles+xml">
        <DigestMethod Algorithm="http://www.w3.org/2001/04/xmlenc#sha256"/>
        <DigestValue>uPqwGqDS3K/BX+AdVMmV9VEix28l0itV7pExsD0hPEM=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aO2iII0ofmxT3BoUa1iZ/0ffiDhNEEo7tsK1pKkuJi4=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GaCdVUhUxG1WfiRM2O0gv3y1CoGVrgCVP2o5HKFC7LA=</DigestValue>
      </Reference>
      <Reference URI="/xl/worksheets/sheet10.xml?ContentType=application/vnd.openxmlformats-officedocument.spreadsheetml.worksheet+xml">
        <DigestMethod Algorithm="http://www.w3.org/2001/04/xmlenc#sha256"/>
        <DigestValue>uHZcAMdWbrBPx9QoWH9N5gT30ZXI3tw6ugc+7SCKI2g=</DigestValue>
      </Reference>
      <Reference URI="/xl/worksheets/sheet11.xml?ContentType=application/vnd.openxmlformats-officedocument.spreadsheetml.worksheet+xml">
        <DigestMethod Algorithm="http://www.w3.org/2001/04/xmlenc#sha256"/>
        <DigestValue>1EFA1KB1arnjoVyLp1JneC/NMsv/W9PIT5o6T7lfZIA=</DigestValue>
      </Reference>
      <Reference URI="/xl/worksheets/sheet12.xml?ContentType=application/vnd.openxmlformats-officedocument.spreadsheetml.worksheet+xml">
        <DigestMethod Algorithm="http://www.w3.org/2001/04/xmlenc#sha256"/>
        <DigestValue>hRTtbdkDSdVzo3ccCNkzZZKUzMi6LGV8WJVzK898LOk=</DigestValue>
      </Reference>
      <Reference URI="/xl/worksheets/sheet13.xml?ContentType=application/vnd.openxmlformats-officedocument.spreadsheetml.worksheet+xml">
        <DigestMethod Algorithm="http://www.w3.org/2001/04/xmlenc#sha256"/>
        <DigestValue>8Hec7A5FqCY2EdDKOwwYNXiiKWUOquvYAuBKdC1TRBY=</DigestValue>
      </Reference>
      <Reference URI="/xl/worksheets/sheet14.xml?ContentType=application/vnd.openxmlformats-officedocument.spreadsheetml.worksheet+xml">
        <DigestMethod Algorithm="http://www.w3.org/2001/04/xmlenc#sha256"/>
        <DigestValue>+bvG5HUAfBnUAJZJ7P50e/flpc7ELjrvy+BEAPoLQ1I=</DigestValue>
      </Reference>
      <Reference URI="/xl/worksheets/sheet15.xml?ContentType=application/vnd.openxmlformats-officedocument.spreadsheetml.worksheet+xml">
        <DigestMethod Algorithm="http://www.w3.org/2001/04/xmlenc#sha256"/>
        <DigestValue>RYXPZopVwGv3+SkH7RMMk1HBdVyD817TKCkZ5KFq3+M=</DigestValue>
      </Reference>
      <Reference URI="/xl/worksheets/sheet16.xml?ContentType=application/vnd.openxmlformats-officedocument.spreadsheetml.worksheet+xml">
        <DigestMethod Algorithm="http://www.w3.org/2001/04/xmlenc#sha256"/>
        <DigestValue>GzlQBgwo8tvWqGoIW8wDdV8cwOpLf38V98zycuiXNKI=</DigestValue>
      </Reference>
      <Reference URI="/xl/worksheets/sheet17.xml?ContentType=application/vnd.openxmlformats-officedocument.spreadsheetml.worksheet+xml">
        <DigestMethod Algorithm="http://www.w3.org/2001/04/xmlenc#sha256"/>
        <DigestValue>1UP1RLJxBV0q+dMFaMDIEVNXw2dEtj7WQuT1pg4sOeQ=</DigestValue>
      </Reference>
      <Reference URI="/xl/worksheets/sheet18.xml?ContentType=application/vnd.openxmlformats-officedocument.spreadsheetml.worksheet+xml">
        <DigestMethod Algorithm="http://www.w3.org/2001/04/xmlenc#sha256"/>
        <DigestValue>RQ5isGS0p3nXPWdwTeLxVmDsposfNNFz96kN4wGLiEQ=</DigestValue>
      </Reference>
      <Reference URI="/xl/worksheets/sheet19.xml?ContentType=application/vnd.openxmlformats-officedocument.spreadsheetml.worksheet+xml">
        <DigestMethod Algorithm="http://www.w3.org/2001/04/xmlenc#sha256"/>
        <DigestValue>lJI9B8gkBxMfAEBrNi/g40CD1Zm10wK7P11PpiSruhY=</DigestValue>
      </Reference>
      <Reference URI="/xl/worksheets/sheet2.xml?ContentType=application/vnd.openxmlformats-officedocument.spreadsheetml.worksheet+xml">
        <DigestMethod Algorithm="http://www.w3.org/2001/04/xmlenc#sha256"/>
        <DigestValue>vzwvv4Af4xqoGQlmf1K+v/eBTroXRHwg7rrk1j8+JzY=</DigestValue>
      </Reference>
      <Reference URI="/xl/worksheets/sheet20.xml?ContentType=application/vnd.openxmlformats-officedocument.spreadsheetml.worksheet+xml">
        <DigestMethod Algorithm="http://www.w3.org/2001/04/xmlenc#sha256"/>
        <DigestValue>U0OPfWwnZSoI30HJ0blny02whvP2HmaH+x/fwOqUru0=</DigestValue>
      </Reference>
      <Reference URI="/xl/worksheets/sheet21.xml?ContentType=application/vnd.openxmlformats-officedocument.spreadsheetml.worksheet+xml">
        <DigestMethod Algorithm="http://www.w3.org/2001/04/xmlenc#sha256"/>
        <DigestValue>9N/Jgt0DCzHQcZzuXQioJxytw6JAeJQbSRC/PPwl170=</DigestValue>
      </Reference>
      <Reference URI="/xl/worksheets/sheet22.xml?ContentType=application/vnd.openxmlformats-officedocument.spreadsheetml.worksheet+xml">
        <DigestMethod Algorithm="http://www.w3.org/2001/04/xmlenc#sha256"/>
        <DigestValue>GiWmLSPgVyewr0reqJ58H2/aG+HXYw40LIeRIKdOgwM=</DigestValue>
      </Reference>
      <Reference URI="/xl/worksheets/sheet23.xml?ContentType=application/vnd.openxmlformats-officedocument.spreadsheetml.worksheet+xml">
        <DigestMethod Algorithm="http://www.w3.org/2001/04/xmlenc#sha256"/>
        <DigestValue>AS7fKVsRPkG9+DLL1QLpLP0RxGly/dbu/+1h4yrJ2Xs=</DigestValue>
      </Reference>
      <Reference URI="/xl/worksheets/sheet24.xml?ContentType=application/vnd.openxmlformats-officedocument.spreadsheetml.worksheet+xml">
        <DigestMethod Algorithm="http://www.w3.org/2001/04/xmlenc#sha256"/>
        <DigestValue>ELduHiL9O65iwh5tFPsI8eVMJhO/9Gr3EidQ2Uv7asA=</DigestValue>
      </Reference>
      <Reference URI="/xl/worksheets/sheet25.xml?ContentType=application/vnd.openxmlformats-officedocument.spreadsheetml.worksheet+xml">
        <DigestMethod Algorithm="http://www.w3.org/2001/04/xmlenc#sha256"/>
        <DigestValue>YXaGERZhIf7r+RL6Ysu3FLsaeEDFXHVdDQ6deqKuQu0=</DigestValue>
      </Reference>
      <Reference URI="/xl/worksheets/sheet26.xml?ContentType=application/vnd.openxmlformats-officedocument.spreadsheetml.worksheet+xml">
        <DigestMethod Algorithm="http://www.w3.org/2001/04/xmlenc#sha256"/>
        <DigestValue>X5ujuzhBNS9CPOoa2K3hVu8dFmHO6mgtNtvMJw4Y8hM=</DigestValue>
      </Reference>
      <Reference URI="/xl/worksheets/sheet27.xml?ContentType=application/vnd.openxmlformats-officedocument.spreadsheetml.worksheet+xml">
        <DigestMethod Algorithm="http://www.w3.org/2001/04/xmlenc#sha256"/>
        <DigestValue>XG56CEOsJ+RkIbbAtrgENmXzBVt3NYuG8z7RQN4VYh0=</DigestValue>
      </Reference>
      <Reference URI="/xl/worksheets/sheet28.xml?ContentType=application/vnd.openxmlformats-officedocument.spreadsheetml.worksheet+xml">
        <DigestMethod Algorithm="http://www.w3.org/2001/04/xmlenc#sha256"/>
        <DigestValue>K8SddcUDvZc3TXed8IIp60kTLTTdEWNMSmhaUQRNQiY=</DigestValue>
      </Reference>
      <Reference URI="/xl/worksheets/sheet29.xml?ContentType=application/vnd.openxmlformats-officedocument.spreadsheetml.worksheet+xml">
        <DigestMethod Algorithm="http://www.w3.org/2001/04/xmlenc#sha256"/>
        <DigestValue>VEVknMcfBGOuywBJi2tQZJBEc/340fnxBd1B2Cpe6EM=</DigestValue>
      </Reference>
      <Reference URI="/xl/worksheets/sheet3.xml?ContentType=application/vnd.openxmlformats-officedocument.spreadsheetml.worksheet+xml">
        <DigestMethod Algorithm="http://www.w3.org/2001/04/xmlenc#sha256"/>
        <DigestValue>6VZFnitDyv7hcrKsbFHSIMKUZOLU3Zpp3Kl2DmqO8ZA=</DigestValue>
      </Reference>
      <Reference URI="/xl/worksheets/sheet30.xml?ContentType=application/vnd.openxmlformats-officedocument.spreadsheetml.worksheet+xml">
        <DigestMethod Algorithm="http://www.w3.org/2001/04/xmlenc#sha256"/>
        <DigestValue>LSVgwXdRAbkaAoSP6MetrQczn80K1qqibCIrf+lEtjA=</DigestValue>
      </Reference>
      <Reference URI="/xl/worksheets/sheet31.xml?ContentType=application/vnd.openxmlformats-officedocument.spreadsheetml.worksheet+xml">
        <DigestMethod Algorithm="http://www.w3.org/2001/04/xmlenc#sha256"/>
        <DigestValue>eowBMgXrvtllEvqhA4IohDqdG10SKMPS4Xh2c42dXSM=</DigestValue>
      </Reference>
      <Reference URI="/xl/worksheets/sheet32.xml?ContentType=application/vnd.openxmlformats-officedocument.spreadsheetml.worksheet+xml">
        <DigestMethod Algorithm="http://www.w3.org/2001/04/xmlenc#sha256"/>
        <DigestValue>J9yab6r+j8UjUufTvBIIsn1znCVthUwENZ9CbY45f8A=</DigestValue>
      </Reference>
      <Reference URI="/xl/worksheets/sheet4.xml?ContentType=application/vnd.openxmlformats-officedocument.spreadsheetml.worksheet+xml">
        <DigestMethod Algorithm="http://www.w3.org/2001/04/xmlenc#sha256"/>
        <DigestValue>TuyDpUBNg358MuX8phom8NNkvM8meRXRvaOO/zbrF0w=</DigestValue>
      </Reference>
      <Reference URI="/xl/worksheets/sheet5.xml?ContentType=application/vnd.openxmlformats-officedocument.spreadsheetml.worksheet+xml">
        <DigestMethod Algorithm="http://www.w3.org/2001/04/xmlenc#sha256"/>
        <DigestValue>O492y5fxPXfH3iMyC0WwyeLzoGFM5XX3PFRcc8oovQE=</DigestValue>
      </Reference>
      <Reference URI="/xl/worksheets/sheet6.xml?ContentType=application/vnd.openxmlformats-officedocument.spreadsheetml.worksheet+xml">
        <DigestMethod Algorithm="http://www.w3.org/2001/04/xmlenc#sha256"/>
        <DigestValue>Ze0H0JsqXwIQUoHYx24R2SUR85TsjDTZm6JdYo7mvuk=</DigestValue>
      </Reference>
      <Reference URI="/xl/worksheets/sheet7.xml?ContentType=application/vnd.openxmlformats-officedocument.spreadsheetml.worksheet+xml">
        <DigestMethod Algorithm="http://www.w3.org/2001/04/xmlenc#sha256"/>
        <DigestValue>s3q0F/9Qsxk9mktSAO10qeVfsM1M1F6ifHeMyyGgXUI=</DigestValue>
      </Reference>
      <Reference URI="/xl/worksheets/sheet8.xml?ContentType=application/vnd.openxmlformats-officedocument.spreadsheetml.worksheet+xml">
        <DigestMethod Algorithm="http://www.w3.org/2001/04/xmlenc#sha256"/>
        <DigestValue>9u+PQQw7Y2ayCFY42/QU/YgAsQP3brZdynEaBtEwK9I=</DigestValue>
      </Reference>
      <Reference URI="/xl/worksheets/sheet9.xml?ContentType=application/vnd.openxmlformats-officedocument.spreadsheetml.worksheet+xml">
        <DigestMethod Algorithm="http://www.w3.org/2001/04/xmlenc#sha256"/>
        <DigestValue>1ML5jMWSNpF/h4PGN5yDkN8NWtQIaaR3wnWIlqJRw68=</DigestValue>
      </Reference>
    </Manifest>
    <SignatureProperties>
      <SignatureProperty Id="idSignatureTime" Target="#idPackageSignature">
        <mdssi:SignatureTime xmlns:mdssi="http://schemas.openxmlformats.org/package/2006/digital-signature">
          <mdssi:Format>YYYY-MM-DDThh:mm:ssTZD</mdssi:Format>
          <mdssi:Value>2025-10-15T13:52:32Z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aaaa</SignatureComments>
          <WindowsVersion>10.0</WindowsVersion>
          <OfficeVersion>16.0.19231/27</OfficeVersion>
          <ApplicationVersion>16.0.19231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2025-10-15T13:52:32Z</xd:SigningTime>
          <xd:SigningCertificate>
            <xd:Cert>
              <xd:CertDigest>
                <DigestMethod Algorithm="http://www.w3.org/2001/04/xmlenc#sha256"/>
                <DigestValue>bU55H9dcBqi3ttBbYMli7D2XBNW2C5FpDZHhp0iA0fQ=</DigestValue>
              </xd:CertDigest>
              <xd:IssuerSerial>
                <X509IssuerName>CN=NBG Class 2 INT Sub CA, DC=nbg, DC=ge</X509IssuerName>
                <X509SerialNumber>186776948550523162888433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Qualifiers>
              <xd:CommitmentTypeQualifier>aaaa</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S1gAV9VG1BXHitKROxlEarfWvNyRmFniGgpM2uecMfk=</DigestValue>
    </Reference>
    <Reference Type="http://www.w3.org/2000/09/xmldsig#Object" URI="#idOfficeObject">
      <DigestMethod Algorithm="http://www.w3.org/2001/04/xmlenc#sha256"/>
      <DigestValue>svSn5OMMvn/mc7fMksD/VkMmyUtkecQhBFVIHdZpGLo=</DigestValue>
    </Reference>
    <Reference Type="http://uri.etsi.org/01903#SignedProperties" URI="#idSignedProperties">
      <Transforms>
        <Transform Algorithm="http://www.w3.org/TR/2001/REC-xml-c14n-20010315"/>
      </Transforms>
      <DigestMethod Algorithm="http://www.w3.org/2001/04/xmlenc#sha256"/>
      <DigestValue>tHeLqxNfcFW323g8QgjeCReL3wjdU0BNotq/xAvQkpA=</DigestValue>
    </Reference>
  </SignedInfo>
  <SignatureValue>2w0DEK+yDXr/MN641BCMvqE6cgnTmPMjPXW0+ELGs9iRirGEmWKrNQQ8hjfnNEPly0ceVHXGBx45
CglA547jaEGcPbX/KovpZ3S1r4fZJVZt2gxP2uUVytLsrXfFppuItIM8vzCOf8BSpp7XqLiWaMJc
76STFa5fLl2JHHiB4MlCEpjjnHgOwR57tbkuTqDnzJfxyxFOUmqI8iT2XzPQz1vhrfF5yfwTTSFb
T/4Fp1gdcNOlt/dkwa7YNI+KaMu5G/A+25z/iu99cVvXYqjT2Ir2tAHu4sQ0/7pejHp0JXVaTibW
dq4itP9Au6PuQjFCMsGpFQlLz2NDAWNzaF8TzA==</SignatureValue>
  <KeyInfo>
    <X509Data>
      <X509Certificate>MIIGPjCCBSagAwIBAgIKJ3JJaAAEAAKI8DANBgkqhkiG9w0BAQsFADBKMRIwEAYKCZImiZPyLGQBGRYCZ2UxEzARBgoJkiaJk/IsZAEZFgNuYmcxHzAdBgNVBAMTFk5CRyBDbGFzcyAyIElOVCBTdWIgQ0EwHhcNMjUwNjMwMDcwNTI0WhcNMjcwNjMwMDcwNTI0WjA8MRcwFQYDVQQKEw5KU0MgQ3JlZG8gQmFuazEhMB8GA1UEAxMYQkNEIC0gRXJla2xlIFphdGlhc2h2aWxpMIIBIjANBgkqhkiG9w0BAQEFAAOCAQ8AMIIBCgKCAQEA45GSJSX5XVSnf7fyLnbR9YHGUbwE3pC0CZ1t6xWXnVPHQxewtNSfXrj/GpL6eGyUOsZvc651RVi8p0i6blXuPvbI2qHF7n/jRhoZizXHrd8tzM/oaXIkgIVzFiRL3zyXihQi0VSOrz82mef0bV9jzTJdnKItiLcob8S+qZ2xIgBLDSf1ojGhz7SeB1xxEePOS561Go6s+ahrJwP9uw/s0jUQM7WxMtQN5wKJjiBYUhmM2kEiXYHVtekvAfBsAnJpcyABc/kg/4xgIpln5BbaNNb2u8sAxNtCqXX/9U6nMCqwedqD4gXd8/eyHPne9qQq0d9FmrNNnEaG+e0b51X0RwIDAQABo4IDMjCCAy4wPAYJKwYBBAGCNxUHBC8wLQYlKwYBBAGCNxUI5rJgg431RIaBmQmDuKFKg76EcQSDxJEzhIOIXQIBZAIBIzAdBgNVHSUEFjAUBggrBgEFBQcDAgYIKwYBBQUHAwQwCwYDVR0PBAQDAgeAMCcGCSsGAQQBgjcVCgQaMBgwCgYIKwYBBQUHAwIwCgYIKwYBBQUHAwQwHQYDVR0OBBYEFJNIFQVzutRSv2LCzcizQy9x8tzk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CDupBcsiReXJd6sxEhqCzqGB9pdjIsuuZYLLLseiVD0r1bfMg8g5c/EHMMP0ejeQi2MKQGPq0zG/1qDYNxJu1t/d6ALuqLW0CHiX58/jpTiX+Op6nIPI56b8va3wceRTcfOlVnbhz85UL31//oH2V+LKgGKMcIE/NVepgtQsz2plyGmtTzAtirmVmbYBk1ulUBW0xwugNPDu5vHCeLSEteN4eAcbKEU35Zjtdo4LImxka7r3K1xKGrmWnJw85V73WMRlatIekR+B9j0ZrUks50k785oza/1YE3s12bVdTCvimr3u5gFZ4pYAk9PVvxRVxz6CQLbbhDtOfKm6PYJ0c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bEE9bE3Vxj1QHIiGvLvomXssaYOITdiVeTE51Pn3nPc=</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PS7M1pmQ3gew/43lrfNGtVf6TBlYmBvJBrRXQ02usgY=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593Ea8utz+0Sijzmovsr/YMTaDZuB+wPvgL+bPC/IGc=</DigestValue>
      </Reference>
      <Reference URI="/xl/styles.xml?ContentType=application/vnd.openxmlformats-officedocument.spreadsheetml.styles+xml">
        <DigestMethod Algorithm="http://www.w3.org/2001/04/xmlenc#sha256"/>
        <DigestValue>uPqwGqDS3K/BX+AdVMmV9VEix28l0itV7pExsD0hPEM=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aO2iII0ofmxT3BoUa1iZ/0ffiDhNEEo7tsK1pKkuJi4=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GaCdVUhUxG1WfiRM2O0gv3y1CoGVrgCVP2o5HKFC7LA=</DigestValue>
      </Reference>
      <Reference URI="/xl/worksheets/sheet10.xml?ContentType=application/vnd.openxmlformats-officedocument.spreadsheetml.worksheet+xml">
        <DigestMethod Algorithm="http://www.w3.org/2001/04/xmlenc#sha256"/>
        <DigestValue>uHZcAMdWbrBPx9QoWH9N5gT30ZXI3tw6ugc+7SCKI2g=</DigestValue>
      </Reference>
      <Reference URI="/xl/worksheets/sheet11.xml?ContentType=application/vnd.openxmlformats-officedocument.spreadsheetml.worksheet+xml">
        <DigestMethod Algorithm="http://www.w3.org/2001/04/xmlenc#sha256"/>
        <DigestValue>1EFA1KB1arnjoVyLp1JneC/NMsv/W9PIT5o6T7lfZIA=</DigestValue>
      </Reference>
      <Reference URI="/xl/worksheets/sheet12.xml?ContentType=application/vnd.openxmlformats-officedocument.spreadsheetml.worksheet+xml">
        <DigestMethod Algorithm="http://www.w3.org/2001/04/xmlenc#sha256"/>
        <DigestValue>hRTtbdkDSdVzo3ccCNkzZZKUzMi6LGV8WJVzK898LOk=</DigestValue>
      </Reference>
      <Reference URI="/xl/worksheets/sheet13.xml?ContentType=application/vnd.openxmlformats-officedocument.spreadsheetml.worksheet+xml">
        <DigestMethod Algorithm="http://www.w3.org/2001/04/xmlenc#sha256"/>
        <DigestValue>8Hec7A5FqCY2EdDKOwwYNXiiKWUOquvYAuBKdC1TRBY=</DigestValue>
      </Reference>
      <Reference URI="/xl/worksheets/sheet14.xml?ContentType=application/vnd.openxmlformats-officedocument.spreadsheetml.worksheet+xml">
        <DigestMethod Algorithm="http://www.w3.org/2001/04/xmlenc#sha256"/>
        <DigestValue>+bvG5HUAfBnUAJZJ7P50e/flpc7ELjrvy+BEAPoLQ1I=</DigestValue>
      </Reference>
      <Reference URI="/xl/worksheets/sheet15.xml?ContentType=application/vnd.openxmlformats-officedocument.spreadsheetml.worksheet+xml">
        <DigestMethod Algorithm="http://www.w3.org/2001/04/xmlenc#sha256"/>
        <DigestValue>RYXPZopVwGv3+SkH7RMMk1HBdVyD817TKCkZ5KFq3+M=</DigestValue>
      </Reference>
      <Reference URI="/xl/worksheets/sheet16.xml?ContentType=application/vnd.openxmlformats-officedocument.spreadsheetml.worksheet+xml">
        <DigestMethod Algorithm="http://www.w3.org/2001/04/xmlenc#sha256"/>
        <DigestValue>GzlQBgwo8tvWqGoIW8wDdV8cwOpLf38V98zycuiXNKI=</DigestValue>
      </Reference>
      <Reference URI="/xl/worksheets/sheet17.xml?ContentType=application/vnd.openxmlformats-officedocument.spreadsheetml.worksheet+xml">
        <DigestMethod Algorithm="http://www.w3.org/2001/04/xmlenc#sha256"/>
        <DigestValue>1UP1RLJxBV0q+dMFaMDIEVNXw2dEtj7WQuT1pg4sOeQ=</DigestValue>
      </Reference>
      <Reference URI="/xl/worksheets/sheet18.xml?ContentType=application/vnd.openxmlformats-officedocument.spreadsheetml.worksheet+xml">
        <DigestMethod Algorithm="http://www.w3.org/2001/04/xmlenc#sha256"/>
        <DigestValue>RQ5isGS0p3nXPWdwTeLxVmDsposfNNFz96kN4wGLiEQ=</DigestValue>
      </Reference>
      <Reference URI="/xl/worksheets/sheet19.xml?ContentType=application/vnd.openxmlformats-officedocument.spreadsheetml.worksheet+xml">
        <DigestMethod Algorithm="http://www.w3.org/2001/04/xmlenc#sha256"/>
        <DigestValue>lJI9B8gkBxMfAEBrNi/g40CD1Zm10wK7P11PpiSruhY=</DigestValue>
      </Reference>
      <Reference URI="/xl/worksheets/sheet2.xml?ContentType=application/vnd.openxmlformats-officedocument.spreadsheetml.worksheet+xml">
        <DigestMethod Algorithm="http://www.w3.org/2001/04/xmlenc#sha256"/>
        <DigestValue>vzwvv4Af4xqoGQlmf1K+v/eBTroXRHwg7rrk1j8+JzY=</DigestValue>
      </Reference>
      <Reference URI="/xl/worksheets/sheet20.xml?ContentType=application/vnd.openxmlformats-officedocument.spreadsheetml.worksheet+xml">
        <DigestMethod Algorithm="http://www.w3.org/2001/04/xmlenc#sha256"/>
        <DigestValue>U0OPfWwnZSoI30HJ0blny02whvP2HmaH+x/fwOqUru0=</DigestValue>
      </Reference>
      <Reference URI="/xl/worksheets/sheet21.xml?ContentType=application/vnd.openxmlformats-officedocument.spreadsheetml.worksheet+xml">
        <DigestMethod Algorithm="http://www.w3.org/2001/04/xmlenc#sha256"/>
        <DigestValue>9N/Jgt0DCzHQcZzuXQioJxytw6JAeJQbSRC/PPwl170=</DigestValue>
      </Reference>
      <Reference URI="/xl/worksheets/sheet22.xml?ContentType=application/vnd.openxmlformats-officedocument.spreadsheetml.worksheet+xml">
        <DigestMethod Algorithm="http://www.w3.org/2001/04/xmlenc#sha256"/>
        <DigestValue>GiWmLSPgVyewr0reqJ58H2/aG+HXYw40LIeRIKdOgwM=</DigestValue>
      </Reference>
      <Reference URI="/xl/worksheets/sheet23.xml?ContentType=application/vnd.openxmlformats-officedocument.spreadsheetml.worksheet+xml">
        <DigestMethod Algorithm="http://www.w3.org/2001/04/xmlenc#sha256"/>
        <DigestValue>AS7fKVsRPkG9+DLL1QLpLP0RxGly/dbu/+1h4yrJ2Xs=</DigestValue>
      </Reference>
      <Reference URI="/xl/worksheets/sheet24.xml?ContentType=application/vnd.openxmlformats-officedocument.spreadsheetml.worksheet+xml">
        <DigestMethod Algorithm="http://www.w3.org/2001/04/xmlenc#sha256"/>
        <DigestValue>ELduHiL9O65iwh5tFPsI8eVMJhO/9Gr3EidQ2Uv7asA=</DigestValue>
      </Reference>
      <Reference URI="/xl/worksheets/sheet25.xml?ContentType=application/vnd.openxmlformats-officedocument.spreadsheetml.worksheet+xml">
        <DigestMethod Algorithm="http://www.w3.org/2001/04/xmlenc#sha256"/>
        <DigestValue>YXaGERZhIf7r+RL6Ysu3FLsaeEDFXHVdDQ6deqKuQu0=</DigestValue>
      </Reference>
      <Reference URI="/xl/worksheets/sheet26.xml?ContentType=application/vnd.openxmlformats-officedocument.spreadsheetml.worksheet+xml">
        <DigestMethod Algorithm="http://www.w3.org/2001/04/xmlenc#sha256"/>
        <DigestValue>X5ujuzhBNS9CPOoa2K3hVu8dFmHO6mgtNtvMJw4Y8hM=</DigestValue>
      </Reference>
      <Reference URI="/xl/worksheets/sheet27.xml?ContentType=application/vnd.openxmlformats-officedocument.spreadsheetml.worksheet+xml">
        <DigestMethod Algorithm="http://www.w3.org/2001/04/xmlenc#sha256"/>
        <DigestValue>XG56CEOsJ+RkIbbAtrgENmXzBVt3NYuG8z7RQN4VYh0=</DigestValue>
      </Reference>
      <Reference URI="/xl/worksheets/sheet28.xml?ContentType=application/vnd.openxmlformats-officedocument.spreadsheetml.worksheet+xml">
        <DigestMethod Algorithm="http://www.w3.org/2001/04/xmlenc#sha256"/>
        <DigestValue>K8SddcUDvZc3TXed8IIp60kTLTTdEWNMSmhaUQRNQiY=</DigestValue>
      </Reference>
      <Reference URI="/xl/worksheets/sheet29.xml?ContentType=application/vnd.openxmlformats-officedocument.spreadsheetml.worksheet+xml">
        <DigestMethod Algorithm="http://www.w3.org/2001/04/xmlenc#sha256"/>
        <DigestValue>VEVknMcfBGOuywBJi2tQZJBEc/340fnxBd1B2Cpe6EM=</DigestValue>
      </Reference>
      <Reference URI="/xl/worksheets/sheet3.xml?ContentType=application/vnd.openxmlformats-officedocument.spreadsheetml.worksheet+xml">
        <DigestMethod Algorithm="http://www.w3.org/2001/04/xmlenc#sha256"/>
        <DigestValue>6VZFnitDyv7hcrKsbFHSIMKUZOLU3Zpp3Kl2DmqO8ZA=</DigestValue>
      </Reference>
      <Reference URI="/xl/worksheets/sheet30.xml?ContentType=application/vnd.openxmlformats-officedocument.spreadsheetml.worksheet+xml">
        <DigestMethod Algorithm="http://www.w3.org/2001/04/xmlenc#sha256"/>
        <DigestValue>LSVgwXdRAbkaAoSP6MetrQczn80K1qqibCIrf+lEtjA=</DigestValue>
      </Reference>
      <Reference URI="/xl/worksheets/sheet31.xml?ContentType=application/vnd.openxmlformats-officedocument.spreadsheetml.worksheet+xml">
        <DigestMethod Algorithm="http://www.w3.org/2001/04/xmlenc#sha256"/>
        <DigestValue>eowBMgXrvtllEvqhA4IohDqdG10SKMPS4Xh2c42dXSM=</DigestValue>
      </Reference>
      <Reference URI="/xl/worksheets/sheet32.xml?ContentType=application/vnd.openxmlformats-officedocument.spreadsheetml.worksheet+xml">
        <DigestMethod Algorithm="http://www.w3.org/2001/04/xmlenc#sha256"/>
        <DigestValue>J9yab6r+j8UjUufTvBIIsn1znCVthUwENZ9CbY45f8A=</DigestValue>
      </Reference>
      <Reference URI="/xl/worksheets/sheet4.xml?ContentType=application/vnd.openxmlformats-officedocument.spreadsheetml.worksheet+xml">
        <DigestMethod Algorithm="http://www.w3.org/2001/04/xmlenc#sha256"/>
        <DigestValue>TuyDpUBNg358MuX8phom8NNkvM8meRXRvaOO/zbrF0w=</DigestValue>
      </Reference>
      <Reference URI="/xl/worksheets/sheet5.xml?ContentType=application/vnd.openxmlformats-officedocument.spreadsheetml.worksheet+xml">
        <DigestMethod Algorithm="http://www.w3.org/2001/04/xmlenc#sha256"/>
        <DigestValue>O492y5fxPXfH3iMyC0WwyeLzoGFM5XX3PFRcc8oovQE=</DigestValue>
      </Reference>
      <Reference URI="/xl/worksheets/sheet6.xml?ContentType=application/vnd.openxmlformats-officedocument.spreadsheetml.worksheet+xml">
        <DigestMethod Algorithm="http://www.w3.org/2001/04/xmlenc#sha256"/>
        <DigestValue>Ze0H0JsqXwIQUoHYx24R2SUR85TsjDTZm6JdYo7mvuk=</DigestValue>
      </Reference>
      <Reference URI="/xl/worksheets/sheet7.xml?ContentType=application/vnd.openxmlformats-officedocument.spreadsheetml.worksheet+xml">
        <DigestMethod Algorithm="http://www.w3.org/2001/04/xmlenc#sha256"/>
        <DigestValue>s3q0F/9Qsxk9mktSAO10qeVfsM1M1F6ifHeMyyGgXUI=</DigestValue>
      </Reference>
      <Reference URI="/xl/worksheets/sheet8.xml?ContentType=application/vnd.openxmlformats-officedocument.spreadsheetml.worksheet+xml">
        <DigestMethod Algorithm="http://www.w3.org/2001/04/xmlenc#sha256"/>
        <DigestValue>9u+PQQw7Y2ayCFY42/QU/YgAsQP3brZdynEaBtEwK9I=</DigestValue>
      </Reference>
      <Reference URI="/xl/worksheets/sheet9.xml?ContentType=application/vnd.openxmlformats-officedocument.spreadsheetml.worksheet+xml">
        <DigestMethod Algorithm="http://www.w3.org/2001/04/xmlenc#sha256"/>
        <DigestValue>1ML5jMWSNpF/h4PGN5yDkN8NWtQIaaR3wnWIlqJRw68=</DigestValue>
      </Reference>
    </Manifest>
    <SignatureProperties>
      <SignatureProperty Id="idSignatureTime" Target="#idPackageSignature">
        <mdssi:SignatureTime xmlns:mdssi="http://schemas.openxmlformats.org/package/2006/digital-signature">
          <mdssi:Format>YYYY-MM-DDThh:mm:ssTZD</mdssi:Format>
          <mdssi:Value>2025-10-21T15:53:16Z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nbg reporting</SignatureComments>
          <WindowsVersion>10.0</WindowsVersion>
          <OfficeVersion>16.0.19231/27</OfficeVersion>
          <ApplicationVersion>16.0.19231</ApplicationVersion>
          <Monitors>1</Monitors>
          <HorizontalResolution>3840</HorizontalResolution>
          <VerticalResolution>2160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2025-10-21T15:53:16Z</xd:SigningTime>
          <xd:SigningCertificate>
            <xd:Cert>
              <xd:CertDigest>
                <DigestMethod Algorithm="http://www.w3.org/2001/04/xmlenc#sha256"/>
                <DigestValue>Q7Uepn9gkBAEvbbhMzOw/ABQnlA3wu/Avda6gvXjvFg=</DigestValue>
              </xd:CertDigest>
              <xd:IssuerSerial>
                <X509IssuerName>CN=NBG Class 2 INT Sub CA, DC=nbg, DC=ge</X509IssuerName>
                <X509SerialNumber>186280511134098578901232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nbg reporting</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2025-10-15T12:04:05Z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