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defaultThemeVersion="124226"/>
  <xr:revisionPtr revIDLastSave="0" documentId="13_ncr:1_{475221C3-8021-42FF-A743-CEE7A22EF401}" xr6:coauthVersionLast="47" xr6:coauthVersionMax="47" xr10:uidLastSave="{00000000-0000-0000-0000-000000000000}"/>
  <bookViews>
    <workbookView xWindow="-108" yWindow="-108" windowWidth="23256" windowHeight="12456" tabRatio="919" activeTab="5"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120" l="1"/>
  <c r="M20" i="120"/>
  <c r="N19" i="120"/>
  <c r="M18" i="120"/>
  <c r="M17" i="120"/>
  <c r="M16" i="120"/>
  <c r="M15" i="120"/>
  <c r="M14" i="120"/>
  <c r="Q13" i="120"/>
  <c r="Q19" i="120" s="1"/>
  <c r="P13" i="120"/>
  <c r="P19" i="120" s="1"/>
  <c r="O13" i="120"/>
  <c r="O19" i="120" s="1"/>
  <c r="N13" i="120"/>
  <c r="M13" i="120" s="1"/>
  <c r="M12" i="120"/>
  <c r="M11" i="120"/>
  <c r="M10" i="120"/>
  <c r="M9" i="120"/>
  <c r="M8" i="120"/>
  <c r="M7" i="120"/>
  <c r="H20" i="120"/>
  <c r="I19" i="120"/>
  <c r="H18" i="120"/>
  <c r="H17" i="120"/>
  <c r="H16" i="120"/>
  <c r="H15" i="120"/>
  <c r="H14" i="120"/>
  <c r="L13" i="120"/>
  <c r="L19" i="120" s="1"/>
  <c r="K13" i="120"/>
  <c r="K19" i="120" s="1"/>
  <c r="J13" i="120"/>
  <c r="H13" i="120" s="1"/>
  <c r="I13" i="120"/>
  <c r="H12" i="120"/>
  <c r="H11" i="120"/>
  <c r="H10" i="120"/>
  <c r="H9" i="120"/>
  <c r="H8" i="120"/>
  <c r="H7" i="120"/>
  <c r="C22" i="117"/>
  <c r="C21" i="117"/>
  <c r="C20" i="117"/>
  <c r="C19" i="117"/>
  <c r="C18" i="117"/>
  <c r="C17" i="117"/>
  <c r="AA10" i="117"/>
  <c r="Z10" i="117"/>
  <c r="Y10" i="117"/>
  <c r="X10" i="117"/>
  <c r="W10" i="117"/>
  <c r="V10" i="117"/>
  <c r="U10" i="117"/>
  <c r="T10" i="117"/>
  <c r="S10" i="117"/>
  <c r="R10" i="117"/>
  <c r="Q10" i="117"/>
  <c r="P10" i="117"/>
  <c r="O10" i="117"/>
  <c r="N10" i="117"/>
  <c r="M10" i="117"/>
  <c r="L10" i="117"/>
  <c r="K10" i="117"/>
  <c r="J10" i="117"/>
  <c r="I10" i="117"/>
  <c r="H10" i="117"/>
  <c r="G10" i="117"/>
  <c r="F10" i="117"/>
  <c r="E10" i="117"/>
  <c r="D10" i="117"/>
  <c r="C10" i="117"/>
  <c r="C9" i="117"/>
  <c r="C8" i="117"/>
  <c r="D15" i="116"/>
  <c r="G26" i="97"/>
  <c r="G24" i="97"/>
  <c r="F24" i="97"/>
  <c r="E24" i="97"/>
  <c r="D24" i="97"/>
  <c r="C24" i="97"/>
  <c r="G15" i="97"/>
  <c r="G14" i="97" s="1"/>
  <c r="G13" i="97"/>
  <c r="G12" i="97"/>
  <c r="G11" i="97" s="1"/>
  <c r="G10" i="97"/>
  <c r="G9" i="97"/>
  <c r="G8" i="97" s="1"/>
  <c r="E6" i="123"/>
  <c r="D6" i="123"/>
  <c r="O6" i="92"/>
  <c r="M19" i="120" l="1"/>
  <c r="H19" i="120"/>
  <c r="J19" i="120"/>
  <c r="C67" i="69"/>
  <c r="C62" i="69"/>
  <c r="C58" i="69"/>
  <c r="C52" i="69"/>
  <c r="C68" i="69" s="1"/>
  <c r="C46" i="69"/>
  <c r="C40" i="69"/>
  <c r="C29" i="69"/>
  <c r="C26" i="69"/>
  <c r="C23" i="69"/>
  <c r="C18" i="69"/>
  <c r="C35" i="69" s="1"/>
  <c r="D31" i="88"/>
  <c r="C31" i="88"/>
  <c r="D28" i="88"/>
  <c r="C28" i="88"/>
  <c r="D25" i="88"/>
  <c r="C25" i="88"/>
  <c r="G38" i="110"/>
  <c r="F38" i="110"/>
  <c r="G30" i="110"/>
  <c r="F30" i="110"/>
  <c r="F17" i="110"/>
  <c r="G14" i="110"/>
  <c r="F14" i="110"/>
  <c r="G11" i="110"/>
  <c r="F11" i="110"/>
  <c r="G8" i="110"/>
  <c r="F8" i="110"/>
  <c r="D38" i="110"/>
  <c r="C38" i="110"/>
  <c r="D30" i="110"/>
  <c r="C30" i="110"/>
  <c r="C27" i="110"/>
  <c r="D17" i="110"/>
  <c r="D14" i="110" s="1"/>
  <c r="C17" i="110"/>
  <c r="C14" i="110" s="1"/>
  <c r="D11" i="110"/>
  <c r="C11" i="110"/>
  <c r="D8" i="110"/>
  <c r="C8" i="110"/>
  <c r="G37" i="109"/>
  <c r="F37" i="109"/>
  <c r="G34" i="109"/>
  <c r="F34" i="109"/>
  <c r="G29" i="109"/>
  <c r="F29" i="109"/>
  <c r="G13" i="109"/>
  <c r="F13" i="109"/>
  <c r="G6" i="109"/>
  <c r="G43" i="109" s="1"/>
  <c r="G45" i="109" s="1"/>
  <c r="F6" i="109"/>
  <c r="F43" i="109" s="1"/>
  <c r="F45" i="109" s="1"/>
  <c r="D39" i="109"/>
  <c r="D37" i="109" s="1"/>
  <c r="C37" i="109"/>
  <c r="D34" i="109"/>
  <c r="C34" i="109"/>
  <c r="D29" i="109"/>
  <c r="C29" i="109"/>
  <c r="C43" i="109" s="1"/>
  <c r="C45" i="109" s="1"/>
  <c r="D13" i="109"/>
  <c r="C13" i="109"/>
  <c r="D6" i="109"/>
  <c r="D43" i="109" s="1"/>
  <c r="D45" i="109" s="1"/>
  <c r="C6" i="109"/>
  <c r="C19" i="108"/>
  <c r="D19" i="108"/>
  <c r="C24" i="108"/>
  <c r="D24" i="108"/>
  <c r="C27" i="108"/>
  <c r="D27" i="108"/>
  <c r="C30" i="108"/>
  <c r="D30" i="108"/>
  <c r="C18" i="120" l="1"/>
  <c r="C17" i="120"/>
  <c r="C16" i="120"/>
  <c r="C15" i="120"/>
  <c r="C14" i="120"/>
  <c r="G13" i="120"/>
  <c r="G19" i="120" s="1"/>
  <c r="F13" i="120"/>
  <c r="F19" i="120" s="1"/>
  <c r="E13" i="120"/>
  <c r="E19" i="120" s="1"/>
  <c r="D13" i="120"/>
  <c r="C12" i="120"/>
  <c r="C11" i="120"/>
  <c r="C10" i="120"/>
  <c r="C9" i="120"/>
  <c r="C8" i="120"/>
  <c r="C7" i="120"/>
  <c r="L33" i="118"/>
  <c r="K33" i="118"/>
  <c r="J33" i="118"/>
  <c r="I33" i="118"/>
  <c r="G33" i="118"/>
  <c r="F33" i="118"/>
  <c r="E33" i="118"/>
  <c r="D33" i="118"/>
  <c r="H32" i="118"/>
  <c r="C32" i="118"/>
  <c r="H31" i="118"/>
  <c r="C31" i="118"/>
  <c r="H30" i="118"/>
  <c r="C30" i="118"/>
  <c r="H29" i="118"/>
  <c r="C29" i="118"/>
  <c r="H28" i="118"/>
  <c r="C28" i="118"/>
  <c r="H27" i="118"/>
  <c r="C27" i="118"/>
  <c r="H26" i="118"/>
  <c r="C26" i="118"/>
  <c r="H25" i="118"/>
  <c r="C25" i="118"/>
  <c r="H24" i="118"/>
  <c r="C24" i="118"/>
  <c r="H23" i="118"/>
  <c r="C23" i="118"/>
  <c r="H22" i="118"/>
  <c r="C22" i="118"/>
  <c r="H21" i="118"/>
  <c r="C21" i="118"/>
  <c r="H20" i="118"/>
  <c r="C20" i="118"/>
  <c r="H19" i="118"/>
  <c r="C19" i="118"/>
  <c r="H18" i="118"/>
  <c r="C18" i="118"/>
  <c r="H17" i="118"/>
  <c r="C17" i="118"/>
  <c r="H16" i="118"/>
  <c r="C16" i="118"/>
  <c r="H15" i="118"/>
  <c r="C15" i="118"/>
  <c r="H14" i="118"/>
  <c r="C14" i="118"/>
  <c r="H13" i="118"/>
  <c r="C13" i="118"/>
  <c r="H12" i="118"/>
  <c r="C12" i="118"/>
  <c r="H11" i="118"/>
  <c r="C11" i="118"/>
  <c r="H10" i="118"/>
  <c r="C10" i="118"/>
  <c r="H9" i="118"/>
  <c r="C9" i="118"/>
  <c r="H8" i="118"/>
  <c r="C8" i="118"/>
  <c r="H7" i="118"/>
  <c r="C7" i="118"/>
  <c r="C22" i="116"/>
  <c r="C16" i="116"/>
  <c r="C15" i="116"/>
  <c r="C14" i="116"/>
  <c r="F8" i="116"/>
  <c r="C13" i="116"/>
  <c r="AA8" i="116"/>
  <c r="Z8" i="116"/>
  <c r="Y8" i="116"/>
  <c r="X8" i="116"/>
  <c r="W8" i="116"/>
  <c r="V8" i="116"/>
  <c r="U8" i="116"/>
  <c r="T8" i="116"/>
  <c r="S8" i="116"/>
  <c r="R8" i="116"/>
  <c r="Q8" i="116"/>
  <c r="P8" i="116"/>
  <c r="O8" i="116"/>
  <c r="N8" i="116"/>
  <c r="M8" i="116"/>
  <c r="L8" i="116"/>
  <c r="K8" i="116"/>
  <c r="J8" i="116"/>
  <c r="I8" i="116"/>
  <c r="H8" i="116"/>
  <c r="E8" i="116"/>
  <c r="D8" i="116"/>
  <c r="C10" i="115"/>
  <c r="C10" i="114"/>
  <c r="C7" i="114"/>
  <c r="G21" i="112"/>
  <c r="F21" i="112"/>
  <c r="E21" i="112"/>
  <c r="D21" i="112"/>
  <c r="C21" i="112"/>
  <c r="G22" i="111"/>
  <c r="F22" i="111"/>
  <c r="E22" i="111"/>
  <c r="D22" i="111"/>
  <c r="C22" i="111"/>
  <c r="H21" i="111"/>
  <c r="H20" i="111"/>
  <c r="H19" i="111"/>
  <c r="H18" i="111"/>
  <c r="H17" i="111"/>
  <c r="H16" i="111"/>
  <c r="H15" i="111"/>
  <c r="H14" i="111"/>
  <c r="H13" i="111"/>
  <c r="H12" i="111"/>
  <c r="H11" i="111"/>
  <c r="H10" i="111"/>
  <c r="H9" i="111"/>
  <c r="H8" i="111"/>
  <c r="C13" i="120" l="1"/>
  <c r="D19" i="120"/>
  <c r="C19" i="120"/>
  <c r="H33" i="118"/>
  <c r="C33" i="118"/>
  <c r="C8" i="116"/>
  <c r="C15" i="114"/>
  <c r="H22" i="111"/>
  <c r="G8" i="116"/>
  <c r="C31" i="95"/>
  <c r="C7" i="95"/>
  <c r="N6" i="92"/>
  <c r="P6" i="92"/>
  <c r="L6" i="92"/>
  <c r="K6" i="92"/>
  <c r="J6" i="92"/>
  <c r="E6" i="92"/>
  <c r="D6" i="92"/>
  <c r="J23" i="93"/>
  <c r="I23" i="93"/>
  <c r="G23" i="93"/>
  <c r="F23" i="93"/>
  <c r="K8" i="93"/>
  <c r="H8" i="93"/>
  <c r="J21" i="93"/>
  <c r="I21" i="93"/>
  <c r="K21" i="93" s="1"/>
  <c r="G21" i="93"/>
  <c r="F21" i="93"/>
  <c r="D21" i="93"/>
  <c r="C21" i="93"/>
  <c r="E21" i="93" s="1"/>
  <c r="K20" i="93"/>
  <c r="H20" i="93"/>
  <c r="E20" i="93"/>
  <c r="K19" i="93"/>
  <c r="H19" i="93"/>
  <c r="E19" i="93"/>
  <c r="E18" i="93"/>
  <c r="J16" i="93"/>
  <c r="I16" i="93"/>
  <c r="G16" i="93"/>
  <c r="F16" i="93"/>
  <c r="D16" i="93"/>
  <c r="C16" i="93"/>
  <c r="K15" i="93"/>
  <c r="H15" i="93"/>
  <c r="E15" i="93"/>
  <c r="K14" i="93"/>
  <c r="H14" i="93"/>
  <c r="E14" i="93"/>
  <c r="K13" i="93"/>
  <c r="H13" i="93"/>
  <c r="E13" i="93"/>
  <c r="K12" i="93"/>
  <c r="H12" i="93"/>
  <c r="E12" i="93"/>
  <c r="K11" i="93"/>
  <c r="H11" i="93"/>
  <c r="E11" i="93"/>
  <c r="K10" i="93"/>
  <c r="H10" i="93"/>
  <c r="E10" i="93"/>
  <c r="H9" i="91"/>
  <c r="H10" i="91"/>
  <c r="H11" i="91"/>
  <c r="H12" i="91"/>
  <c r="H13" i="91"/>
  <c r="H14" i="91"/>
  <c r="H15" i="91"/>
  <c r="H16" i="91"/>
  <c r="H17" i="91"/>
  <c r="H18" i="91"/>
  <c r="H19" i="91"/>
  <c r="H20" i="91"/>
  <c r="H21" i="91"/>
  <c r="H8" i="91"/>
  <c r="C14" i="69"/>
  <c r="C6" i="69"/>
  <c r="E36" i="88"/>
  <c r="E35" i="88"/>
  <c r="E34" i="88"/>
  <c r="E33" i="88"/>
  <c r="E32" i="88"/>
  <c r="E30" i="88"/>
  <c r="E29" i="88"/>
  <c r="E27" i="88"/>
  <c r="E26" i="88"/>
  <c r="E25" i="88" s="1"/>
  <c r="E24" i="88"/>
  <c r="E23" i="88"/>
  <c r="E22" i="88"/>
  <c r="E21" i="88"/>
  <c r="E20" i="88"/>
  <c r="D20" i="88"/>
  <c r="C20" i="88"/>
  <c r="E19" i="88"/>
  <c r="E18" i="88"/>
  <c r="E17" i="88"/>
  <c r="E16" i="88" s="1"/>
  <c r="D16" i="88"/>
  <c r="C16" i="88"/>
  <c r="E15" i="88"/>
  <c r="E14" i="88"/>
  <c r="E13" i="88"/>
  <c r="E12" i="88"/>
  <c r="E11" i="88"/>
  <c r="E8" i="88" s="1"/>
  <c r="E10" i="88"/>
  <c r="E9" i="88"/>
  <c r="D8" i="88"/>
  <c r="C8" i="88"/>
  <c r="J24" i="93" l="1"/>
  <c r="K23" i="93"/>
  <c r="H23" i="93"/>
  <c r="E31" i="88"/>
  <c r="E28" i="88"/>
  <c r="K16" i="93"/>
  <c r="K24" i="93" s="1"/>
  <c r="K25" i="93" s="1"/>
  <c r="J25" i="93"/>
  <c r="I24" i="93"/>
  <c r="I25" i="93" s="1"/>
  <c r="F24" i="93"/>
  <c r="F25" i="93" s="1"/>
  <c r="G24" i="93"/>
  <c r="G25" i="93" s="1"/>
  <c r="H21" i="93"/>
  <c r="H16" i="93"/>
  <c r="H24" i="93" s="1"/>
  <c r="H25" i="93" s="1"/>
  <c r="E16" i="93"/>
  <c r="H43" i="110"/>
  <c r="E43" i="110"/>
  <c r="H42" i="110"/>
  <c r="E42" i="110"/>
  <c r="H41" i="110"/>
  <c r="E41" i="110"/>
  <c r="H40" i="110"/>
  <c r="E40" i="110"/>
  <c r="H39" i="110"/>
  <c r="E39" i="110"/>
  <c r="E38" i="110"/>
  <c r="H37" i="110"/>
  <c r="E37" i="110"/>
  <c r="H36" i="110"/>
  <c r="E36" i="110"/>
  <c r="H35" i="110"/>
  <c r="E35" i="110"/>
  <c r="H34" i="110"/>
  <c r="E34" i="110"/>
  <c r="H33" i="110"/>
  <c r="E33" i="110"/>
  <c r="H32" i="110"/>
  <c r="E32" i="110"/>
  <c r="H31" i="110"/>
  <c r="E31" i="110"/>
  <c r="H30"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H16" i="110"/>
  <c r="E16" i="110"/>
  <c r="H15" i="110"/>
  <c r="E15" i="110"/>
  <c r="H14" i="110"/>
  <c r="H13" i="110"/>
  <c r="E13" i="110"/>
  <c r="H12" i="110"/>
  <c r="E12" i="110"/>
  <c r="H11" i="110"/>
  <c r="E11" i="110"/>
  <c r="H10" i="110"/>
  <c r="E10" i="110"/>
  <c r="H9" i="110"/>
  <c r="E9" i="110"/>
  <c r="H8" i="110"/>
  <c r="E8" i="110"/>
  <c r="H7" i="110"/>
  <c r="E7" i="110"/>
  <c r="H6" i="110"/>
  <c r="E6" i="110"/>
  <c r="G47" i="108"/>
  <c r="F47" i="108"/>
  <c r="G41" i="108"/>
  <c r="G53" i="108" s="1"/>
  <c r="G69" i="108" s="1"/>
  <c r="F41" i="108"/>
  <c r="F53" i="108" s="1"/>
  <c r="G30" i="108"/>
  <c r="F30" i="108"/>
  <c r="G27" i="108"/>
  <c r="F27" i="108"/>
  <c r="G24" i="108"/>
  <c r="F24" i="108"/>
  <c r="G19" i="108"/>
  <c r="F19" i="108"/>
  <c r="G15" i="108"/>
  <c r="F15" i="108"/>
  <c r="G7" i="108"/>
  <c r="G36" i="108" s="1"/>
  <c r="F7" i="108"/>
  <c r="F36" i="108" l="1"/>
  <c r="H38" i="110"/>
  <c r="E17" i="110"/>
  <c r="E14" i="110"/>
  <c r="F6" i="123"/>
  <c r="C6" i="123"/>
  <c r="B1" i="92"/>
  <c r="B2" i="92"/>
  <c r="Q33" i="92"/>
  <c r="I33" i="92"/>
  <c r="Q32" i="92"/>
  <c r="I32" i="92"/>
  <c r="Q31" i="92"/>
  <c r="Q30" i="92" s="1"/>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Q14" i="92" s="1"/>
  <c r="I16" i="92"/>
  <c r="Q15" i="92"/>
  <c r="I15" i="92"/>
  <c r="I14" i="92"/>
  <c r="Q13" i="92"/>
  <c r="I13" i="92"/>
  <c r="Q12" i="92"/>
  <c r="I12" i="92"/>
  <c r="Q11" i="92"/>
  <c r="I11" i="92"/>
  <c r="I10" i="92"/>
  <c r="P9" i="92"/>
  <c r="O9" i="92"/>
  <c r="N9" i="92"/>
  <c r="M9" i="92"/>
  <c r="M6" i="92" s="1"/>
  <c r="M34" i="92" s="1"/>
  <c r="L9" i="92"/>
  <c r="K9" i="92"/>
  <c r="J9" i="92"/>
  <c r="G9" i="92"/>
  <c r="F9" i="92"/>
  <c r="C9" i="92"/>
  <c r="P8" i="92"/>
  <c r="O8" i="92"/>
  <c r="N8" i="92"/>
  <c r="M8" i="92"/>
  <c r="L8" i="92"/>
  <c r="K8" i="92"/>
  <c r="J8" i="92"/>
  <c r="G8" i="92"/>
  <c r="F8" i="92"/>
  <c r="C8" i="92"/>
  <c r="P7" i="92"/>
  <c r="O7" i="92"/>
  <c r="O34" i="92" s="1"/>
  <c r="N7" i="92"/>
  <c r="N34" i="92" s="1"/>
  <c r="M7" i="92"/>
  <c r="L7" i="92"/>
  <c r="L34" i="92" s="1"/>
  <c r="K7" i="92"/>
  <c r="J7" i="92"/>
  <c r="G7" i="92"/>
  <c r="G6" i="92" s="1"/>
  <c r="G34" i="92" s="1"/>
  <c r="C11" i="95" s="1"/>
  <c r="F7" i="92"/>
  <c r="F6" i="92" s="1"/>
  <c r="F34" i="92" s="1"/>
  <c r="C7" i="92"/>
  <c r="C6" i="92" s="1"/>
  <c r="C34" i="92" s="1"/>
  <c r="E34" i="92"/>
  <c r="C13" i="95" s="1"/>
  <c r="D34" i="92"/>
  <c r="B2" i="123"/>
  <c r="B1" i="123"/>
  <c r="P34" i="92" l="1"/>
  <c r="Q8" i="92"/>
  <c r="J34" i="92"/>
  <c r="I34" i="92"/>
  <c r="C12" i="95" s="1"/>
  <c r="C14" i="95" s="1"/>
  <c r="Q18" i="92"/>
  <c r="Q9" i="92"/>
  <c r="I7" i="92"/>
  <c r="Q26" i="92"/>
  <c r="K34" i="92"/>
  <c r="Q22" i="92"/>
  <c r="Q10" i="92"/>
  <c r="C10" i="95"/>
  <c r="I9" i="92"/>
  <c r="I8" i="92"/>
  <c r="Q7" i="92"/>
  <c r="Q6" i="92" l="1"/>
  <c r="Q34" i="92" s="1"/>
  <c r="I6" i="92"/>
  <c r="A2" i="121"/>
  <c r="A1" i="121"/>
  <c r="E12" i="122"/>
  <c r="D12" i="122"/>
  <c r="C12" i="122"/>
  <c r="B12" i="122"/>
  <c r="F12" i="122" s="1"/>
  <c r="E11" i="122"/>
  <c r="D11" i="122"/>
  <c r="C11" i="122"/>
  <c r="B11" i="122"/>
  <c r="F10" i="122"/>
  <c r="E10" i="122"/>
  <c r="D10" i="122"/>
  <c r="C10" i="122"/>
  <c r="B10" i="122"/>
  <c r="F9" i="122"/>
  <c r="E9" i="122"/>
  <c r="D9" i="122"/>
  <c r="C9" i="122"/>
  <c r="B9" i="122"/>
  <c r="B11" i="121"/>
  <c r="F11" i="122" l="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D7" i="114"/>
  <c r="D10"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H22" i="112"/>
  <c r="H23" i="112"/>
  <c r="H34" i="113" l="1"/>
  <c r="H21" i="112"/>
  <c r="E37" i="88"/>
  <c r="D37" i="88"/>
  <c r="C37" i="88"/>
  <c r="H44" i="109" l="1"/>
  <c r="E44" i="109"/>
  <c r="H42" i="109"/>
  <c r="E42" i="109"/>
  <c r="H41" i="109"/>
  <c r="E41" i="109"/>
  <c r="H40" i="109"/>
  <c r="E40" i="109"/>
  <c r="H39" i="109"/>
  <c r="E39" i="109"/>
  <c r="H38" i="109"/>
  <c r="E38" i="109"/>
  <c r="H37" i="109"/>
  <c r="E37" i="109"/>
  <c r="H36" i="109"/>
  <c r="E36" i="109"/>
  <c r="H35" i="109"/>
  <c r="E35" i="109"/>
  <c r="H34" i="109"/>
  <c r="E34" i="109"/>
  <c r="H33" i="109"/>
  <c r="E33" i="109"/>
  <c r="H32" i="109"/>
  <c r="E32" i="109"/>
  <c r="H31" i="109"/>
  <c r="E31" i="109"/>
  <c r="H30" i="109"/>
  <c r="E30" i="109"/>
  <c r="E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E13" i="109"/>
  <c r="H12" i="109"/>
  <c r="E12" i="109"/>
  <c r="H11" i="109"/>
  <c r="E11" i="109"/>
  <c r="H10" i="109"/>
  <c r="E10" i="109"/>
  <c r="H9" i="109"/>
  <c r="E9" i="109"/>
  <c r="H8" i="109"/>
  <c r="E8" i="109"/>
  <c r="H7" i="109"/>
  <c r="E7" i="109"/>
  <c r="G68" i="108"/>
  <c r="F68"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H47" i="108"/>
  <c r="D47" i="108"/>
  <c r="C47" i="108"/>
  <c r="E47" i="108" s="1"/>
  <c r="H46" i="108"/>
  <c r="E46" i="108"/>
  <c r="H45" i="108"/>
  <c r="E45" i="108"/>
  <c r="H44" i="108"/>
  <c r="E44" i="108"/>
  <c r="H43" i="108"/>
  <c r="E43" i="108"/>
  <c r="H42" i="108"/>
  <c r="E42" i="108"/>
  <c r="H41" i="108"/>
  <c r="D41" i="108"/>
  <c r="D53" i="108" s="1"/>
  <c r="C41" i="108"/>
  <c r="C53" i="108" s="1"/>
  <c r="H40" i="108"/>
  <c r="E40" i="108"/>
  <c r="H39" i="108"/>
  <c r="E39" i="108"/>
  <c r="H38" i="108"/>
  <c r="E38" i="108"/>
  <c r="H35" i="108"/>
  <c r="E35" i="108"/>
  <c r="H34" i="108"/>
  <c r="E34" i="108"/>
  <c r="H33" i="108"/>
  <c r="E33" i="108"/>
  <c r="H32" i="108"/>
  <c r="E32" i="108"/>
  <c r="H31" i="108"/>
  <c r="E31" i="108"/>
  <c r="H30" i="108"/>
  <c r="H29" i="108"/>
  <c r="E29" i="108"/>
  <c r="H28" i="108"/>
  <c r="E28" i="108"/>
  <c r="H27" i="108"/>
  <c r="E27" i="108"/>
  <c r="H26" i="108"/>
  <c r="E26" i="108"/>
  <c r="H25" i="108"/>
  <c r="E25" i="108"/>
  <c r="E24" i="108"/>
  <c r="H23" i="108"/>
  <c r="E23" i="108"/>
  <c r="H22" i="108"/>
  <c r="E22" i="108"/>
  <c r="H21" i="108"/>
  <c r="E21" i="108"/>
  <c r="H20" i="108"/>
  <c r="E20" i="108"/>
  <c r="H19" i="108"/>
  <c r="E19" i="108"/>
  <c r="H18" i="108"/>
  <c r="E18" i="108"/>
  <c r="H17" i="108"/>
  <c r="E17" i="108"/>
  <c r="H16" i="108"/>
  <c r="E16" i="108"/>
  <c r="H15" i="108"/>
  <c r="D15" i="108"/>
  <c r="C15" i="108"/>
  <c r="E15" i="108" s="1"/>
  <c r="H14" i="108"/>
  <c r="E14" i="108"/>
  <c r="H13" i="108"/>
  <c r="E13" i="108"/>
  <c r="H12" i="108"/>
  <c r="E12" i="108"/>
  <c r="H11" i="108"/>
  <c r="E11" i="108"/>
  <c r="H10" i="108"/>
  <c r="E10" i="108"/>
  <c r="H9" i="108"/>
  <c r="E9" i="108"/>
  <c r="H8" i="108"/>
  <c r="E8" i="108"/>
  <c r="H7" i="108"/>
  <c r="D7" i="108"/>
  <c r="C7" i="108"/>
  <c r="E7" i="108" s="1"/>
  <c r="F69" i="108" l="1"/>
  <c r="H69" i="108" s="1"/>
  <c r="H29" i="109"/>
  <c r="H13" i="109"/>
  <c r="E63" i="108"/>
  <c r="H24" i="108"/>
  <c r="C68" i="108"/>
  <c r="C69" i="108" s="1"/>
  <c r="E6" i="109"/>
  <c r="D68" i="108"/>
  <c r="D69" i="108" s="1"/>
  <c r="H45" i="109"/>
  <c r="D36" i="108"/>
  <c r="E59" i="108"/>
  <c r="C36" i="108"/>
  <c r="H36" i="108"/>
  <c r="E30" i="108"/>
  <c r="H6" i="109"/>
  <c r="E45" i="109"/>
  <c r="E53" i="108"/>
  <c r="H68" i="108"/>
  <c r="E41" i="108"/>
  <c r="H53" i="108"/>
  <c r="E68" i="108" l="1"/>
  <c r="H43" i="109"/>
  <c r="E36" i="108"/>
  <c r="E43" i="109"/>
  <c r="E69" i="108"/>
  <c r="C6" i="95" s="1"/>
  <c r="C8" i="95" s="1"/>
  <c r="B1" i="97" l="1"/>
  <c r="G33" i="97"/>
  <c r="F33" i="97"/>
  <c r="E33" i="97"/>
  <c r="D33" i="97"/>
  <c r="C33" i="97"/>
  <c r="G37" i="97"/>
  <c r="G18" i="97"/>
  <c r="F18" i="97"/>
  <c r="E18" i="97"/>
  <c r="D18" i="97"/>
  <c r="C18" i="97"/>
  <c r="F14" i="97"/>
  <c r="E14" i="97"/>
  <c r="D14" i="97"/>
  <c r="C14" i="97"/>
  <c r="F11" i="97"/>
  <c r="E11" i="97"/>
  <c r="D11" i="97"/>
  <c r="C11" i="97"/>
  <c r="F8" i="97"/>
  <c r="E8" i="97"/>
  <c r="D8" i="97"/>
  <c r="C8" i="97"/>
  <c r="G21" i="97" l="1"/>
  <c r="G39" i="97" s="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C32" i="95" l="1"/>
  <c r="D6" i="86"/>
  <c r="D13" i="86" s="1"/>
  <c r="B19" i="121" l="1"/>
  <c r="C34" i="95"/>
  <c r="C6" i="86"/>
  <c r="C13" i="86" s="1"/>
  <c r="B18" i="121" l="1"/>
  <c r="D21" i="94"/>
  <c r="D7" i="94"/>
  <c r="D8" i="94"/>
  <c r="D11" i="94"/>
  <c r="D13" i="94"/>
  <c r="D16" i="94"/>
  <c r="D19" i="94"/>
  <c r="D12" i="94"/>
  <c r="D15" i="94"/>
  <c r="D17" i="94"/>
  <c r="D9" i="94"/>
  <c r="D20" i="94"/>
  <c r="S21" i="90"/>
  <c r="S20" i="90"/>
  <c r="S19" i="90"/>
  <c r="S18" i="90"/>
  <c r="S17" i="90"/>
  <c r="S16" i="90"/>
  <c r="S15" i="90"/>
  <c r="S14" i="90"/>
  <c r="S13" i="90"/>
  <c r="S12" i="90"/>
  <c r="S11" i="90"/>
  <c r="S10" i="90"/>
  <c r="S9" i="90"/>
  <c r="S8" i="90"/>
  <c r="T21" i="64" l="1"/>
  <c r="U21" i="64"/>
  <c r="S21" i="64"/>
  <c r="C21" i="64"/>
  <c r="G22" i="91"/>
  <c r="F22" i="91"/>
  <c r="E22" i="91"/>
  <c r="D22" i="91"/>
  <c r="C22" i="91"/>
  <c r="H22" i="91" l="1"/>
  <c r="K22" i="90"/>
  <c r="L22" i="90"/>
  <c r="M22" i="90"/>
  <c r="N22" i="90"/>
  <c r="O22" i="90"/>
  <c r="P22" i="90"/>
  <c r="Q22" i="90"/>
  <c r="R22" i="90"/>
  <c r="S22" i="90"/>
  <c r="C5" i="73" l="1"/>
  <c r="C22" i="90" l="1"/>
  <c r="C12" i="89"/>
  <c r="C6" i="89"/>
  <c r="D22" i="90" l="1"/>
  <c r="E22" i="90"/>
  <c r="F22" i="90"/>
  <c r="G22" i="90"/>
  <c r="H22" i="90"/>
  <c r="I22" i="90"/>
  <c r="J22" i="90"/>
  <c r="C29" i="89"/>
  <c r="B8" i="121" s="1"/>
  <c r="C32" i="89"/>
  <c r="C31" i="89" s="1"/>
  <c r="C36" i="89"/>
  <c r="C44" i="89"/>
  <c r="C48" i="89"/>
  <c r="C42" i="89" l="1"/>
  <c r="B9" i="121" s="1"/>
  <c r="C8" i="73"/>
  <c r="C13" i="73" s="1"/>
  <c r="C53" i="89"/>
  <c r="B10" i="121" s="1"/>
  <c r="B7" i="121" s="1"/>
  <c r="B6" i="121" l="1"/>
  <c r="B16" i="121"/>
  <c r="B14" i="121" s="1"/>
  <c r="D21" i="64"/>
  <c r="E21" i="64"/>
  <c r="F21" i="64"/>
  <c r="G21" i="64"/>
  <c r="H21" i="64"/>
  <c r="I21" i="64"/>
  <c r="J21" i="64"/>
  <c r="K21" i="64"/>
  <c r="L21" i="64"/>
  <c r="M21" i="64"/>
  <c r="N21" i="64"/>
  <c r="O21" i="64"/>
  <c r="P21" i="64"/>
  <c r="Q21" i="64"/>
  <c r="R21" i="64"/>
  <c r="B23" i="121" l="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<sst xmlns="http://schemas.openxmlformats.org/spreadsheetml/2006/main" count="1261" uniqueCount="793">
  <si>
    <t>a</t>
  </si>
  <si>
    <t>b</t>
  </si>
  <si>
    <t>c</t>
  </si>
  <si>
    <t>d</t>
  </si>
  <si>
    <t>e</t>
  </si>
  <si>
    <t xml:space="preserve"> </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</si>
  <si>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</si>
  <si>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</si>
  <si>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</si>
  <si>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</si>
  <si>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</si>
  <si>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</si>
  <si>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</si>
  <si>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</si>
  <si>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</si>
  <si>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</si>
  <si>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</si>
  <si>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</si>
  <si>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</si>
  <si>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</si>
  <si>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</si>
  <si>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</si>
  <si>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</si>
  <si>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</si>
  <si>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</si>
  <si>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</si>
  <si>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</si>
  <si>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</si>
  <si>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</si>
  <si>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</si>
  <si>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</si>
  <si>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</si>
  <si>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</si>
  <si>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</si>
  <si>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</si>
  <si>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</si>
  <si>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</si>
  <si>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</si>
  <si>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</si>
  <si>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</si>
  <si>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</si>
  <si>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</si>
  <si>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</si>
  <si>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</si>
  <si>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</si>
  <si>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</si>
  <si>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</si>
  <si>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</si>
  <si>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</si>
  <si>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</si>
  <si>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</si>
  <si>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</si>
  <si>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</si>
  <si>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</si>
  <si>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</si>
  <si>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</si>
  <si>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</si>
  <si>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</si>
  <si>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</si>
  <si>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</si>
  <si>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</si>
  <si>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</si>
  <si>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</si>
  <si>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</si>
  <si>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</si>
  <si>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</si>
  <si>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</si>
  <si>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</si>
  <si>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</si>
  <si>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</si>
  <si>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</si>
  <si>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</si>
  <si>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</si>
  <si>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</si>
  <si>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</si>
  <si>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</si>
  <si>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</si>
  <si>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</si>
  <si>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</si>
  <si>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</si>
  <si>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</si>
  <si>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</si>
  <si>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</si>
  <si>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</si>
  <si>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</si>
  <si>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</si>
  <si>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</si>
  <si>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</si>
  <si>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</si>
  <si>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</si>
  <si>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</si>
  <si>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</si>
  <si>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</si>
  <si>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</si>
  <si>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</si>
  <si>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</si>
  <si>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</si>
  <si>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</si>
  <si>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</si>
  <si>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</si>
  <si>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</si>
  <si>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</si>
  <si>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</si>
  <si>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</si>
  <si>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</si>
  <si>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</si>
  <si>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</si>
  <si>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</si>
  <si>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</si>
  <si>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</si>
  <si>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</si>
  <si>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</si>
  <si>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</si>
  <si>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</si>
  <si>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</si>
  <si>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</si>
  <si>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</si>
  <si>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</si>
  <si>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</si>
  <si>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</si>
  <si>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</si>
  <si>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</si>
  <si>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</si>
  <si>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</si>
  <si>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</si>
  <si>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</si>
  <si>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</si>
  <si>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</si>
  <si>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</si>
  <si>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</si>
  <si>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</si>
  <si>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</si>
  <si>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</si>
  <si>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</si>
  <si>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</si>
  <si>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</si>
  <si>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</si>
  <si>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</si>
  <si>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</si>
  <si>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</si>
  <si>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</si>
  <si>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</si>
  <si>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</si>
  <si>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</si>
  <si>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</si>
  <si>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</si>
  <si>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</si>
  <si>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</si>
  <si>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</si>
  <si>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</si>
  <si>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</si>
  <si>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</si>
  <si>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</si>
  <si>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</si>
  <si>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</si>
  <si>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</si>
  <si>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</si>
  <si>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</si>
  <si>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</si>
  <si>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</si>
  <si>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</si>
  <si>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</si>
  <si>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</si>
  <si>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</si>
  <si>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</si>
  <si>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</si>
  <si>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</si>
  <si>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</si>
  <si>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</si>
  <si>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</si>
  <si>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</si>
  <si>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</si>
  <si>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</si>
  <si>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</si>
  <si>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</si>
  <si>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</si>
  <si>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</si>
  <si>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</si>
  <si>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</si>
  <si>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</si>
  <si>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</si>
  <si>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</si>
  <si>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</si>
  <si>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</si>
  <si>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</si>
  <si>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</si>
  <si>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</si>
  <si>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</si>
  <si>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</si>
  <si>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</si>
  <si>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</si>
  <si>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</si>
  <si>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</si>
  <si>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</si>
  <si>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</si>
  <si>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</si>
  <si>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</si>
  <si>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</si>
  <si>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</si>
  <si>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</si>
  <si>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</si>
  <si>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</si>
  <si>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</si>
  <si>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</si>
  <si>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</si>
  <si>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</si>
  <si>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</si>
  <si>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</si>
  <si>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</si>
  <si>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</si>
  <si>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</si>
  <si>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</si>
  <si>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</si>
  <si>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</si>
  <si>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</si>
  <si>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</si>
  <si>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</si>
  <si>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</si>
  <si>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</si>
  <si>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</si>
  <si>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</si>
  <si>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</si>
  <si>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</si>
  <si>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</si>
  <si>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</si>
  <si>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</si>
  <si>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</si>
  <si>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</si>
  <si>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</si>
  <si>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</si>
  <si>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</si>
  <si>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</si>
  <si>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</si>
  <si>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</si>
  <si>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</si>
  <si>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</si>
  <si>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</si>
  <si>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</si>
  <si>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</si>
  <si>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</si>
  <si>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</si>
  <si>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</si>
  <si>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</si>
  <si>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</si>
  <si>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</si>
  <si>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</si>
  <si>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</si>
  <si>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</si>
  <si>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</si>
  <si>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</si>
  <si>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</si>
  <si>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</si>
  <si>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</si>
  <si>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</si>
  <si>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</si>
  <si>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</si>
  <si>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</si>
  <si>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</si>
  <si>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</si>
  <si>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</si>
  <si>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</si>
  <si>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</si>
  <si>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</si>
  <si>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</si>
  <si>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</si>
  <si>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</si>
  <si>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</si>
  <si>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</si>
  <si>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</si>
  <si>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</si>
  <si>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</si>
  <si>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</si>
  <si>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</si>
  <si>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</si>
  <si>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</si>
  <si>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</si>
  <si>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</si>
  <si>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</si>
  <si>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</si>
  <si>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</si>
  <si>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</si>
  <si>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</si>
  <si>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</si>
  <si>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</si>
  <si>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</si>
  <si>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</si>
  <si>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</si>
  <si>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</si>
  <si>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</si>
  <si>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</si>
  <si>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</si>
  <si>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</si>
  <si>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</si>
  <si>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</si>
  <si>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</si>
  <si>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</si>
  <si>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</si>
  <si>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</si>
  <si>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</si>
  <si>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</si>
  <si>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</si>
  <si>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</si>
  <si>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</si>
  <si>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</si>
  <si>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</si>
  <si>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</si>
  <si>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</si>
  <si>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</si>
  <si>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</si>
  <si>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</si>
  <si>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</si>
  <si>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</si>
  <si>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</si>
  <si>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</si>
  <si>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</si>
  <si>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</si>
  <si>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</si>
  <si>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</si>
  <si>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</si>
  <si>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</si>
  <si>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</si>
  <si>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</si>
  <si>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</si>
  <si>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</si>
  <si>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</si>
  <si>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</si>
  <si>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</si>
  <si>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</si>
  <si>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</si>
  <si>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</si>
  <si>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</si>
  <si>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</si>
  <si>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</si>
  <si>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</si>
  <si>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</si>
  <si>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</si>
  <si>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</si>
  <si>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</si>
  <si>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</si>
  <si>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</si>
  <si>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</si>
  <si>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</si>
  <si>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</si>
  <si>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</si>
  <si>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</si>
  <si>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</si>
  <si>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</si>
  <si>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</si>
  <si>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</si>
  <si>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</si>
  <si>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</si>
  <si>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</si>
  <si>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</si>
  <si>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</si>
  <si>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</si>
  <si>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</si>
  <si>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</si>
  <si>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</si>
  <si>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</si>
  <si>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</si>
  <si>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</si>
  <si>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</si>
  <si>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</si>
  <si>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</si>
  <si>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</si>
  <si>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</si>
  <si>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</si>
  <si>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</si>
  <si>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</si>
  <si>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</si>
  <si>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</si>
  <si>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</si>
  <si>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</si>
  <si>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</si>
  <si>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</si>
  <si>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</si>
  <si>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</si>
  <si>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</si>
  <si>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</si>
  <si>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</si>
  <si>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</si>
  <si>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</si>
  <si>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</si>
  <si>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</si>
  <si>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</si>
  <si>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</si>
  <si>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</si>
  <si>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</si>
  <si>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</si>
  <si>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</si>
  <si>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</si>
  <si>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</si>
  <si>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</si>
  <si>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</si>
  <si>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</si>
  <si>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</si>
  <si>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</si>
  <si>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</si>
  <si>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</si>
  <si>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</si>
  <si>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</si>
  <si>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</si>
  <si>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</si>
  <si>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</si>
  <si>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</si>
  <si>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</si>
  <si>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</si>
  <si>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</si>
  <si>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</si>
  <si>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</si>
  <si>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</si>
  <si>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</si>
  <si>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</si>
  <si>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</si>
  <si>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</si>
  <si>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</si>
  <si>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</si>
  <si>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</si>
  <si>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</si>
  <si>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</si>
  <si>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</si>
  <si>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</si>
  <si>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</si>
  <si>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</si>
  <si>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</si>
  <si>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</si>
  <si>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</si>
  <si>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</si>
  <si>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</si>
  <si>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</si>
  <si>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</si>
  <si>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</si>
  <si>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</si>
  <si>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</si>
  <si>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</si>
  <si>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</si>
  <si>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</si>
  <si>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</si>
  <si>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</si>
  <si>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</si>
  <si>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</si>
  <si>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</si>
  <si>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</si>
  <si>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</si>
  <si>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</si>
  <si>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</si>
  <si>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</si>
  <si>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</si>
  <si>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</si>
  <si>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</si>
  <si>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</si>
  <si>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</si>
  <si>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</si>
  <si>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</si>
  <si>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</si>
  <si>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</si>
  <si>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</si>
  <si>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</si>
  <si>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</si>
  <si>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</si>
  <si>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</si>
  <si>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</si>
  <si>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</si>
  <si>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</si>
  <si>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</si>
  <si>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</si>
  <si>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</si>
  <si>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</si>
  <si>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</si>
  <si>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</si>
  <si>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</si>
  <si>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</si>
  <si>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</si>
  <si>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</si>
  <si>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</si>
  <si>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</si>
  <si>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</si>
  <si>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</si>
  <si>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</si>
  <si>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</si>
  <si>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</si>
  <si>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</si>
  <si>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</si>
  <si>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</si>
  <si>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</si>
  <si>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</si>
  <si>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</si>
  <si>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</si>
  <si>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</si>
  <si>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</si>
  <si>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</si>
  <si>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</si>
  <si>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</si>
  <si>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</si>
  <si>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</si>
  <si>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</si>
  <si>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</si>
  <si>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</si>
  <si>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</si>
  <si>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</si>
  <si>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</si>
  <si>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</si>
  <si>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</si>
  <si>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</si>
  <si>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</si>
  <si>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</si>
  <si>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</si>
  <si>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</si>
  <si>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</si>
  <si>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</si>
  <si>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</si>
  <si>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</si>
  <si>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</si>
  <si>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</si>
  <si>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</si>
  <si>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</si>
  <si>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</si>
  <si>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</si>
  <si>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</si>
  <si>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</si>
  <si>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</si>
  <si>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</si>
  <si>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</si>
  <si>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</si>
  <si>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</si>
  <si>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</si>
  <si>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</si>
  <si>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</si>
  <si>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</si>
  <si>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</si>
  <si>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</si>
  <si>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</si>
  <si>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</si>
  <si>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</si>
  <si>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</si>
  <si>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</si>
  <si>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</si>
  <si>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</si>
  <si>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</si>
  <si>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</si>
  <si>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</si>
  <si>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</si>
  <si>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</si>
  <si>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</si>
  <si>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</si>
  <si>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</si>
  <si>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</si>
  <si>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</si>
  <si>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</si>
  <si>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</si>
  <si>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</si>
  <si>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</si>
  <si>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</si>
  <si>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</si>
  <si>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</si>
  <si>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</si>
  <si>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</si>
  <si>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</si>
  <si>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</si>
  <si>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</si>
  <si>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</si>
  <si>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</si>
  <si>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</si>
  <si>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</si>
  <si>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</si>
  <si>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</si>
  <si>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</si>
  <si>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</si>
  <si>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</si>
  <si>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</si>
  <si>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</si>
  <si>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</si>
  <si>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</si>
  <si>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</si>
  <si>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</si>
  <si>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</si>
  <si>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</si>
  <si>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</si>
  <si>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</si>
  <si>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</si>
  <si>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</si>
  <si>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</si>
  <si>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</si>
  <si>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</si>
  <si>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</si>
  <si>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</si>
  <si>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</si>
  <si>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</si>
  <si>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</si>
  <si>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</si>
  <si>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</si>
  <si>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</si>
  <si>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</si>
  <si>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</si>
  <si>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</si>
  <si>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</si>
  <si>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</si>
  <si>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</si>
  <si>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</si>
  <si>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</si>
  <si>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</si>
  <si>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</si>
  <si>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</si>
  <si>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</si>
  <si>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</si>
  <si>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</si>
  <si>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</si>
  <si>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</si>
  <si>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</si>
  <si>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</si>
  <si>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</si>
  <si>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</si>
  <si>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</si>
  <si>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</si>
  <si>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</si>
  <si>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</si>
  <si>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</si>
  <si>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</si>
  <si>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</si>
  <si>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</si>
  <si>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</si>
  <si>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</si>
  <si>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</si>
  <si>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</si>
  <si>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</si>
  <si>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</si>
  <si>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</si>
  <si>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</si>
  <si>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</si>
  <si>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</si>
  <si>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</si>
  <si>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</si>
  <si>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</si>
  <si>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</si>
  <si>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</si>
  <si>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</si>
  <si>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</si>
  <si>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</si>
  <si>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</si>
  <si>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</si>
  <si>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</si>
  <si>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</si>
  <si>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</si>
  <si>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</si>
  <si>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</si>
  <si>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</si>
  <si>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</si>
  <si>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</si>
  <si>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</si>
  <si>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</si>
  <si>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</si>
  <si>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</si>
  <si>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</si>
  <si>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</si>
  <si>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</si>
  <si>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</si>
  <si>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</si>
  <si>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</si>
  <si>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</si>
  <si>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</si>
  <si>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</si>
  <si>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</si>
  <si>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</si>
  <si>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</si>
  <si>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</si>
  <si>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</si>
  <si>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</si>
  <si>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</si>
  <si>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</si>
  <si>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</si>
  <si>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</si>
  <si>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</si>
  <si>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</si>
  <si>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</si>
  <si>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</si>
  <si>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</si>
  <si>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</si>
  <si>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</si>
  <si>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</si>
  <si>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</si>
  <si>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</si>
  <si>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</si>
  <si>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</si>
  <si>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</si>
  <si>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</si>
  <si>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</si>
  <si>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</si>
  <si>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</si>
  <si>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</si>
  <si>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</si>
  <si>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</si>
  <si>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</si>
  <si>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</si>
  <si>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</si>
  <si>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</si>
  <si>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</si>
  <si>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</si>
  <si>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</si>
  <si>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</si>
  <si>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</si>
  <si>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</si>
  <si>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</si>
  <si>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</si>
  <si>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</si>
  <si>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</si>
  <si>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</si>
  <si>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</si>
  <si>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</si>
  <si>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</si>
  <si>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</si>
  <si>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</si>
  <si>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</si>
  <si>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</si>
  <si>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</si>
  <si>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</si>
  <si>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</si>
  <si>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</si>
  <si>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</si>
  <si>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</si>
  <si>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</si>
  <si>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</si>
  <si>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</si>
  <si>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</si>
  <si>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</si>
  <si>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</si>
  <si>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</si>
  <si>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</si>
  <si>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</si>
  <si>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</si>
  <si>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</si>
  <si>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</si>
  <si>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</si>
  <si>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</si>
  <si>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</si>
  <si>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</si>
  <si>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</si>
  <si>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</si>
  <si>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</si>
  <si>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</si>
  <si>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</si>
  <si>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</si>
  <si>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</si>
  <si>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</si>
  <si>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</si>
  <si>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</si>
  <si>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</si>
  <si>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</si>
  <si>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</si>
  <si>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</si>
  <si>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</si>
  <si>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</si>
  <si>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</si>
  <si>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"CREDOBANK"</t>
  </si>
  <si>
    <t>Thomas Engelhardt</t>
  </si>
  <si>
    <t>Zaal Pirtskhelava</t>
  </si>
  <si>
    <t>www.credo.ge</t>
  </si>
  <si>
    <t>Thomas Engelhardt (Germany)</t>
  </si>
  <si>
    <t>Non-independent chair</t>
  </si>
  <si>
    <t>Farah, Katia Chams (Netherlands)</t>
  </si>
  <si>
    <t>Non-independent member</t>
  </si>
  <si>
    <t>Johannes Mainhardt (Germany)</t>
  </si>
  <si>
    <t>Andrew Pospielovsky (Great Britain)</t>
  </si>
  <si>
    <t>Senior Independent member</t>
  </si>
  <si>
    <t>Chief Executive Officer</t>
  </si>
  <si>
    <t>Erekle Zatiashvili</t>
  </si>
  <si>
    <t>CFO</t>
  </si>
  <si>
    <t>Zaza Tkeshelashvili</t>
  </si>
  <si>
    <t>Chief Credit Officer</t>
  </si>
  <si>
    <t>Nikoloz Kutateladze</t>
  </si>
  <si>
    <t>Chief Commercial Officer</t>
  </si>
  <si>
    <t>Alexander Kumsiashvili</t>
  </si>
  <si>
    <t>CIO</t>
  </si>
  <si>
    <t>George Nadareishvili</t>
  </si>
  <si>
    <t>CRO</t>
  </si>
  <si>
    <t>Gojo &amp; C0mpant Inc.</t>
  </si>
  <si>
    <t>Societe de Promotion et de Participation pour la Cooperation Economique (Proparco)</t>
  </si>
  <si>
    <t xml:space="preserve">Triodos Custody B.V., Triodos Fair Share Fund (Netherlands) </t>
  </si>
  <si>
    <t xml:space="preserve">Triodos SICAV II, Triodos Microfinance Fund (Luxembourg) </t>
  </si>
  <si>
    <t>British International Investment PLC (UK)</t>
  </si>
  <si>
    <t xml:space="preserve">European Investment Bank (Luxembourg) </t>
  </si>
  <si>
    <t xml:space="preserve">International Finance Corporation (USA) </t>
  </si>
  <si>
    <t xml:space="preserve">Kreditanstalt für Wiederaufbau (Germany) </t>
  </si>
  <si>
    <t xml:space="preserve">LFS Advisory GmbH (Germany) </t>
  </si>
  <si>
    <t>Omidyar Tufts Active Citizenship Trust (USA)</t>
  </si>
  <si>
    <t>Agence Francaise de developpement</t>
  </si>
  <si>
    <t xml:space="preserve">  Table 9 (Capital), C10 </t>
  </si>
  <si>
    <t xml:space="preserve"> Table 9 (Capital), C2</t>
  </si>
  <si>
    <t xml:space="preserve"> Table 9 (Capital), C3</t>
  </si>
  <si>
    <t xml:space="preserve"> Table 9 (Capital), C6</t>
  </si>
  <si>
    <t xml:space="preserve">Access Credo GmbH (Germany) </t>
  </si>
  <si>
    <t>Almira Zejnilagic (Great Britain)</t>
  </si>
  <si>
    <t>Table 9 (Capital), C28 &amp; C38</t>
  </si>
  <si>
    <t>Cash balances with National bank of Georgia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</si>
</sst>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9">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sz val="10"/>
      <name val="Geo_Arial"/>
      <family val="2"/>
    </font>
    <font>
      <sz val="10"/>
      <name val="Geo_Arial"/>
      <family val="2"/>
    </font>
    <font>
      <b/>
      <i/>
      <sz val="10"/>
      <color theme="1"/>
      <name val="Sylfaen"/>
      <family val="1"/>
    </font>
    <font>
      <sz val="10"/>
      <color rgb="FFFF0000"/>
      <name val="Sylfaen"/>
      <family val="1"/>
    </font>
    <font>
      <b/>
      <sz val="9"/>
      <name val="Calibri"/>
      <family val="2"/>
      <scheme val="minor"/>
    </font>
    <font>
      <sz val="11"/>
      <color rgb="FFFF0000"/>
      <name val="Calibri"/>
      <family val="2"/>
      <scheme val="minor"/>
    </font>
    <font>
      <b/>
      <sz val="10"/>
      <color theme="1"/>
      <name val="Sylfaen"/>
      <family val="2"/>
    </font>
  </fonts>
  <fills count="153">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
      <patternFill patternType="solid">
        <fgColor rgb="FFFFFF00"/>
        <bgColor indexed="64"/>
      </patternFill>
    </fill>
  </fills>
  <borders count="217">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medium">
        <color indexed="64"/>
      </right>
      <top style="thin">
        <color theme="6" tint="-0.499984740745262"/>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8"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3" applyFont="0" applyBorder="0">
      <alignment horizontal="center" wrapText="1"/>
    </xf>
    <xf numFmtId="3" fontId="2" fillId="74" borderId="122"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7" quotePrefix="1" applyNumberFormat="0" applyFont="0" applyFill="0" applyBorder="0" applyAlignment="0" applyProtection="0">
      <alignment horizontal="centerContinuous" vertical="justify"/>
      <protection locked="0" hidden="1"/>
    </xf>
    <xf numFmtId="0" fontId="2" fillId="0" borderId="0"/>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38"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37"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38" applyNumberFormat="0" applyFill="0" applyAlignment="0" applyProtection="0"/>
    <xf numFmtId="0" fontId="164"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2"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2" fillId="0" borderId="139" applyNumberFormat="0" applyFill="0" applyProtection="0">
      <alignment horizontal="center"/>
    </xf>
    <xf numFmtId="0" fontId="166"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6" fillId="0" borderId="139" applyNumberFormat="0" applyFill="0" applyProtection="0">
      <alignment horizontal="center"/>
    </xf>
    <xf numFmtId="0" fontId="167" fillId="0" borderId="139" applyNumberFormat="0" applyFill="0" applyProtection="0">
      <alignment horizontal="center"/>
    </xf>
    <xf numFmtId="0" fontId="167"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2"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2">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6"/>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06" applyBorder="0"/>
    <xf numFmtId="0" fontId="28" fillId="0" borderId="106"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4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2" applyNumberFormat="0" applyFont="0" applyAlignment="0"/>
    <xf numFmtId="3" fontId="182" fillId="88" borderId="122" applyNumberFormat="0" applyFont="0" applyAlignment="0"/>
    <xf numFmtId="3" fontId="182" fillId="88" borderId="122" applyNumberFormat="0" applyFont="0" applyAlignment="0"/>
    <xf numFmtId="3" fontId="182" fillId="88" borderId="122" applyNumberFormat="0" applyFont="0" applyAlignment="0"/>
    <xf numFmtId="3" fontId="182" fillId="88" borderId="122"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247" fontId="180" fillId="107" borderId="122" applyNumberFormat="0" applyFill="0" applyBorder="0" applyAlignment="0" applyProtection="0"/>
    <xf numFmtId="0"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0" fontId="180" fillId="107" borderId="122" applyNumberFormat="0" applyFill="0" applyBorder="0" applyAlignment="0" applyProtection="0"/>
    <xf numFmtId="0" fontId="183" fillId="0" borderId="141"/>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2" applyNumberFormat="0" applyAlignment="0" applyProtection="0"/>
    <xf numFmtId="0" fontId="184" fillId="108" borderId="142" applyNumberFormat="0" applyAlignment="0" applyProtection="0"/>
    <xf numFmtId="0" fontId="185" fillId="0" borderId="0" applyNumberFormat="0" applyFill="0" applyAlignment="0"/>
    <xf numFmtId="0" fontId="186" fillId="0" borderId="143"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4"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45"/>
    <xf numFmtId="251" fontId="2" fillId="0" borderId="0"/>
    <xf numFmtId="0" fontId="193" fillId="0" borderId="146"/>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47">
      <alignment horizontal="center" vertical="center"/>
    </xf>
    <xf numFmtId="0" fontId="184" fillId="108" borderId="147">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172" fontId="161" fillId="0" borderId="0">
      <alignment vertical="top"/>
    </xf>
    <xf numFmtId="172" fontId="161" fillId="0" borderId="0">
      <alignment vertical="top"/>
    </xf>
    <xf numFmtId="172" fontId="161" fillId="0" borderId="0">
      <alignment vertical="top"/>
    </xf>
    <xf numFmtId="0" fontId="45" fillId="0" borderId="0" applyNumberFormat="0" applyFill="0" applyBorder="0" applyProtection="0">
      <alignment horizontal="right"/>
    </xf>
    <xf numFmtId="172" fontId="200" fillId="0" borderId="0">
      <alignment horizontal="right"/>
    </xf>
    <xf numFmtId="172" fontId="200" fillId="0" borderId="0">
      <alignment horizontal="right"/>
    </xf>
    <xf numFmtId="172" fontId="200" fillId="0" borderId="0">
      <alignment horizontal="right"/>
    </xf>
    <xf numFmtId="0" fontId="200" fillId="0" borderId="0">
      <alignment horizontal="left"/>
    </xf>
    <xf numFmtId="0" fontId="201" fillId="74" borderId="0" applyNumberFormat="0" applyBorder="0" applyAlignment="0" applyProtection="0"/>
    <xf numFmtId="252" fontId="105" fillId="0" borderId="142" applyNumberFormat="0" applyFont="0" applyFill="0" applyAlignment="0">
      <alignment vertical="center"/>
    </xf>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252" fontId="105" fillId="0" borderId="142" applyNumberFormat="0" applyFont="0" applyFill="0" applyAlignment="0">
      <alignment vertical="center"/>
    </xf>
    <xf numFmtId="0" fontId="105" fillId="0" borderId="142" applyNumberFormat="0" applyFont="0" applyFill="0"/>
    <xf numFmtId="0" fontId="105" fillId="0" borderId="142" applyNumberFormat="0" applyFont="0" applyFill="0"/>
    <xf numFmtId="252" fontId="105" fillId="0" borderId="142" applyNumberFormat="0" applyFont="0" applyFill="0" applyAlignment="0">
      <alignment vertical="center"/>
    </xf>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2" fillId="72" borderId="0"/>
    <xf numFmtId="0" fontId="202" fillId="0" borderId="1" applyNumberFormat="0" applyFont="0" applyFill="0" applyAlignment="0" applyProtection="0"/>
    <xf numFmtId="0" fontId="202" fillId="0" borderId="148"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0" fontId="150" fillId="0" borderId="68" applyNumberFormat="0" applyFont="0" applyFill="0" applyAlignment="0" applyProtection="0"/>
    <xf numFmtId="0" fontId="150" fillId="0" borderId="68" applyNumberFormat="0" applyFont="0" applyFill="0" applyAlignment="0" applyProtection="0"/>
    <xf numFmtId="0" fontId="150" fillId="0" borderId="68" applyNumberFormat="0" applyFont="0" applyFill="0" applyAlignment="0" applyProtection="0"/>
    <xf numFmtId="0" fontId="150" fillId="0" borderId="66" applyNumberFormat="0" applyFont="0" applyFill="0" applyAlignment="0" applyProtection="0"/>
    <xf numFmtId="0" fontId="150" fillId="0" borderId="66" applyNumberFormat="0" applyFont="0" applyFill="0" applyAlignment="0" applyProtection="0"/>
    <xf numFmtId="0" fontId="150" fillId="0" borderId="102" applyNumberFormat="0" applyFont="0" applyFill="0" applyAlignment="0" applyProtection="0"/>
    <xf numFmtId="0" fontId="150" fillId="0" borderId="102" applyNumberFormat="0" applyFont="0" applyFill="0" applyAlignment="0" applyProtection="0"/>
    <xf numFmtId="0" fontId="150" fillId="0" borderId="102" applyNumberFormat="0" applyFont="0" applyFill="0" applyAlignment="0" applyProtection="0"/>
    <xf numFmtId="0" fontId="150" fillId="0" borderId="102" applyNumberFormat="0" applyFont="0" applyFill="0" applyAlignment="0" applyProtection="0"/>
    <xf numFmtId="0" fontId="150" fillId="0" borderId="102" applyNumberFormat="0" applyFont="0" applyFill="0" applyAlignment="0" applyProtection="0"/>
    <xf numFmtId="0" fontId="150" fillId="0" borderId="102"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04" fillId="109" borderId="144" applyNumberFormat="0" applyAlignment="0" applyProtection="0"/>
    <xf numFmtId="0" fontId="146" fillId="8" borderId="30" applyNumberFormat="0" applyAlignment="0" applyProtection="0"/>
    <xf numFmtId="3" fontId="45" fillId="41" borderId="68">
      <protection hidden="1"/>
    </xf>
    <xf numFmtId="0" fontId="204"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04" fillId="109" borderId="144" applyNumberFormat="0" applyAlignment="0" applyProtection="0"/>
    <xf numFmtId="0" fontId="204"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68" applyBorder="0"/>
    <xf numFmtId="260" fontId="206"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vertical="center"/>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49"/>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33">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3">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3">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3" fontId="210" fillId="0" borderId="133">
      <alignment vertical="center"/>
    </xf>
    <xf numFmtId="0" fontId="29" fillId="73" borderId="150" applyNumberFormat="0" applyFont="0" applyAlignment="0" applyProtection="0"/>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71" fillId="73" borderId="150"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8" fillId="0" borderId="0" applyFill="0" applyBorder="0">
      <alignment horizontal="left"/>
    </xf>
    <xf numFmtId="0" fontId="219"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26" applyNumberFormat="0" applyFill="0" applyBorder="0" applyAlignment="0" applyProtection="0">
      <alignment horizontal="center"/>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1" fillId="0" borderId="126" applyNumberFormat="0" applyFill="0" applyBorder="0" applyAlignment="0" applyProtection="0">
      <alignment horizontal="center"/>
      <protection locked="0"/>
    </xf>
    <xf numFmtId="0" fontId="221" fillId="0" borderId="126" applyNumberFormat="0" applyFill="0" applyBorder="0" applyAlignment="0" applyProtection="0">
      <alignment horizontal="center"/>
      <protection locked="0"/>
    </xf>
    <xf numFmtId="3" fontId="210" fillId="0" borderId="133">
      <alignment vertical="center"/>
    </xf>
    <xf numFmtId="0" fontId="221" fillId="0" borderId="126" applyNumberFormat="0" applyFill="0" applyBorder="0" applyAlignment="0" applyProtection="0">
      <alignment horizontal="center"/>
      <protection locked="0"/>
    </xf>
    <xf numFmtId="0" fontId="221" fillId="0" borderId="126" applyNumberFormat="0" applyFill="0" applyBorder="0" applyAlignment="0" applyProtection="0">
      <alignment horizontal="center"/>
      <protection locked="0"/>
    </xf>
    <xf numFmtId="3" fontId="210" fillId="0" borderId="133">
      <alignment vertical="center"/>
    </xf>
    <xf numFmtId="0" fontId="222" fillId="0" borderId="126" applyNumberFormat="0" applyFill="0" applyBorder="0">
      <protection locked="0"/>
    </xf>
    <xf numFmtId="0" fontId="222" fillId="0" borderId="126" applyNumberFormat="0" applyFill="0" applyBorder="0">
      <protection locked="0"/>
    </xf>
    <xf numFmtId="3" fontId="210" fillId="0" borderId="133">
      <alignment vertical="center"/>
    </xf>
    <xf numFmtId="0" fontId="222" fillId="0" borderId="126" applyNumberFormat="0" applyFill="0" applyBorder="0">
      <protection locked="0"/>
    </xf>
    <xf numFmtId="0" fontId="222" fillId="0" borderId="126" applyNumberFormat="0" applyFill="0" applyBorder="0">
      <protection locked="0"/>
    </xf>
    <xf numFmtId="3" fontId="210" fillId="0" borderId="133">
      <alignment vertical="center"/>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3" fontId="210" fillId="0" borderId="133">
      <alignment vertical="center"/>
    </xf>
    <xf numFmtId="3" fontId="223" fillId="0" borderId="151" applyNumberFormat="0" applyAlignment="0">
      <alignment vertical="center"/>
    </xf>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3" fontId="210" fillId="0" borderId="133">
      <alignment vertical="center"/>
    </xf>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33">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3">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3">
      <alignment vertical="center"/>
    </xf>
    <xf numFmtId="3" fontId="210" fillId="0" borderId="133">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33">
      <alignment vertical="center"/>
    </xf>
    <xf numFmtId="3" fontId="210" fillId="0" borderId="133">
      <alignment vertical="center"/>
    </xf>
    <xf numFmtId="267" fontId="163" fillId="0" borderId="0" applyFont="0" applyFill="0" applyBorder="0" applyProtection="0"/>
    <xf numFmtId="267" fontId="163" fillId="0" borderId="0" applyFont="0" applyFill="0" applyBorder="0" applyProtection="0"/>
    <xf numFmtId="3" fontId="210" fillId="0" borderId="133">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3">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267" fontId="163" fillId="0" borderId="0" applyFont="0" applyFill="0" applyBorder="0" applyProtection="0"/>
    <xf numFmtId="3" fontId="210" fillId="0" borderId="133">
      <alignment vertical="center"/>
    </xf>
    <xf numFmtId="267" fontId="163" fillId="0" borderId="0" applyFont="0" applyFill="0" applyBorder="0" applyProtection="0"/>
    <xf numFmtId="267" fontId="163" fillId="0" borderId="0" applyFont="0" applyFill="0" applyBorder="0" applyProtection="0"/>
    <xf numFmtId="3" fontId="210" fillId="0" borderId="133">
      <alignment vertical="center"/>
    </xf>
    <xf numFmtId="197" fontId="2" fillId="0" borderId="0" applyFont="0" applyFill="0" applyBorder="0" applyAlignment="0" applyProtection="0"/>
    <xf numFmtId="3" fontId="210" fillId="0" borderId="133">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33">
      <alignment vertical="center"/>
    </xf>
    <xf numFmtId="3" fontId="210" fillId="0" borderId="133">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33">
      <alignment vertical="center"/>
    </xf>
    <xf numFmtId="268" fontId="225" fillId="0" borderId="0"/>
    <xf numFmtId="3" fontId="210" fillId="0" borderId="133">
      <alignment vertical="center"/>
    </xf>
    <xf numFmtId="268" fontId="225" fillId="0" borderId="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33">
      <alignment vertical="center"/>
    </xf>
    <xf numFmtId="3" fontId="210" fillId="0" borderId="133">
      <alignment vertical="center"/>
    </xf>
    <xf numFmtId="0" fontId="225" fillId="0" borderId="0"/>
    <xf numFmtId="0" fontId="2" fillId="0" borderId="0" applyNumberFormat="0" applyFont="0" applyFill="0" applyBorder="0" applyAlignment="0" applyProtection="0"/>
    <xf numFmtId="3" fontId="210" fillId="0" borderId="133">
      <alignment vertical="center"/>
    </xf>
    <xf numFmtId="0" fontId="225" fillId="0" borderId="0"/>
    <xf numFmtId="3" fontId="210" fillId="0" borderId="133">
      <alignment vertical="center"/>
    </xf>
    <xf numFmtId="0" fontId="225" fillId="0" borderId="0"/>
    <xf numFmtId="3" fontId="210" fillId="0" borderId="133">
      <alignment vertical="center"/>
    </xf>
    <xf numFmtId="0" fontId="225" fillId="0" borderId="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25" fillId="0" borderId="0"/>
    <xf numFmtId="0" fontId="225" fillId="0" borderId="0"/>
    <xf numFmtId="3" fontId="210" fillId="0" borderId="133">
      <alignment vertical="center"/>
    </xf>
    <xf numFmtId="3" fontId="210" fillId="0" borderId="133">
      <alignment vertical="center"/>
    </xf>
    <xf numFmtId="0" fontId="225" fillId="0" borderId="0"/>
    <xf numFmtId="3" fontId="210" fillId="0" borderId="133">
      <alignment vertical="center"/>
    </xf>
    <xf numFmtId="0" fontId="225" fillId="0" borderId="0"/>
    <xf numFmtId="0" fontId="225" fillId="0" borderId="0"/>
    <xf numFmtId="3" fontId="210" fillId="0" borderId="133">
      <alignment vertical="center"/>
    </xf>
    <xf numFmtId="3" fontId="210" fillId="0" borderId="133">
      <alignment vertical="center"/>
    </xf>
    <xf numFmtId="0" fontId="225" fillId="0" borderId="0"/>
    <xf numFmtId="3" fontId="210" fillId="0" borderId="133">
      <alignment vertical="center"/>
    </xf>
    <xf numFmtId="268" fontId="225" fillId="0" borderId="0"/>
    <xf numFmtId="3" fontId="210" fillId="0" borderId="133">
      <alignment vertical="center"/>
    </xf>
    <xf numFmtId="268" fontId="225" fillId="0" borderId="0"/>
    <xf numFmtId="268" fontId="225" fillId="0" borderId="0"/>
    <xf numFmtId="3" fontId="210" fillId="0" borderId="133">
      <alignment vertical="center"/>
    </xf>
    <xf numFmtId="3" fontId="210" fillId="0" borderId="133">
      <alignment vertical="center"/>
    </xf>
    <xf numFmtId="0" fontId="225" fillId="0" borderId="0"/>
    <xf numFmtId="0" fontId="225" fillId="0" borderId="0"/>
    <xf numFmtId="3" fontId="210" fillId="0" borderId="133">
      <alignment vertical="center"/>
    </xf>
    <xf numFmtId="0" fontId="225" fillId="0" borderId="0"/>
    <xf numFmtId="3" fontId="210" fillId="0" borderId="133">
      <alignment vertical="center"/>
    </xf>
    <xf numFmtId="0" fontId="225" fillId="0" borderId="0"/>
    <xf numFmtId="3" fontId="210" fillId="0" borderId="133">
      <alignment vertical="center"/>
    </xf>
    <xf numFmtId="0" fontId="225" fillId="0" borderId="0"/>
    <xf numFmtId="3" fontId="210" fillId="0" borderId="133">
      <alignment vertical="center"/>
    </xf>
    <xf numFmtId="3" fontId="210" fillId="0" borderId="133">
      <alignment vertical="center"/>
    </xf>
    <xf numFmtId="0" fontId="225" fillId="0" borderId="0"/>
    <xf numFmtId="3" fontId="210" fillId="0" borderId="133">
      <alignment vertical="center"/>
    </xf>
    <xf numFmtId="0" fontId="225" fillId="0" borderId="0"/>
    <xf numFmtId="0" fontId="225" fillId="0" borderId="0"/>
    <xf numFmtId="3" fontId="210" fillId="0" borderId="133">
      <alignment vertical="center"/>
    </xf>
    <xf numFmtId="3" fontId="210" fillId="0" borderId="133">
      <alignment vertical="center"/>
    </xf>
    <xf numFmtId="0" fontId="225" fillId="0" borderId="0"/>
    <xf numFmtId="3" fontId="210" fillId="0" borderId="133">
      <alignment vertical="center"/>
    </xf>
    <xf numFmtId="268" fontId="225" fillId="0" borderId="0"/>
    <xf numFmtId="268" fontId="225" fillId="0" borderId="0"/>
    <xf numFmtId="3" fontId="210" fillId="0" borderId="133">
      <alignment vertical="center"/>
    </xf>
    <xf numFmtId="268" fontId="225" fillId="0" borderId="0"/>
    <xf numFmtId="3" fontId="210" fillId="0" borderId="133">
      <alignment vertical="center"/>
    </xf>
    <xf numFmtId="268" fontId="225" fillId="0" borderId="0"/>
    <xf numFmtId="3" fontId="210" fillId="0" borderId="133">
      <alignment vertical="center"/>
    </xf>
    <xf numFmtId="268" fontId="225" fillId="0" borderId="0"/>
    <xf numFmtId="3" fontId="210" fillId="0" borderId="133">
      <alignment vertical="center"/>
    </xf>
    <xf numFmtId="3" fontId="210" fillId="0" borderId="133">
      <alignment vertical="center"/>
    </xf>
    <xf numFmtId="268" fontId="225" fillId="0" borderId="0"/>
    <xf numFmtId="3" fontId="210" fillId="0" borderId="133">
      <alignment vertical="center"/>
    </xf>
    <xf numFmtId="268" fontId="225" fillId="0" borderId="0"/>
    <xf numFmtId="268" fontId="225" fillId="0" borderId="0"/>
    <xf numFmtId="3" fontId="210" fillId="0" borderId="133">
      <alignment vertical="center"/>
    </xf>
    <xf numFmtId="3" fontId="210" fillId="0" borderId="133">
      <alignment vertical="center"/>
    </xf>
    <xf numFmtId="268" fontId="225" fillId="0" borderId="0"/>
    <xf numFmtId="3" fontId="210" fillId="0" borderId="133">
      <alignment vertical="center"/>
    </xf>
    <xf numFmtId="268" fontId="225" fillId="0" borderId="0"/>
    <xf numFmtId="3" fontId="210" fillId="0" borderId="133">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2" applyNumberFormat="0" applyFont="0" applyBorder="0" applyAlignment="0" applyProtection="0">
      <alignment horizontal="centerContinuous"/>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2" fillId="0" borderId="0" applyNumberFormat="0" applyFont="0" applyFill="0" applyBorder="0" applyAlignment="0" applyProtection="0"/>
    <xf numFmtId="0" fontId="9" fillId="69" borderId="152" applyNumberFormat="0" applyFont="0" applyBorder="0" applyProtection="0"/>
    <xf numFmtId="3" fontId="210" fillId="0" borderId="133">
      <alignment vertical="center"/>
    </xf>
    <xf numFmtId="0" fontId="2" fillId="0" borderId="0" applyNumberFormat="0" applyFont="0" applyFill="0" applyBorder="0" applyAlignment="0" applyProtection="0"/>
    <xf numFmtId="0" fontId="9" fillId="69" borderId="152" applyNumberFormat="0" applyFont="0" applyBorder="0" applyProtection="0"/>
    <xf numFmtId="3" fontId="210" fillId="0" borderId="133">
      <alignment vertical="center"/>
    </xf>
    <xf numFmtId="0" fontId="9" fillId="69" borderId="152" applyNumberFormat="0" applyFont="0" applyBorder="0" applyProtection="0"/>
    <xf numFmtId="0" fontId="9" fillId="69" borderId="152" applyNumberFormat="0" applyFont="0" applyBorder="0" applyProtection="0"/>
    <xf numFmtId="3" fontId="210" fillId="0" borderId="133">
      <alignment vertical="center"/>
    </xf>
    <xf numFmtId="0" fontId="9" fillId="69" borderId="152" applyNumberFormat="0" applyFont="0" applyBorder="0" applyProtection="0"/>
    <xf numFmtId="0" fontId="9" fillId="69" borderId="152" applyNumberFormat="0" applyFont="0" applyBorder="0" applyProtection="0"/>
    <xf numFmtId="3" fontId="210" fillId="0" borderId="133">
      <alignment vertical="center"/>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33">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1" applyNumberFormat="0" applyBorder="0">
      <alignment horizontal="left"/>
    </xf>
    <xf numFmtId="0" fontId="228" fillId="119" borderId="101" applyNumberFormat="0" applyBorder="0">
      <alignment horizontal="left"/>
    </xf>
    <xf numFmtId="0" fontId="228" fillId="119" borderId="101" applyNumberFormat="0" applyBorder="0">
      <alignment horizontal="left"/>
    </xf>
    <xf numFmtId="0" fontId="228" fillId="119" borderId="101" applyNumberFormat="0" applyBorder="0">
      <alignment horizontal="left"/>
    </xf>
    <xf numFmtId="0" fontId="228" fillId="119" borderId="101" applyNumberFormat="0" applyBorder="0">
      <alignment horizontal="left"/>
    </xf>
    <xf numFmtId="0" fontId="228" fillId="119" borderId="101" applyNumberFormat="0" applyBorder="0">
      <alignment horizontal="left"/>
    </xf>
    <xf numFmtId="0" fontId="228" fillId="119" borderId="101" applyNumberFormat="0" applyBorder="0">
      <alignment horizontal="left"/>
    </xf>
    <xf numFmtId="0" fontId="228" fillId="119" borderId="101"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1" applyNumberFormat="0" applyBorder="0">
      <alignment horizontal="left"/>
    </xf>
    <xf numFmtId="0" fontId="228" fillId="119" borderId="101" applyNumberFormat="0" applyBorder="0">
      <alignment horizontal="left"/>
    </xf>
    <xf numFmtId="0" fontId="228" fillId="119" borderId="101" applyNumberFormat="0" applyBorder="0">
      <alignment horizontal="left"/>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28" fillId="119" borderId="101" applyNumberFormat="0" applyBorder="0">
      <alignment horizontal="left"/>
    </xf>
    <xf numFmtId="0" fontId="228" fillId="119" borderId="101" applyNumberFormat="0" applyBorder="0">
      <alignment horizontal="left"/>
    </xf>
    <xf numFmtId="3" fontId="210" fillId="0" borderId="133">
      <alignment vertical="center"/>
    </xf>
    <xf numFmtId="0" fontId="228" fillId="119" borderId="101" applyNumberFormat="0" applyBorder="0">
      <alignment horizontal="left"/>
    </xf>
    <xf numFmtId="0" fontId="228" fillId="119" borderId="101" applyNumberFormat="0" applyBorder="0">
      <alignment horizontal="left"/>
    </xf>
    <xf numFmtId="0" fontId="228" fillId="119" borderId="101" applyNumberFormat="0" applyBorder="0">
      <alignment horizontal="left"/>
    </xf>
    <xf numFmtId="0" fontId="228" fillId="119" borderId="101" applyNumberFormat="0" applyBorder="0">
      <alignment horizontal="left"/>
    </xf>
    <xf numFmtId="0" fontId="228" fillId="119" borderId="101" applyNumberFormat="0" applyBorder="0">
      <alignment horizontal="left"/>
    </xf>
    <xf numFmtId="3" fontId="210" fillId="0" borderId="133">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3">
      <alignment vertical="center"/>
    </xf>
    <xf numFmtId="0" fontId="212" fillId="0" borderId="0">
      <alignment horizontal="left" vertical="center" wrapText="1"/>
    </xf>
    <xf numFmtId="3" fontId="210" fillId="0" borderId="133">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3">
      <alignment vertical="center"/>
    </xf>
    <xf numFmtId="22" fontId="29" fillId="0" borderId="0" applyFill="0" applyBorder="0" applyAlignment="0"/>
    <xf numFmtId="3" fontId="210" fillId="0" borderId="133">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3">
      <alignment vertical="center"/>
    </xf>
    <xf numFmtId="172" fontId="202" fillId="0" borderId="0" applyFont="0" applyFill="0" applyBorder="0" applyProtection="0">
      <alignment horizontal="right"/>
    </xf>
    <xf numFmtId="179"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3">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3">
      <alignment vertical="center"/>
    </xf>
    <xf numFmtId="0" fontId="232"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10" fillId="0" borderId="133">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10" fillId="0" borderId="133">
      <alignment vertical="center"/>
    </xf>
    <xf numFmtId="0" fontId="2" fillId="0" borderId="68" applyFill="0" applyProtection="0">
      <alignment horizontal="centerContinuous"/>
    </xf>
    <xf numFmtId="0" fontId="2" fillId="0" borderId="68" applyFill="0" applyProtection="0">
      <alignment horizontal="centerContinuous"/>
    </xf>
    <xf numFmtId="3" fontId="210" fillId="0" borderId="133">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10" fillId="0" borderId="133">
      <alignment vertical="center"/>
    </xf>
    <xf numFmtId="275" fontId="2" fillId="0" borderId="68" applyFill="0" applyProtection="0">
      <alignment horizontal="centerContinuous"/>
    </xf>
    <xf numFmtId="275" fontId="2" fillId="0" borderId="68" applyFill="0" applyProtection="0">
      <alignment horizontal="centerContinuous"/>
    </xf>
    <xf numFmtId="3" fontId="210" fillId="0" borderId="133">
      <alignment vertical="center"/>
    </xf>
    <xf numFmtId="275" fontId="2" fillId="0" borderId="68" applyFill="0" applyProtection="0">
      <alignment horizontal="centerContinuous"/>
    </xf>
    <xf numFmtId="275" fontId="2" fillId="0" borderId="68" applyFill="0" applyProtection="0">
      <alignment horizontal="centerContinuous"/>
    </xf>
    <xf numFmtId="3" fontId="210" fillId="0" borderId="133">
      <alignment vertical="center"/>
    </xf>
    <xf numFmtId="275" fontId="2" fillId="0" borderId="68" applyFill="0" applyProtection="0">
      <alignment horizontal="centerContinuous"/>
    </xf>
    <xf numFmtId="275" fontId="2" fillId="0" borderId="68" applyFill="0" applyProtection="0">
      <alignment horizontal="centerContinuous"/>
    </xf>
    <xf numFmtId="3" fontId="210" fillId="0" borderId="133">
      <alignment vertical="center"/>
    </xf>
    <xf numFmtId="275" fontId="2" fillId="0" borderId="68" applyFill="0" applyProtection="0">
      <alignment horizontal="centerContinuous"/>
    </xf>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233" fillId="120" borderId="122"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233" fillId="120" borderId="122"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3" fontId="234" fillId="121" borderId="12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5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17" fontId="238" fillId="117" borderId="101"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0" fontId="239" fillId="0" borderId="136" applyNumberFormat="0" applyAlignment="0">
      <protection locked="0"/>
    </xf>
    <xf numFmtId="0" fontId="49" fillId="42" borderId="144" applyNumberFormat="0" applyAlignment="0" applyProtection="0"/>
    <xf numFmtId="0" fontId="10" fillId="0" borderId="0"/>
    <xf numFmtId="0" fontId="10" fillId="0" borderId="0"/>
    <xf numFmtId="0" fontId="49" fillId="42" borderId="144" applyNumberFormat="0" applyAlignment="0" applyProtection="0"/>
    <xf numFmtId="0" fontId="49" fillId="42" borderId="144" applyNumberFormat="0" applyAlignment="0" applyProtection="0"/>
    <xf numFmtId="0" fontId="49" fillId="42" borderId="144" applyNumberFormat="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33">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33">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33">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33">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33">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33">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33">
      <alignment vertical="center"/>
    </xf>
    <xf numFmtId="0" fontId="242" fillId="0" borderId="0">
      <alignment horizontal="left"/>
    </xf>
    <xf numFmtId="0" fontId="243" fillId="0" borderId="0">
      <alignment horizontal="center" wrapText="1"/>
    </xf>
    <xf numFmtId="0" fontId="242"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4">
      <alignment horizontal="right" wrapText="1"/>
    </xf>
    <xf numFmtId="0" fontId="242" fillId="0" borderId="154">
      <alignment horizontal="right" wrapText="1"/>
    </xf>
    <xf numFmtId="0" fontId="242" fillId="0" borderId="154">
      <alignment horizontal="right" wrapText="1"/>
    </xf>
    <xf numFmtId="0" fontId="2" fillId="0" borderId="0" applyNumberFormat="0" applyFont="0" applyFill="0" applyBorder="0" applyAlignment="0" applyProtection="0"/>
    <xf numFmtId="0" fontId="242"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4">
      <alignment horizontal="right" wrapText="1"/>
    </xf>
    <xf numFmtId="0" fontId="242" fillId="0" borderId="154">
      <alignment horizontal="right" wrapText="1"/>
    </xf>
    <xf numFmtId="0" fontId="242"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297" fontId="244" fillId="0" borderId="154">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4">
      <alignment horizontal="right"/>
    </xf>
    <xf numFmtId="297" fontId="244" fillId="0" borderId="154">
      <alignment horizontal="right"/>
    </xf>
    <xf numFmtId="297" fontId="244" fillId="0" borderId="154">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5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4">
      <alignment horizontal="left"/>
    </xf>
    <xf numFmtId="297" fontId="244" fillId="0" borderId="154">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5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54">
      <alignment horizontal="center"/>
    </xf>
    <xf numFmtId="297" fontId="248" fillId="0" borderId="154">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196" fontId="156"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196" fontId="156"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33">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3">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68">
      <alignment horizontal="centerContinuous"/>
    </xf>
    <xf numFmtId="0" fontId="166" fillId="0" borderId="61"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33">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33">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03" fontId="2" fillId="0" borderId="0" applyFont="0" applyFill="0" applyBorder="0" applyAlignment="0" applyProtection="0"/>
    <xf numFmtId="0" fontId="2" fillId="71" borderId="102" applyNumberFormat="0" applyFont="0" applyAlignment="0" applyProtection="0"/>
    <xf numFmtId="0" fontId="2" fillId="71" borderId="102" applyNumberFormat="0" applyFont="0" applyAlignment="0" applyProtection="0"/>
    <xf numFmtId="0" fontId="2" fillId="71" borderId="102" applyNumberFormat="0" applyFont="0" applyAlignment="0" applyProtection="0"/>
    <xf numFmtId="0" fontId="2" fillId="71" borderId="102" applyNumberFormat="0" applyFont="0" applyAlignment="0" applyProtection="0"/>
    <xf numFmtId="0" fontId="2" fillId="71" borderId="102" applyNumberFormat="0" applyFont="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56">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3">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45" fillId="113" borderId="124"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4" applyAlignment="0" applyProtection="0"/>
    <xf numFmtId="0" fontId="45" fillId="113" borderId="124" applyAlignment="0" applyProtection="0"/>
    <xf numFmtId="0" fontId="2" fillId="0" borderId="0" applyNumberFormat="0" applyFont="0" applyFill="0" applyBorder="0" applyAlignment="0" applyProtection="0"/>
    <xf numFmtId="0" fontId="2" fillId="68" borderId="122"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3" fontId="210" fillId="0" borderId="133">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45" fillId="68" borderId="136"/>
    <xf numFmtId="0" fontId="2" fillId="125" borderId="101" applyNumberFormat="0" applyFont="0" applyBorder="0" applyAlignment="0"/>
    <xf numFmtId="0" fontId="2" fillId="125" borderId="101" applyNumberFormat="0" applyFont="0" applyBorder="0" applyAlignment="0"/>
    <xf numFmtId="0" fontId="2" fillId="125" borderId="101" applyNumberFormat="0" applyFont="0" applyBorder="0" applyAlignment="0"/>
    <xf numFmtId="0" fontId="2" fillId="125" borderId="101" applyNumberFormat="0" applyFont="0" applyBorder="0" applyAlignment="0"/>
    <xf numFmtId="0" fontId="2" fillId="125" borderId="101"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41" fillId="126" borderId="123"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37" fillId="0" borderId="124">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64"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157" applyNumberFormat="0" applyFill="0" applyAlignment="0" applyProtection="0"/>
    <xf numFmtId="0" fontId="265" fillId="0" borderId="157" applyNumberFormat="0" applyFill="0" applyAlignment="0" applyProtection="0"/>
    <xf numFmtId="0" fontId="265" fillId="0" borderId="157"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58" applyNumberFormat="0" applyFill="0" applyAlignment="0" applyProtection="0"/>
    <xf numFmtId="0" fontId="267" fillId="0" borderId="158" applyNumberFormat="0" applyFill="0" applyAlignment="0" applyProtection="0"/>
    <xf numFmtId="0" fontId="267" fillId="0" borderId="158"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59" applyNumberFormat="0" applyFill="0" applyAlignment="0" applyProtection="0"/>
    <xf numFmtId="0" fontId="269" fillId="0" borderId="159" applyNumberFormat="0" applyFill="0" applyAlignment="0" applyProtection="0"/>
    <xf numFmtId="0" fontId="269" fillId="0" borderId="159"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0"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2" applyFont="0" applyProtection="0">
      <alignment horizontal="right"/>
    </xf>
    <xf numFmtId="0" fontId="10" fillId="0" borderId="0"/>
    <xf numFmtId="3" fontId="2" fillId="70" borderId="122" applyFont="0" applyProtection="0">
      <alignment horizontal="right"/>
    </xf>
    <xf numFmtId="0" fontId="2" fillId="0" borderId="0" applyNumberFormat="0" applyFont="0" applyFill="0" applyBorder="0" applyAlignment="0" applyProtection="0"/>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10" fillId="0" borderId="133">
      <alignment vertical="center"/>
    </xf>
    <xf numFmtId="0" fontId="2" fillId="0" borderId="0" applyNumberFormat="0" applyFont="0" applyFill="0" applyBorder="0" applyAlignment="0" applyProtection="0"/>
    <xf numFmtId="0" fontId="10" fillId="0" borderId="0"/>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0" fontId="2" fillId="70" borderId="122" applyFont="0" applyProtection="0">
      <alignment horizontal="right"/>
    </xf>
    <xf numFmtId="0" fontId="10" fillId="0" borderId="0"/>
    <xf numFmtId="10" fontId="2" fillId="70" borderId="122" applyFont="0" applyProtection="0">
      <alignment horizontal="right"/>
    </xf>
    <xf numFmtId="0" fontId="2" fillId="0" borderId="0" applyNumberFormat="0" applyFont="0" applyFill="0" applyBorder="0" applyAlignment="0" applyProtection="0"/>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9" fontId="2" fillId="70" borderId="122" applyFont="0" applyProtection="0">
      <alignment horizontal="right"/>
    </xf>
    <xf numFmtId="0" fontId="10" fillId="0" borderId="0"/>
    <xf numFmtId="9" fontId="2" fillId="70" borderId="122" applyFont="0" applyProtection="0">
      <alignment horizontal="right"/>
    </xf>
    <xf numFmtId="0" fontId="2" fillId="0" borderId="0" applyNumberFormat="0" applyFont="0" applyFill="0" applyBorder="0" applyAlignment="0" applyProtection="0"/>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3" fontId="210" fillId="0" borderId="133">
      <alignment vertical="center"/>
    </xf>
    <xf numFmtId="0" fontId="2" fillId="0" borderId="0" applyNumberFormat="0" applyFont="0" applyFill="0" applyBorder="0" applyAlignment="0" applyProtection="0"/>
    <xf numFmtId="0" fontId="10" fillId="0" borderId="0"/>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70" borderId="123"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3" applyNumberFormat="0" applyFont="0" applyBorder="0" applyAlignment="0" applyProtection="0">
      <alignment horizontal="left"/>
    </xf>
    <xf numFmtId="0" fontId="2" fillId="0" borderId="0" applyNumberFormat="0" applyFont="0" applyFill="0" applyBorder="0" applyAlignment="0" applyProtection="0"/>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3" fontId="210" fillId="0" borderId="133">
      <alignment vertical="center"/>
    </xf>
    <xf numFmtId="0" fontId="2" fillId="0" borderId="0" applyNumberFormat="0" applyFont="0" applyFill="0" applyBorder="0" applyAlignment="0" applyProtection="0"/>
    <xf numFmtId="0" fontId="10" fillId="0" borderId="0"/>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33">
      <alignment vertical="center"/>
    </xf>
    <xf numFmtId="37" fontId="45" fillId="0" borderId="0"/>
    <xf numFmtId="295" fontId="45" fillId="0" borderId="0"/>
    <xf numFmtId="3" fontId="210" fillId="0" borderId="133">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2"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2" applyNumberFormat="0" applyBorder="0" applyAlignment="0" applyProtection="0"/>
    <xf numFmtId="0" fontId="10" fillId="0" borderId="0"/>
    <xf numFmtId="10" fontId="19" fillId="107" borderId="122" applyNumberFormat="0" applyBorder="0" applyAlignment="0" applyProtection="0"/>
    <xf numFmtId="10" fontId="19" fillId="107" borderId="122" applyNumberFormat="0" applyBorder="0" applyAlignment="0" applyProtection="0"/>
    <xf numFmtId="10" fontId="19" fillId="107" borderId="122" applyNumberFormat="0" applyBorder="0" applyAlignment="0" applyProtection="0"/>
    <xf numFmtId="10" fontId="19" fillId="107" borderId="122" applyNumberFormat="0" applyBorder="0" applyAlignment="0" applyProtection="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272" fillId="0" borderId="74">
      <protection locked="0"/>
    </xf>
    <xf numFmtId="0" fontId="272" fillId="0" borderId="74">
      <protection locked="0"/>
    </xf>
    <xf numFmtId="3" fontId="210" fillId="0" borderId="133">
      <alignment vertical="center"/>
    </xf>
    <xf numFmtId="0" fontId="272" fillId="0" borderId="74">
      <protection locked="0"/>
    </xf>
    <xf numFmtId="0" fontId="272" fillId="0" borderId="74">
      <protection locked="0"/>
    </xf>
    <xf numFmtId="3" fontId="210" fillId="0" borderId="133">
      <alignment vertical="center"/>
    </xf>
    <xf numFmtId="0" fontId="272" fillId="0" borderId="74">
      <protection locked="0"/>
    </xf>
    <xf numFmtId="0" fontId="272" fillId="0" borderId="74">
      <protection locked="0"/>
    </xf>
    <xf numFmtId="3" fontId="210" fillId="0" borderId="133">
      <alignment vertical="center"/>
    </xf>
    <xf numFmtId="0" fontId="272" fillId="0" borderId="74">
      <protection locked="0"/>
    </xf>
    <xf numFmtId="0" fontId="272" fillId="0" borderId="74">
      <protection locked="0"/>
    </xf>
    <xf numFmtId="3" fontId="210" fillId="0" borderId="133">
      <alignment vertical="center"/>
    </xf>
    <xf numFmtId="0" fontId="10" fillId="0" borderId="0"/>
    <xf numFmtId="0" fontId="10" fillId="0" borderId="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272" fillId="0" borderId="74">
      <protection locked="0"/>
    </xf>
    <xf numFmtId="0" fontId="272" fillId="0" borderId="74">
      <protection locked="0"/>
    </xf>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3" fontId="210" fillId="0" borderId="133">
      <alignment vertical="center"/>
    </xf>
    <xf numFmtId="0" fontId="272" fillId="0" borderId="74">
      <protection locked="0"/>
    </xf>
    <xf numFmtId="0" fontId="272" fillId="0" borderId="74">
      <protection locked="0"/>
    </xf>
    <xf numFmtId="3" fontId="210" fillId="0" borderId="133">
      <alignment vertical="center"/>
    </xf>
    <xf numFmtId="0" fontId="272" fillId="0" borderId="74">
      <protection locked="0"/>
    </xf>
    <xf numFmtId="0" fontId="272" fillId="0" borderId="74">
      <protection locked="0"/>
    </xf>
    <xf numFmtId="3" fontId="210" fillId="0" borderId="133">
      <alignment vertical="center"/>
    </xf>
    <xf numFmtId="0" fontId="272" fillId="0" borderId="74">
      <protection locked="0"/>
    </xf>
    <xf numFmtId="0" fontId="272" fillId="0" borderId="74">
      <protection locked="0"/>
    </xf>
    <xf numFmtId="3" fontId="210" fillId="0" borderId="133">
      <alignment vertical="center"/>
    </xf>
    <xf numFmtId="0" fontId="272" fillId="0" borderId="74">
      <protection locked="0"/>
    </xf>
    <xf numFmtId="0" fontId="272" fillId="0" borderId="74">
      <protection locked="0"/>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60">
      <alignment horizontal="right" vertical="center"/>
      <protection locked="0"/>
    </xf>
    <xf numFmtId="310" fontId="272" fillId="88" borderId="160">
      <alignment horizontal="right" vertical="center"/>
      <protection locked="0"/>
    </xf>
    <xf numFmtId="310" fontId="272" fillId="88" borderId="160">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2" fontId="234"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3">
      <alignment vertical="center"/>
    </xf>
    <xf numFmtId="311" fontId="2" fillId="71" borderId="122" applyFont="0" applyAlignment="0">
      <protection locked="0"/>
    </xf>
    <xf numFmtId="0" fontId="10" fillId="0" borderId="0"/>
    <xf numFmtId="311" fontId="2" fillId="71" borderId="122" applyFont="0" applyAlignment="0">
      <protection locked="0"/>
    </xf>
    <xf numFmtId="0" fontId="2" fillId="0" borderId="0" applyNumberFormat="0" applyFont="0" applyFill="0" applyBorder="0" applyAlignment="0" applyProtection="0"/>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 fontId="210" fillId="0" borderId="133">
      <alignment vertical="center"/>
    </xf>
    <xf numFmtId="0" fontId="2" fillId="0" borderId="0" applyNumberFormat="0" applyFont="0" applyFill="0" applyBorder="0" applyAlignment="0" applyProtection="0"/>
    <xf numFmtId="0" fontId="10" fillId="0" borderId="0"/>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 fillId="71" borderId="122" applyFont="0">
      <alignment horizontal="right"/>
      <protection locked="0"/>
    </xf>
    <xf numFmtId="0" fontId="10" fillId="0" borderId="0"/>
    <xf numFmtId="3" fontId="2" fillId="71" borderId="122"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60" fontId="2" fillId="71" borderId="122" applyFont="0">
      <alignment horizontal="right"/>
      <protection locked="0"/>
    </xf>
    <xf numFmtId="0" fontId="10" fillId="0" borderId="0"/>
    <xf numFmtId="260" fontId="2" fillId="71" borderId="122" applyFont="0">
      <alignment horizontal="right"/>
      <protection locked="0"/>
    </xf>
    <xf numFmtId="0" fontId="2" fillId="0" borderId="0" applyNumberFormat="0" applyFont="0" applyFill="0" applyBorder="0" applyAlignment="0" applyProtection="0"/>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10" fontId="2" fillId="71" borderId="122" applyFont="0">
      <alignment horizontal="right"/>
      <protection locked="0"/>
    </xf>
    <xf numFmtId="0" fontId="10" fillId="0" borderId="0"/>
    <xf numFmtId="10" fontId="2" fillId="71" borderId="122" applyFont="0">
      <alignment horizontal="right"/>
      <protection locked="0"/>
    </xf>
    <xf numFmtId="0" fontId="2" fillId="0" borderId="0" applyNumberFormat="0" applyFont="0" applyFill="0" applyBorder="0" applyAlignment="0" applyProtection="0"/>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9" fontId="2" fillId="71" borderId="126"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6"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6" applyFont="0">
      <alignment horizontal="right"/>
      <protection locked="0"/>
    </xf>
    <xf numFmtId="9" fontId="2" fillId="71" borderId="126" applyFont="0">
      <alignment horizontal="right"/>
      <protection locked="0"/>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6" applyFont="0">
      <alignment horizontal="right"/>
      <protection locked="0"/>
    </xf>
    <xf numFmtId="9" fontId="2" fillId="71" borderId="126" applyFont="0">
      <alignment horizontal="right"/>
      <protection locked="0"/>
    </xf>
    <xf numFmtId="9" fontId="2" fillId="71" borderId="126" applyFont="0">
      <alignment horizontal="right"/>
      <protection locked="0"/>
    </xf>
    <xf numFmtId="9" fontId="2" fillId="71" borderId="126" applyFont="0">
      <alignment horizontal="right"/>
      <protection locked="0"/>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71" borderId="122" applyFont="0">
      <alignment horizontal="center" wrapText="1"/>
      <protection locked="0"/>
    </xf>
    <xf numFmtId="0" fontId="10" fillId="0" borderId="0"/>
    <xf numFmtId="0" fontId="2" fillId="71" borderId="122" applyFont="0">
      <alignment horizontal="center" wrapText="1"/>
      <protection locked="0"/>
    </xf>
    <xf numFmtId="0" fontId="2" fillId="0" borderId="0" applyNumberFormat="0" applyFont="0" applyFill="0" applyBorder="0" applyAlignment="0" applyProtection="0"/>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3" fontId="210" fillId="0" borderId="133">
      <alignment vertical="center"/>
    </xf>
    <xf numFmtId="0" fontId="2" fillId="0" borderId="0" applyNumberFormat="0" applyFont="0" applyFill="0" applyBorder="0" applyAlignment="0" applyProtection="0"/>
    <xf numFmtId="0" fontId="10" fillId="0" borderId="0"/>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49" fontId="2" fillId="71" borderId="122" applyFont="0" applyAlignment="0">
      <protection locked="0"/>
    </xf>
    <xf numFmtId="0" fontId="10" fillId="0" borderId="0"/>
    <xf numFmtId="0" fontId="10" fillId="0" borderId="0"/>
    <xf numFmtId="3" fontId="210" fillId="0" borderId="133">
      <alignment vertical="center"/>
    </xf>
    <xf numFmtId="0" fontId="10" fillId="0" borderId="0"/>
    <xf numFmtId="0" fontId="10" fillId="0" borderId="0"/>
    <xf numFmtId="49" fontId="2" fillId="71" borderId="122"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17" fontId="161"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17" fontId="229" fillId="96" borderId="161"/>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33">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4" applyAlignment="0" applyProtection="0">
      <alignment horizontal="centerContinuous"/>
    </xf>
    <xf numFmtId="19" fontId="281" fillId="0" borderId="134" applyAlignment="0" applyProtection="0">
      <alignment horizontal="centerContinuous"/>
    </xf>
    <xf numFmtId="3" fontId="210" fillId="0" borderId="133">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10" fillId="0" borderId="133">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1" applyBorder="0">
      <alignment horizontal="center"/>
      <protection locked="0"/>
    </xf>
    <xf numFmtId="10" fontId="9" fillId="130" borderId="101" applyBorder="0">
      <alignment horizontal="center"/>
      <protection locked="0"/>
    </xf>
    <xf numFmtId="10" fontId="9" fillId="130" borderId="101" applyBorder="0">
      <alignment horizontal="center"/>
      <protection locked="0"/>
    </xf>
    <xf numFmtId="10" fontId="9" fillId="130" borderId="101" applyBorder="0">
      <alignment horizontal="center"/>
      <protection locked="0"/>
    </xf>
    <xf numFmtId="10" fontId="9" fillId="130" borderId="101" applyBorder="0">
      <alignment horizontal="center"/>
      <protection locked="0"/>
    </xf>
    <xf numFmtId="0" fontId="10" fillId="0" borderId="0"/>
    <xf numFmtId="2" fontId="234" fillId="107" borderId="122"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5" applyNumberFormat="0" applyFill="0" applyBorder="0" applyAlignment="0"/>
    <xf numFmtId="17" fontId="45" fillId="131" borderId="135" applyNumberFormat="0" applyFill="0" applyBorder="0" applyAlignment="0"/>
    <xf numFmtId="3" fontId="210" fillId="0" borderId="133">
      <alignment vertical="center"/>
    </xf>
    <xf numFmtId="3" fontId="210" fillId="0" borderId="133">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37" fontId="283" fillId="0" borderId="0"/>
    <xf numFmtId="295" fontId="283"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238" fillId="69" borderId="122"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3">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xf numFmtId="0" fontId="2" fillId="0" borderId="0" applyNumberFormat="0" applyFont="0" applyFill="0" applyBorder="0" applyAlignment="0" applyProtection="0"/>
    <xf numFmtId="3" fontId="210" fillId="0" borderId="133">
      <alignment vertical="center"/>
    </xf>
    <xf numFmtId="0" fontId="2" fillId="0" borderId="0"/>
    <xf numFmtId="0" fontId="2" fillId="0" borderId="0" applyNumberFormat="0" applyFont="0" applyFill="0" applyBorder="0" applyAlignment="0" applyProtection="0"/>
    <xf numFmtId="3" fontId="210" fillId="0" borderId="133">
      <alignment vertical="center"/>
    </xf>
    <xf numFmtId="0" fontId="2" fillId="0" borderId="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284" fillId="104" borderId="125">
      <alignment horizontal="center" vertical="top" wrapText="1"/>
    </xf>
    <xf numFmtId="0" fontId="284" fillId="104" borderId="125">
      <alignment horizontal="center" vertical="top" wrapText="1"/>
    </xf>
    <xf numFmtId="0" fontId="284" fillId="104" borderId="125">
      <alignment horizontal="center" vertical="top" wrapText="1"/>
    </xf>
    <xf numFmtId="0" fontId="284" fillId="104" borderId="125">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xf numFmtId="0" fontId="2" fillId="0" borderId="124"/>
    <xf numFmtId="0" fontId="2" fillId="0" borderId="124"/>
    <xf numFmtId="0" fontId="2"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3"/>
    <xf numFmtId="0" fontId="45" fillId="70" borderId="123"/>
    <xf numFmtId="0" fontId="45" fillId="70" borderId="123"/>
    <xf numFmtId="0" fontId="45" fillId="7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1"/>
    <xf numFmtId="0" fontId="45" fillId="0" borderId="101"/>
    <xf numFmtId="0" fontId="45"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253" fontId="2" fillId="0" borderId="101">
      <alignment horizontal="left"/>
    </xf>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253" fontId="2" fillId="0" borderId="101">
      <alignment horizontal="left"/>
    </xf>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253" fontId="2" fillId="0" borderId="101">
      <alignment horizontal="left"/>
    </xf>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5">
      <alignment horizontal="center" vertical="top"/>
    </xf>
    <xf numFmtId="0" fontId="284" fillId="132" borderId="125">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3"/>
    <xf numFmtId="0" fontId="45" fillId="0" borderId="123"/>
    <xf numFmtId="0" fontId="45" fillId="0" borderId="123"/>
    <xf numFmtId="0" fontId="45"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26"/>
    <xf numFmtId="0" fontId="285" fillId="7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5">
      <alignment horizontal="center" vertical="top" wrapText="1"/>
    </xf>
    <xf numFmtId="0" fontId="284" fillId="132" borderId="125">
      <alignment horizontal="center" vertical="top" wrapText="1"/>
    </xf>
    <xf numFmtId="0" fontId="284" fillId="132" borderId="125">
      <alignment horizontal="center" vertical="top" wrapText="1"/>
    </xf>
    <xf numFmtId="0" fontId="284" fillId="132" borderId="125">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4"/>
    <xf numFmtId="3" fontId="2" fillId="0" borderId="124"/>
    <xf numFmtId="3" fontId="2" fillId="0" borderId="124"/>
    <xf numFmtId="3" fontId="2"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1">
      <alignment horizontal="left" vertical="top"/>
    </xf>
    <xf numFmtId="0" fontId="45" fillId="70" borderId="101">
      <alignment horizontal="left" vertical="top"/>
    </xf>
    <xf numFmtId="0" fontId="45" fillId="70" borderId="101">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4">
      <alignment horizontal="center" vertical="center"/>
    </xf>
    <xf numFmtId="0" fontId="284" fillId="132" borderId="124">
      <alignment horizontal="center" vertical="center"/>
    </xf>
    <xf numFmtId="0" fontId="2" fillId="0" borderId="0" applyNumberFormat="0" applyFont="0" applyFill="0" applyBorder="0" applyAlignment="0" applyProtection="0"/>
    <xf numFmtId="0" fontId="284" fillId="132" borderId="125">
      <alignment horizontal="center" vertical="center"/>
    </xf>
    <xf numFmtId="0" fontId="284" fillId="132" borderId="125">
      <alignment horizontal="center" vertical="center"/>
    </xf>
    <xf numFmtId="0" fontId="284" fillId="132" borderId="125">
      <alignment horizontal="center" vertical="center"/>
    </xf>
    <xf numFmtId="0" fontId="284" fillId="132" borderId="125">
      <alignment horizontal="center" vertical="center"/>
    </xf>
    <xf numFmtId="0" fontId="2" fillId="0" borderId="0" applyNumberFormat="0" applyFont="0" applyFill="0" applyBorder="0" applyAlignment="0" applyProtection="0"/>
    <xf numFmtId="0" fontId="284" fillId="104" borderId="123">
      <alignment horizontal="center" vertical="center"/>
    </xf>
    <xf numFmtId="0" fontId="284" fillId="104" borderId="123">
      <alignment horizontal="center" vertical="center"/>
    </xf>
    <xf numFmtId="0" fontId="284" fillId="104" borderId="123">
      <alignment horizontal="center" vertical="center"/>
    </xf>
    <xf numFmtId="0" fontId="284"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4">
      <alignment horizontal="center" vertical="center"/>
    </xf>
    <xf numFmtId="0" fontId="284" fillId="104" borderId="124">
      <alignment horizontal="center" vertical="center"/>
    </xf>
    <xf numFmtId="0" fontId="2" fillId="0" borderId="0" applyNumberFormat="0" applyFont="0" applyFill="0" applyBorder="0" applyAlignment="0" applyProtection="0"/>
    <xf numFmtId="0" fontId="284" fillId="104" borderId="125">
      <alignment horizontal="center" vertical="center"/>
    </xf>
    <xf numFmtId="0" fontId="284" fillId="104" borderId="125">
      <alignment horizontal="center" vertical="center"/>
    </xf>
    <xf numFmtId="0" fontId="284" fillId="104" borderId="125">
      <alignment horizontal="center" vertical="center"/>
    </xf>
    <xf numFmtId="0" fontId="284" fillId="104" borderId="125">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xf numFmtId="0" fontId="2" fillId="0" borderId="102"/>
    <xf numFmtId="0" fontId="2" fillId="0" borderId="102"/>
    <xf numFmtId="0" fontId="2"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87"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0" fillId="0" borderId="0"/>
    <xf numFmtId="0" fontId="238" fillId="0" borderId="74"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2">
      <alignment horizontal="right"/>
      <protection locked="0"/>
    </xf>
    <xf numFmtId="0" fontId="10" fillId="0" borderId="0"/>
    <xf numFmtId="3" fontId="2" fillId="74" borderId="122">
      <alignment horizontal="right"/>
      <protection locked="0"/>
    </xf>
    <xf numFmtId="0" fontId="2" fillId="0" borderId="0" applyNumberFormat="0" applyFont="0" applyFill="0" applyBorder="0" applyAlignment="0" applyProtection="0"/>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60" fontId="2" fillId="74" borderId="122">
      <alignment horizontal="right"/>
      <protection locked="0"/>
    </xf>
    <xf numFmtId="0" fontId="10" fillId="0" borderId="0"/>
    <xf numFmtId="260" fontId="2" fillId="74" borderId="122">
      <alignment horizontal="right"/>
      <protection locked="0"/>
    </xf>
    <xf numFmtId="0" fontId="2" fillId="0" borderId="0" applyNumberFormat="0" applyFont="0" applyFill="0" applyBorder="0" applyAlignment="0" applyProtection="0"/>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0" fontId="2" fillId="74" borderId="122" applyFont="0">
      <alignment horizontal="right"/>
      <protection locked="0"/>
    </xf>
    <xf numFmtId="0" fontId="10" fillId="0" borderId="0"/>
    <xf numFmtId="10" fontId="2" fillId="74" borderId="122" applyFont="0">
      <alignment horizontal="right"/>
      <protection locked="0"/>
    </xf>
    <xf numFmtId="0" fontId="2" fillId="0" borderId="0" applyNumberFormat="0" applyFont="0" applyFill="0" applyBorder="0" applyAlignment="0" applyProtection="0"/>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9" fontId="2" fillId="74" borderId="122">
      <alignment horizontal="right"/>
      <protection locked="0"/>
    </xf>
    <xf numFmtId="0" fontId="10" fillId="0" borderId="0"/>
    <xf numFmtId="9" fontId="2" fillId="74" borderId="122">
      <alignment horizontal="right"/>
      <protection locked="0"/>
    </xf>
    <xf numFmtId="0" fontId="2" fillId="0" borderId="0" applyNumberFormat="0" applyFont="0" applyFill="0" applyBorder="0" applyAlignment="0" applyProtection="0"/>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331" fontId="2" fillId="74" borderId="122" applyFont="0">
      <alignment horizontal="right" vertical="center"/>
      <protection locked="0"/>
    </xf>
    <xf numFmtId="331" fontId="2" fillId="74" borderId="122" applyFont="0">
      <alignment horizontal="right" vertical="center"/>
      <protection locked="0"/>
    </xf>
    <xf numFmtId="331" fontId="2" fillId="74" borderId="122" applyFont="0">
      <alignment horizontal="right" vertical="center"/>
      <protection locked="0"/>
    </xf>
    <xf numFmtId="331" fontId="2" fillId="74" borderId="122" applyFont="0">
      <alignment horizontal="right" vertical="center"/>
      <protection locked="0"/>
    </xf>
    <xf numFmtId="331" fontId="2" fillId="74" borderId="122"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74" borderId="122">
      <alignment horizontal="center" wrapText="1"/>
    </xf>
    <xf numFmtId="0" fontId="10" fillId="0" borderId="0"/>
    <xf numFmtId="0" fontId="2" fillId="74" borderId="122">
      <alignment horizontal="center" wrapText="1"/>
    </xf>
    <xf numFmtId="0" fontId="2" fillId="0" borderId="0" applyNumberFormat="0" applyFont="0" applyFill="0" applyBorder="0" applyAlignment="0" applyProtection="0"/>
    <xf numFmtId="0" fontId="2" fillId="74" borderId="122">
      <alignment horizontal="center" wrapText="1"/>
    </xf>
    <xf numFmtId="0" fontId="2" fillId="74" borderId="122">
      <alignment horizontal="center" wrapText="1"/>
    </xf>
    <xf numFmtId="0" fontId="2" fillId="74" borderId="122">
      <alignment horizontal="center" wrapText="1"/>
    </xf>
    <xf numFmtId="0" fontId="2" fillId="74" borderId="122">
      <alignment horizontal="center" wrapText="1"/>
    </xf>
    <xf numFmtId="3" fontId="210" fillId="0" borderId="133">
      <alignment vertical="center"/>
    </xf>
    <xf numFmtId="0" fontId="2" fillId="0" borderId="0" applyNumberFormat="0" applyFont="0" applyFill="0" applyBorder="0" applyAlignment="0" applyProtection="0"/>
    <xf numFmtId="0" fontId="10" fillId="0" borderId="0"/>
    <xf numFmtId="0" fontId="2" fillId="74" borderId="122">
      <alignment horizontal="center" wrapText="1"/>
    </xf>
    <xf numFmtId="0" fontId="2" fillId="74" borderId="122">
      <alignment horizontal="center" wrapText="1"/>
    </xf>
    <xf numFmtId="0" fontId="2" fillId="74" borderId="122">
      <alignment horizontal="center" wrapText="1"/>
    </xf>
    <xf numFmtId="0" fontId="2" fillId="74" borderId="122">
      <alignment horizontal="center" wrapText="1"/>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74" borderId="122" applyNumberFormat="0" applyFont="0">
      <alignment horizontal="center" wrapText="1"/>
      <protection locked="0"/>
    </xf>
    <xf numFmtId="0" fontId="10" fillId="0" borderId="0"/>
    <xf numFmtId="0" fontId="2" fillId="74" borderId="122" applyNumberFormat="0" applyFont="0">
      <alignment horizontal="center" wrapText="1"/>
      <protection locked="0"/>
    </xf>
    <xf numFmtId="0" fontId="2" fillId="0" borderId="0" applyNumberFormat="0" applyFont="0" applyFill="0" applyBorder="0" applyAlignment="0" applyProtection="0"/>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3" fontId="210" fillId="0" borderId="133">
      <alignment vertical="center"/>
    </xf>
    <xf numFmtId="0" fontId="2" fillId="0" borderId="0" applyNumberFormat="0" applyFont="0" applyFill="0" applyBorder="0" applyAlignment="0" applyProtection="0"/>
    <xf numFmtId="0" fontId="10" fillId="0" borderId="0"/>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66"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10" fillId="0" borderId="0"/>
    <xf numFmtId="0" fontId="10" fillId="0" borderId="0"/>
    <xf numFmtId="0" fontId="10" fillId="0" borderId="0"/>
    <xf numFmtId="0" fontId="10" fillId="0" borderId="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173" fontId="234"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2"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3" fontId="289" fillId="135" borderId="12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61"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3">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3">
      <alignment vertical="center"/>
    </xf>
    <xf numFmtId="10" fontId="2" fillId="0" borderId="168"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54"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3">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33">
      <alignment vertical="center"/>
    </xf>
    <xf numFmtId="0" fontId="10" fillId="0" borderId="0"/>
    <xf numFmtId="0" fontId="178" fillId="111"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2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165" fontId="299" fillId="0" borderId="0">
      <alignment horizontal="right"/>
    </xf>
    <xf numFmtId="0" fontId="10" fillId="0" borderId="0"/>
    <xf numFmtId="0" fontId="2" fillId="0" borderId="16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300" fillId="88" borderId="163" applyNumberFormat="0" applyProtection="0">
      <alignment vertical="center"/>
    </xf>
    <xf numFmtId="4" fontId="300" fillId="88" borderId="163" applyNumberFormat="0" applyProtection="0">
      <alignment vertical="center"/>
    </xf>
    <xf numFmtId="4" fontId="300" fillId="88" borderId="163" applyNumberFormat="0" applyProtection="0">
      <alignment vertical="center"/>
    </xf>
    <xf numFmtId="4" fontId="300" fillId="88" borderId="163" applyNumberFormat="0" applyProtection="0">
      <alignment vertical="center"/>
    </xf>
    <xf numFmtId="4" fontId="300" fillId="88" borderId="163" applyNumberFormat="0" applyProtection="0">
      <alignment vertical="center"/>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189" fillId="137" borderId="163" applyNumberFormat="0" applyProtection="0">
      <alignment horizontal="left" vertical="center" indent="1"/>
    </xf>
    <xf numFmtId="4" fontId="189" fillId="137" borderId="163" applyNumberFormat="0" applyProtection="0">
      <alignment horizontal="left" vertical="center" indent="1"/>
    </xf>
    <xf numFmtId="4" fontId="189" fillId="137" borderId="163" applyNumberFormat="0" applyProtection="0">
      <alignment horizontal="left" vertical="center" indent="1"/>
    </xf>
    <xf numFmtId="4" fontId="189" fillId="137" borderId="163" applyNumberFormat="0" applyProtection="0">
      <alignment horizontal="left" vertical="center" indent="1"/>
    </xf>
    <xf numFmtId="4" fontId="189" fillId="137" borderId="163"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301" fillId="139" borderId="0"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1"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300" fillId="107" borderId="163" applyNumberFormat="0" applyProtection="0">
      <alignment vertical="center"/>
    </xf>
    <xf numFmtId="4" fontId="300" fillId="107" borderId="163" applyNumberFormat="0" applyProtection="0">
      <alignment vertical="center"/>
    </xf>
    <xf numFmtId="4" fontId="300" fillId="107" borderId="163" applyNumberFormat="0" applyProtection="0">
      <alignment vertical="center"/>
    </xf>
    <xf numFmtId="4" fontId="300" fillId="107" borderId="163" applyNumberFormat="0" applyProtection="0">
      <alignment vertical="center"/>
    </xf>
    <xf numFmtId="4" fontId="300" fillId="107" borderId="163" applyNumberFormat="0" applyProtection="0">
      <alignment vertical="center"/>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1" applyProtection="0">
      <alignment horizontal="right" vertical="center"/>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4" fontId="300" fillId="138" borderId="163" applyNumberFormat="0" applyProtection="0">
      <alignment horizontal="right" vertical="center"/>
    </xf>
    <xf numFmtId="4" fontId="300" fillId="138" borderId="163" applyNumberFormat="0" applyProtection="0">
      <alignment horizontal="right" vertical="center"/>
    </xf>
    <xf numFmtId="4" fontId="300" fillId="138" borderId="163" applyNumberFormat="0" applyProtection="0">
      <alignment horizontal="right" vertical="center"/>
    </xf>
    <xf numFmtId="4" fontId="300" fillId="138" borderId="163" applyNumberFormat="0" applyProtection="0">
      <alignment horizontal="right" vertical="center"/>
    </xf>
    <xf numFmtId="4" fontId="300" fillId="138" borderId="163" applyNumberFormat="0" applyProtection="0">
      <alignment horizontal="right" vertical="center"/>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302" fillId="0" borderId="0"/>
    <xf numFmtId="4" fontId="207" fillId="138" borderId="163" applyNumberFormat="0" applyProtection="0">
      <alignment horizontal="right" vertical="center"/>
    </xf>
    <xf numFmtId="4" fontId="207" fillId="138" borderId="163" applyNumberFormat="0" applyProtection="0">
      <alignment horizontal="right" vertical="center"/>
    </xf>
    <xf numFmtId="4" fontId="207" fillId="138" borderId="163" applyNumberFormat="0" applyProtection="0">
      <alignment horizontal="right" vertical="center"/>
    </xf>
    <xf numFmtId="4" fontId="207" fillId="138" borderId="163" applyNumberFormat="0" applyProtection="0">
      <alignment horizontal="right" vertical="center"/>
    </xf>
    <xf numFmtId="4" fontId="207" fillId="138" borderId="163"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303" fillId="0" borderId="0"/>
    <xf numFmtId="341" fontId="161" fillId="0" borderId="0"/>
    <xf numFmtId="342" fontId="161" fillId="0" borderId="0"/>
    <xf numFmtId="0" fontId="211" fillId="0" borderId="26"/>
    <xf numFmtId="0" fontId="304" fillId="71" borderId="106"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2">
      <alignment horizontal="right"/>
    </xf>
    <xf numFmtId="0" fontId="307" fillId="141" borderId="0"/>
    <xf numFmtId="0" fontId="305" fillId="69" borderId="172">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4"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22">
      <alignment horizontal="center"/>
    </xf>
    <xf numFmtId="0" fontId="10" fillId="0" borderId="0"/>
    <xf numFmtId="347" fontId="2" fillId="69" borderId="122">
      <alignment horizontal="center"/>
    </xf>
    <xf numFmtId="0" fontId="2" fillId="0" borderId="0" applyNumberFormat="0" applyFont="0" applyFill="0" applyBorder="0" applyAlignment="0" applyProtection="0"/>
    <xf numFmtId="347" fontId="2" fillId="69" borderId="122">
      <alignment horizontal="center"/>
    </xf>
    <xf numFmtId="347" fontId="2" fillId="69" borderId="122">
      <alignment horizontal="center"/>
    </xf>
    <xf numFmtId="347" fontId="2" fillId="69" borderId="122">
      <alignment horizontal="center"/>
    </xf>
    <xf numFmtId="347" fontId="2" fillId="69" borderId="122">
      <alignment horizontal="center"/>
    </xf>
    <xf numFmtId="3" fontId="210" fillId="0" borderId="133">
      <alignment vertical="center"/>
    </xf>
    <xf numFmtId="0" fontId="2" fillId="0" borderId="0" applyNumberFormat="0" applyFont="0" applyFill="0" applyBorder="0" applyAlignment="0" applyProtection="0"/>
    <xf numFmtId="0" fontId="10" fillId="0" borderId="0"/>
    <xf numFmtId="347" fontId="2" fillId="69" borderId="122">
      <alignment horizontal="center"/>
    </xf>
    <xf numFmtId="347" fontId="2" fillId="69" borderId="122">
      <alignment horizontal="center"/>
    </xf>
    <xf numFmtId="347" fontId="2" fillId="69" borderId="122">
      <alignment horizontal="center"/>
    </xf>
    <xf numFmtId="347" fontId="2" fillId="69" borderId="122">
      <alignment horizontal="center"/>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 fillId="69" borderId="122" applyFont="0">
      <alignment horizontal="right"/>
    </xf>
    <xf numFmtId="0" fontId="10" fillId="0" borderId="0"/>
    <xf numFmtId="3" fontId="2" fillId="69" borderId="122"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2" applyFont="0">
      <alignment horizontal="right" vertical="center"/>
    </xf>
    <xf numFmtId="3" fontId="2" fillId="69" borderId="122" applyFont="0">
      <alignment horizontal="right" vertical="center"/>
    </xf>
    <xf numFmtId="3" fontId="2" fillId="69" borderId="122" applyFont="0">
      <alignment horizontal="right" vertical="center"/>
    </xf>
    <xf numFmtId="3" fontId="2" fillId="69" borderId="122" applyFont="0">
      <alignment horizontal="right" vertical="center"/>
    </xf>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87" fontId="2" fillId="69" borderId="122" applyFont="0">
      <alignment horizontal="right"/>
    </xf>
    <xf numFmtId="0" fontId="10" fillId="0" borderId="0"/>
    <xf numFmtId="187" fontId="2" fillId="69" borderId="122" applyFont="0">
      <alignment horizontal="right"/>
    </xf>
    <xf numFmtId="0" fontId="2" fillId="0" borderId="0" applyNumberFormat="0" applyFont="0" applyFill="0" applyBorder="0" applyAlignment="0" applyProtection="0"/>
    <xf numFmtId="187" fontId="2" fillId="69" borderId="122" applyFont="0">
      <alignment horizontal="right"/>
    </xf>
    <xf numFmtId="187" fontId="2" fillId="69" borderId="122" applyFont="0">
      <alignment horizontal="right"/>
    </xf>
    <xf numFmtId="187" fontId="2" fillId="69" borderId="122" applyFont="0">
      <alignment horizontal="right"/>
    </xf>
    <xf numFmtId="187" fontId="2" fillId="69"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87" fontId="2" fillId="69" borderId="122" applyFont="0">
      <alignment horizontal="right"/>
    </xf>
    <xf numFmtId="187" fontId="2" fillId="69" borderId="122" applyFont="0">
      <alignment horizontal="right"/>
    </xf>
    <xf numFmtId="187" fontId="2" fillId="69" borderId="122" applyFont="0">
      <alignment horizontal="right"/>
    </xf>
    <xf numFmtId="187" fontId="2" fillId="69"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60" fontId="2" fillId="69" borderId="122" applyFont="0">
      <alignment horizontal="right"/>
    </xf>
    <xf numFmtId="0" fontId="10" fillId="0" borderId="0"/>
    <xf numFmtId="260" fontId="2" fillId="69" borderId="122" applyFont="0">
      <alignment horizontal="right"/>
    </xf>
    <xf numFmtId="0" fontId="2" fillId="0" borderId="0" applyNumberFormat="0" applyFont="0" applyFill="0" applyBorder="0" applyAlignment="0" applyProtection="0"/>
    <xf numFmtId="260" fontId="2" fillId="69" borderId="122" applyFont="0">
      <alignment horizontal="right"/>
    </xf>
    <xf numFmtId="260" fontId="2" fillId="69" borderId="122" applyFont="0">
      <alignment horizontal="right"/>
    </xf>
    <xf numFmtId="260" fontId="2" fillId="69" borderId="122" applyFont="0">
      <alignment horizontal="right"/>
    </xf>
    <xf numFmtId="260" fontId="2" fillId="69"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260" fontId="2" fillId="69" borderId="122" applyFont="0">
      <alignment horizontal="right"/>
    </xf>
    <xf numFmtId="260" fontId="2" fillId="69" borderId="122" applyFont="0">
      <alignment horizontal="right"/>
    </xf>
    <xf numFmtId="260" fontId="2" fillId="69" borderId="122" applyFont="0">
      <alignment horizontal="right"/>
    </xf>
    <xf numFmtId="260" fontId="2" fillId="69"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0" fontId="2" fillId="69" borderId="122" applyFont="0">
      <alignment horizontal="right"/>
    </xf>
    <xf numFmtId="0" fontId="10" fillId="0" borderId="0"/>
    <xf numFmtId="10" fontId="2" fillId="69" borderId="122" applyFont="0">
      <alignment horizontal="right"/>
    </xf>
    <xf numFmtId="0" fontId="2" fillId="0" borderId="0" applyNumberFormat="0" applyFont="0" applyFill="0" applyBorder="0" applyAlignment="0" applyProtection="0"/>
    <xf numFmtId="10" fontId="2" fillId="69" borderId="122" applyFont="0">
      <alignment horizontal="right"/>
    </xf>
    <xf numFmtId="10" fontId="2" fillId="69" borderId="122" applyFont="0">
      <alignment horizontal="right"/>
    </xf>
    <xf numFmtId="10" fontId="2" fillId="69" borderId="122" applyFont="0">
      <alignment horizontal="right"/>
    </xf>
    <xf numFmtId="10" fontId="2" fillId="69"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0" fontId="2" fillId="69" borderId="122" applyFont="0">
      <alignment horizontal="right"/>
    </xf>
    <xf numFmtId="10" fontId="2" fillId="69" borderId="122" applyFont="0">
      <alignment horizontal="right"/>
    </xf>
    <xf numFmtId="10" fontId="2" fillId="69" borderId="122" applyFont="0">
      <alignment horizontal="right"/>
    </xf>
    <xf numFmtId="10" fontId="2" fillId="69"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9" fontId="2" fillId="69" borderId="122" applyFont="0">
      <alignment horizontal="right"/>
    </xf>
    <xf numFmtId="0" fontId="10" fillId="0" borderId="0"/>
    <xf numFmtId="9" fontId="2" fillId="69" borderId="122" applyFont="0">
      <alignment horizontal="right"/>
    </xf>
    <xf numFmtId="0" fontId="2" fillId="0" borderId="0" applyNumberFormat="0" applyFont="0" applyFill="0" applyBorder="0" applyAlignment="0" applyProtection="0"/>
    <xf numFmtId="9" fontId="2" fillId="69" borderId="122" applyFont="0">
      <alignment horizontal="right"/>
    </xf>
    <xf numFmtId="9" fontId="2" fillId="69" borderId="122" applyFont="0">
      <alignment horizontal="right"/>
    </xf>
    <xf numFmtId="9" fontId="2" fillId="69" borderId="122" applyFont="0">
      <alignment horizontal="right"/>
    </xf>
    <xf numFmtId="9" fontId="2" fillId="69"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9" fontId="2" fillId="69" borderId="122" applyFont="0">
      <alignment horizontal="right"/>
    </xf>
    <xf numFmtId="9" fontId="2" fillId="69" borderId="122" applyFont="0">
      <alignment horizontal="right"/>
    </xf>
    <xf numFmtId="9" fontId="2" fillId="69" borderId="122" applyFont="0">
      <alignment horizontal="right"/>
    </xf>
    <xf numFmtId="9" fontId="2" fillId="69"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48" fontId="2" fillId="69" borderId="122" applyFont="0">
      <alignment horizontal="center" wrapText="1"/>
    </xf>
    <xf numFmtId="0" fontId="10" fillId="0" borderId="0"/>
    <xf numFmtId="348" fontId="2" fillId="69" borderId="122" applyFont="0">
      <alignment horizontal="center" wrapText="1"/>
    </xf>
    <xf numFmtId="0" fontId="2" fillId="0" borderId="0" applyNumberFormat="0" applyFont="0" applyFill="0" applyBorder="0" applyAlignment="0" applyProtection="0"/>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 fontId="210" fillId="0" borderId="133">
      <alignment vertical="center"/>
    </xf>
    <xf numFmtId="0" fontId="2" fillId="0" borderId="0" applyNumberFormat="0" applyFont="0" applyFill="0" applyBorder="0" applyAlignment="0" applyProtection="0"/>
    <xf numFmtId="0" fontId="10" fillId="0" borderId="0"/>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65"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3" applyNumberFormat="0" applyBorder="0">
      <alignment horizontal="centerContinuous"/>
    </xf>
    <xf numFmtId="0" fontId="311" fillId="105" borderId="173" applyNumberFormat="0" applyBorder="0">
      <alignment horizontal="centerContinuous"/>
    </xf>
    <xf numFmtId="0" fontId="311" fillId="105" borderId="173" applyNumberFormat="0" applyBorder="0">
      <alignment horizontal="centerContinuous"/>
    </xf>
    <xf numFmtId="0" fontId="311" fillId="105" borderId="173"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45" fillId="0" borderId="0" applyNumberFormat="0"/>
    <xf numFmtId="0" fontId="10" fillId="0" borderId="0"/>
    <xf numFmtId="165"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4" applyBorder="0"/>
    <xf numFmtId="3" fontId="2" fillId="68" borderId="124" applyBorder="0"/>
    <xf numFmtId="3" fontId="2" fillId="68" borderId="124" applyBorder="0"/>
    <xf numFmtId="3" fontId="2" fillId="68" borderId="124" applyBorder="0"/>
    <xf numFmtId="3" fontId="2" fillId="68" borderId="124"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2" applyNumberFormat="0" applyFont="0" applyFill="0" applyBorder="0" applyAlignment="0">
      <protection hidden="1"/>
    </xf>
    <xf numFmtId="0" fontId="10" fillId="0" borderId="0"/>
    <xf numFmtId="0" fontId="161" fillId="0" borderId="122" applyNumberFormat="0" applyFont="0" applyFill="0" applyBorder="0" applyAlignment="0">
      <protection hidden="1"/>
    </xf>
    <xf numFmtId="0" fontId="10" fillId="0" borderId="0"/>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3" fontId="210" fillId="0" borderId="133">
      <alignment vertical="center"/>
    </xf>
    <xf numFmtId="0" fontId="2" fillId="0" borderId="0" applyNumberFormat="0" applyFont="0" applyFill="0" applyBorder="0" applyAlignment="0" applyProtection="0"/>
    <xf numFmtId="0" fontId="10" fillId="0" borderId="0"/>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 fontId="2" fillId="144" borderId="122" applyFont="0">
      <alignment horizontal="right"/>
    </xf>
    <xf numFmtId="0" fontId="10" fillId="0" borderId="0"/>
    <xf numFmtId="1" fontId="2" fillId="144" borderId="122" applyFont="0">
      <alignment horizontal="right"/>
    </xf>
    <xf numFmtId="0" fontId="2" fillId="0" borderId="0" applyNumberFormat="0" applyFont="0" applyFill="0" applyBorder="0" applyAlignment="0" applyProtection="0"/>
    <xf numFmtId="1" fontId="2" fillId="144" borderId="122" applyFont="0">
      <alignment horizontal="right"/>
    </xf>
    <xf numFmtId="1" fontId="2" fillId="144" borderId="122" applyFont="0">
      <alignment horizontal="right"/>
    </xf>
    <xf numFmtId="1" fontId="2" fillId="144" borderId="122" applyFont="0">
      <alignment horizontal="right"/>
    </xf>
    <xf numFmtId="1" fontId="2" fillId="144"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 fontId="2" fillId="144" borderId="122" applyFont="0">
      <alignment horizontal="right"/>
    </xf>
    <xf numFmtId="1" fontId="2" fillId="144" borderId="122" applyFont="0">
      <alignment horizontal="right"/>
    </xf>
    <xf numFmtId="1" fontId="2" fillId="144" borderId="122" applyFont="0">
      <alignment horizontal="right"/>
    </xf>
    <xf numFmtId="1" fontId="2" fillId="144"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04" fontId="2" fillId="144" borderId="122" applyFont="0"/>
    <xf numFmtId="0" fontId="10" fillId="0" borderId="0"/>
    <xf numFmtId="304" fontId="2" fillId="144" borderId="122" applyFont="0"/>
    <xf numFmtId="0" fontId="2" fillId="0" borderId="0" applyNumberFormat="0" applyFont="0" applyFill="0" applyBorder="0" applyAlignment="0" applyProtection="0"/>
    <xf numFmtId="304" fontId="2" fillId="144" borderId="122" applyFont="0"/>
    <xf numFmtId="304" fontId="2" fillId="144" borderId="122" applyFont="0"/>
    <xf numFmtId="304" fontId="2" fillId="144" borderId="122" applyFont="0"/>
    <xf numFmtId="304" fontId="2" fillId="144" borderId="122" applyFont="0"/>
    <xf numFmtId="3" fontId="210" fillId="0" borderId="133">
      <alignment vertical="center"/>
    </xf>
    <xf numFmtId="0" fontId="2" fillId="0" borderId="0" applyNumberFormat="0" applyFont="0" applyFill="0" applyBorder="0" applyAlignment="0" applyProtection="0"/>
    <xf numFmtId="0" fontId="10" fillId="0" borderId="0"/>
    <xf numFmtId="304" fontId="2" fillId="144" borderId="122" applyFont="0"/>
    <xf numFmtId="304" fontId="2" fillId="144" borderId="122" applyFont="0"/>
    <xf numFmtId="304" fontId="2" fillId="144" borderId="122" applyFont="0"/>
    <xf numFmtId="304" fontId="2" fillId="144" borderId="122" applyFont="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9" fontId="2" fillId="144" borderId="122" applyFont="0">
      <alignment horizontal="right"/>
    </xf>
    <xf numFmtId="0" fontId="10" fillId="0" borderId="0"/>
    <xf numFmtId="9" fontId="2" fillId="144" borderId="122" applyFont="0">
      <alignment horizontal="right"/>
    </xf>
    <xf numFmtId="0" fontId="2" fillId="0" borderId="0" applyNumberFormat="0" applyFont="0" applyFill="0" applyBorder="0" applyAlignment="0" applyProtection="0"/>
    <xf numFmtId="9" fontId="2" fillId="144" borderId="122" applyFont="0">
      <alignment horizontal="right"/>
    </xf>
    <xf numFmtId="9" fontId="2" fillId="144" borderId="122" applyFont="0">
      <alignment horizontal="right"/>
    </xf>
    <xf numFmtId="9" fontId="2" fillId="144" borderId="122" applyFont="0">
      <alignment horizontal="right"/>
    </xf>
    <xf numFmtId="9" fontId="2" fillId="144"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9" fontId="2" fillId="144" borderId="122" applyFont="0">
      <alignment horizontal="right"/>
    </xf>
    <xf numFmtId="9" fontId="2" fillId="144" borderId="122" applyFont="0">
      <alignment horizontal="right"/>
    </xf>
    <xf numFmtId="9" fontId="2" fillId="144" borderId="122" applyFont="0">
      <alignment horizontal="right"/>
    </xf>
    <xf numFmtId="9" fontId="2" fillId="144"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31" fontId="2" fillId="144" borderId="122" applyFont="0">
      <alignment horizontal="right"/>
    </xf>
    <xf numFmtId="0" fontId="10" fillId="0" borderId="0"/>
    <xf numFmtId="331" fontId="2" fillId="144" borderId="122" applyFont="0">
      <alignment horizontal="right"/>
    </xf>
    <xf numFmtId="0" fontId="2" fillId="0" borderId="0" applyNumberFormat="0" applyFont="0" applyFill="0" applyBorder="0" applyAlignment="0" applyProtection="0"/>
    <xf numFmtId="331" fontId="2" fillId="144" borderId="122" applyFont="0">
      <alignment horizontal="right"/>
    </xf>
    <xf numFmtId="331" fontId="2" fillId="144" borderId="122" applyFont="0">
      <alignment horizontal="right"/>
    </xf>
    <xf numFmtId="331" fontId="2" fillId="144" borderId="122" applyFont="0">
      <alignment horizontal="right"/>
    </xf>
    <xf numFmtId="331" fontId="2" fillId="144"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331" fontId="2" fillId="144" borderId="122" applyFont="0">
      <alignment horizontal="right"/>
    </xf>
    <xf numFmtId="331" fontId="2" fillId="144" borderId="122" applyFont="0">
      <alignment horizontal="right"/>
    </xf>
    <xf numFmtId="331" fontId="2" fillId="144" borderId="122" applyFont="0">
      <alignment horizontal="right"/>
    </xf>
    <xf numFmtId="331" fontId="2" fillId="144"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0" fontId="2" fillId="144" borderId="122" applyFont="0">
      <alignment horizontal="right"/>
    </xf>
    <xf numFmtId="0" fontId="10" fillId="0" borderId="0"/>
    <xf numFmtId="10" fontId="2" fillId="144" borderId="122" applyFont="0">
      <alignment horizontal="right"/>
    </xf>
    <xf numFmtId="0" fontId="2" fillId="0" borderId="0" applyNumberFormat="0" applyFont="0" applyFill="0" applyBorder="0" applyAlignment="0" applyProtection="0"/>
    <xf numFmtId="10" fontId="2" fillId="144" borderId="122" applyFont="0">
      <alignment horizontal="right"/>
    </xf>
    <xf numFmtId="10" fontId="2" fillId="144" borderId="122" applyFont="0">
      <alignment horizontal="right"/>
    </xf>
    <xf numFmtId="10" fontId="2" fillId="144" borderId="122" applyFont="0">
      <alignment horizontal="right"/>
    </xf>
    <xf numFmtId="10" fontId="2" fillId="144"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0" fontId="2" fillId="144" borderId="122" applyFont="0">
      <alignment horizontal="right"/>
    </xf>
    <xf numFmtId="10" fontId="2" fillId="144" borderId="122" applyFont="0">
      <alignment horizontal="right"/>
    </xf>
    <xf numFmtId="10" fontId="2" fillId="144" borderId="122" applyFont="0">
      <alignment horizontal="right"/>
    </xf>
    <xf numFmtId="10" fontId="2" fillId="144"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144" borderId="122" applyFont="0">
      <alignment horizontal="center" wrapText="1"/>
    </xf>
    <xf numFmtId="0" fontId="10" fillId="0" borderId="0"/>
    <xf numFmtId="0" fontId="2" fillId="144" borderId="122" applyFont="0">
      <alignment horizontal="center" wrapText="1"/>
    </xf>
    <xf numFmtId="0" fontId="2" fillId="0" borderId="0" applyNumberFormat="0" applyFont="0" applyFill="0" applyBorder="0" applyAlignment="0" applyProtection="0"/>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3" fontId="210" fillId="0" borderId="133">
      <alignment vertical="center"/>
    </xf>
    <xf numFmtId="0" fontId="2" fillId="0" borderId="0" applyNumberFormat="0" applyFont="0" applyFill="0" applyBorder="0" applyAlignment="0" applyProtection="0"/>
    <xf numFmtId="0" fontId="10" fillId="0" borderId="0"/>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49" fontId="2" fillId="144" borderId="122" applyFont="0"/>
    <xf numFmtId="0" fontId="10" fillId="0" borderId="0"/>
    <xf numFmtId="0" fontId="10" fillId="0" borderId="0"/>
    <xf numFmtId="3" fontId="210" fillId="0" borderId="133">
      <alignment vertical="center"/>
    </xf>
    <xf numFmtId="0" fontId="10" fillId="0" borderId="0"/>
    <xf numFmtId="0" fontId="10" fillId="0" borderId="0"/>
    <xf numFmtId="49" fontId="2" fillId="144" borderId="122" applyFont="0"/>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304" fontId="2" fillId="145" borderId="122" applyFont="0"/>
    <xf numFmtId="0" fontId="10" fillId="0" borderId="0"/>
    <xf numFmtId="304" fontId="2" fillId="145" borderId="122" applyFont="0"/>
    <xf numFmtId="0" fontId="2" fillId="0" borderId="0" applyNumberFormat="0" applyFont="0" applyFill="0" applyBorder="0" applyAlignment="0" applyProtection="0"/>
    <xf numFmtId="304" fontId="2" fillId="145" borderId="122" applyFont="0"/>
    <xf numFmtId="304" fontId="2" fillId="145" borderId="122" applyFont="0"/>
    <xf numFmtId="304" fontId="2" fillId="145" borderId="122" applyFont="0"/>
    <xf numFmtId="304" fontId="2" fillId="145" borderId="122" applyFont="0"/>
    <xf numFmtId="3" fontId="210" fillId="0" borderId="133">
      <alignment vertical="center"/>
    </xf>
    <xf numFmtId="0" fontId="2" fillId="0" borderId="0" applyNumberFormat="0" applyFont="0" applyFill="0" applyBorder="0" applyAlignment="0" applyProtection="0"/>
    <xf numFmtId="0" fontId="10" fillId="0" borderId="0"/>
    <xf numFmtId="304" fontId="2" fillId="145" borderId="122" applyFont="0"/>
    <xf numFmtId="304" fontId="2" fillId="145" borderId="122" applyFont="0"/>
    <xf numFmtId="304" fontId="2" fillId="145" borderId="122" applyFont="0"/>
    <xf numFmtId="304" fontId="2" fillId="145" borderId="122" applyFont="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9" fontId="2" fillId="145" borderId="122" applyFont="0">
      <alignment horizontal="right"/>
    </xf>
    <xf numFmtId="0" fontId="10" fillId="0" borderId="0"/>
    <xf numFmtId="9" fontId="2" fillId="145" borderId="122" applyFont="0">
      <alignment horizontal="right"/>
    </xf>
    <xf numFmtId="0" fontId="2" fillId="0" borderId="0" applyNumberFormat="0" applyFont="0" applyFill="0" applyBorder="0" applyAlignment="0" applyProtection="0"/>
    <xf numFmtId="9" fontId="2" fillId="145" borderId="122" applyFont="0">
      <alignment horizontal="right"/>
    </xf>
    <xf numFmtId="9" fontId="2" fillId="145" borderId="122" applyFont="0">
      <alignment horizontal="right"/>
    </xf>
    <xf numFmtId="9" fontId="2" fillId="145" borderId="122" applyFont="0">
      <alignment horizontal="right"/>
    </xf>
    <xf numFmtId="9" fontId="2" fillId="145"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9" fontId="2" fillId="145" borderId="122" applyFont="0">
      <alignment horizontal="right"/>
    </xf>
    <xf numFmtId="9" fontId="2" fillId="145" borderId="122" applyFont="0">
      <alignment horizontal="right"/>
    </xf>
    <xf numFmtId="9" fontId="2" fillId="145" borderId="122" applyFont="0">
      <alignment horizontal="right"/>
    </xf>
    <xf numFmtId="9" fontId="2" fillId="145"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311" fontId="2" fillId="146" borderId="122">
      <alignment vertical="center"/>
    </xf>
    <xf numFmtId="311" fontId="2" fillId="146" borderId="122">
      <alignment vertical="center"/>
    </xf>
    <xf numFmtId="311" fontId="2" fillId="146" borderId="122">
      <alignment vertical="center"/>
    </xf>
    <xf numFmtId="311" fontId="2" fillId="146" borderId="122">
      <alignment vertical="center"/>
    </xf>
    <xf numFmtId="311" fontId="2" fillId="146" borderId="122">
      <alignment vertical="center"/>
    </xf>
    <xf numFmtId="304" fontId="2" fillId="93" borderId="122" applyFont="0">
      <alignment horizontal="right"/>
    </xf>
    <xf numFmtId="0" fontId="10" fillId="0" borderId="0"/>
    <xf numFmtId="304" fontId="2" fillId="93" borderId="122" applyFont="0">
      <alignment horizontal="right"/>
    </xf>
    <xf numFmtId="0" fontId="2" fillId="0" borderId="0" applyNumberFormat="0" applyFont="0" applyFill="0" applyBorder="0" applyAlignment="0" applyProtection="0"/>
    <xf numFmtId="304" fontId="2" fillId="93" borderId="122" applyFont="0">
      <alignment horizontal="right"/>
    </xf>
    <xf numFmtId="304" fontId="2" fillId="93" borderId="122" applyFont="0">
      <alignment horizontal="right"/>
    </xf>
    <xf numFmtId="304" fontId="2" fillId="93" borderId="122" applyFont="0">
      <alignment horizontal="right"/>
    </xf>
    <xf numFmtId="304" fontId="2" fillId="93"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304" fontId="2" fillId="93" borderId="122" applyFont="0">
      <alignment horizontal="right"/>
    </xf>
    <xf numFmtId="304" fontId="2" fillId="93" borderId="122" applyFont="0">
      <alignment horizontal="right"/>
    </xf>
    <xf numFmtId="304" fontId="2" fillId="93" borderId="122" applyFont="0">
      <alignment horizontal="right"/>
    </xf>
    <xf numFmtId="304" fontId="2" fillId="93"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 fontId="2" fillId="93" borderId="122" applyFont="0">
      <alignment horizontal="right"/>
    </xf>
    <xf numFmtId="0" fontId="10" fillId="0" borderId="0"/>
    <xf numFmtId="1" fontId="2" fillId="93" borderId="122" applyFont="0">
      <alignment horizontal="right"/>
    </xf>
    <xf numFmtId="0" fontId="2" fillId="0" borderId="0" applyNumberFormat="0" applyFont="0" applyFill="0" applyBorder="0" applyAlignment="0" applyProtection="0"/>
    <xf numFmtId="1" fontId="2" fillId="93" borderId="122" applyFont="0">
      <alignment horizontal="right"/>
    </xf>
    <xf numFmtId="1" fontId="2" fillId="93" borderId="122" applyFont="0">
      <alignment horizontal="right"/>
    </xf>
    <xf numFmtId="1" fontId="2" fillId="93" borderId="122" applyFont="0">
      <alignment horizontal="right"/>
    </xf>
    <xf numFmtId="1" fontId="2" fillId="93"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 fontId="2" fillId="93" borderId="122" applyFont="0">
      <alignment horizontal="right"/>
    </xf>
    <xf numFmtId="1" fontId="2" fillId="93" borderId="122" applyFont="0">
      <alignment horizontal="right"/>
    </xf>
    <xf numFmtId="1" fontId="2" fillId="93" borderId="122" applyFont="0">
      <alignment horizontal="right"/>
    </xf>
    <xf numFmtId="1" fontId="2" fillId="93"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04" fontId="2" fillId="93" borderId="122" applyFont="0"/>
    <xf numFmtId="0" fontId="10" fillId="0" borderId="0"/>
    <xf numFmtId="304" fontId="2" fillId="93" borderId="122" applyFont="0"/>
    <xf numFmtId="0" fontId="2" fillId="0" borderId="0" applyNumberFormat="0" applyFont="0" applyFill="0" applyBorder="0" applyAlignment="0" applyProtection="0"/>
    <xf numFmtId="304" fontId="2" fillId="93" borderId="122" applyFont="0"/>
    <xf numFmtId="304" fontId="2" fillId="93" borderId="122" applyFont="0"/>
    <xf numFmtId="304" fontId="2" fillId="93" borderId="122" applyFont="0"/>
    <xf numFmtId="304" fontId="2" fillId="93" borderId="122" applyFont="0"/>
    <xf numFmtId="3" fontId="210" fillId="0" borderId="133">
      <alignment vertical="center"/>
    </xf>
    <xf numFmtId="0" fontId="2" fillId="0" borderId="0" applyNumberFormat="0" applyFont="0" applyFill="0" applyBorder="0" applyAlignment="0" applyProtection="0"/>
    <xf numFmtId="0" fontId="10" fillId="0" borderId="0"/>
    <xf numFmtId="304" fontId="2" fillId="93" borderId="122" applyFont="0"/>
    <xf numFmtId="304" fontId="2" fillId="93" borderId="122" applyFont="0"/>
    <xf numFmtId="304" fontId="2" fillId="93" borderId="122" applyFont="0"/>
    <xf numFmtId="304" fontId="2" fillId="93" borderId="122" applyFont="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60" fontId="2" fillId="93" borderId="122" applyFont="0"/>
    <xf numFmtId="0" fontId="10" fillId="0" borderId="0"/>
    <xf numFmtId="260" fontId="2" fillId="93" borderId="122" applyFont="0"/>
    <xf numFmtId="0" fontId="2" fillId="0" borderId="0" applyNumberFormat="0" applyFont="0" applyFill="0" applyBorder="0" applyAlignment="0" applyProtection="0"/>
    <xf numFmtId="260" fontId="2" fillId="93" borderId="122" applyFont="0"/>
    <xf numFmtId="260" fontId="2" fillId="93" borderId="122" applyFont="0"/>
    <xf numFmtId="260" fontId="2" fillId="93" borderId="122" applyFont="0"/>
    <xf numFmtId="260" fontId="2" fillId="93" borderId="122" applyFont="0"/>
    <xf numFmtId="3" fontId="210" fillId="0" borderId="133">
      <alignment vertical="center"/>
    </xf>
    <xf numFmtId="0" fontId="2" fillId="0" borderId="0" applyNumberFormat="0" applyFont="0" applyFill="0" applyBorder="0" applyAlignment="0" applyProtection="0"/>
    <xf numFmtId="0" fontId="10" fillId="0" borderId="0"/>
    <xf numFmtId="260" fontId="2" fillId="93" borderId="122" applyFont="0"/>
    <xf numFmtId="260" fontId="2" fillId="93" borderId="122" applyFont="0"/>
    <xf numFmtId="260" fontId="2" fillId="93" borderId="122" applyFont="0"/>
    <xf numFmtId="260" fontId="2" fillId="93" borderId="122" applyFont="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0" fontId="2" fillId="93" borderId="122" applyFont="0">
      <alignment horizontal="right"/>
    </xf>
    <xf numFmtId="0" fontId="10" fillId="0" borderId="0"/>
    <xf numFmtId="10" fontId="2" fillId="93" borderId="122" applyFont="0">
      <alignment horizontal="right"/>
    </xf>
    <xf numFmtId="0" fontId="2" fillId="0" borderId="0" applyNumberFormat="0" applyFont="0" applyFill="0" applyBorder="0" applyAlignment="0" applyProtection="0"/>
    <xf numFmtId="10" fontId="2" fillId="93" borderId="122" applyFont="0">
      <alignment horizontal="right"/>
    </xf>
    <xf numFmtId="10" fontId="2" fillId="93" borderId="122" applyFont="0">
      <alignment horizontal="right"/>
    </xf>
    <xf numFmtId="10" fontId="2" fillId="93" borderId="122" applyFont="0">
      <alignment horizontal="right"/>
    </xf>
    <xf numFmtId="10" fontId="2" fillId="93"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0" fontId="2" fillId="93" borderId="122" applyFont="0">
      <alignment horizontal="right"/>
    </xf>
    <xf numFmtId="10" fontId="2" fillId="93" borderId="122" applyFont="0">
      <alignment horizontal="right"/>
    </xf>
    <xf numFmtId="10" fontId="2" fillId="93" borderId="122" applyFont="0">
      <alignment horizontal="right"/>
    </xf>
    <xf numFmtId="10" fontId="2" fillId="93"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9" fontId="2" fillId="93" borderId="122" applyFont="0">
      <alignment horizontal="right"/>
    </xf>
    <xf numFmtId="0" fontId="10" fillId="0" borderId="0"/>
    <xf numFmtId="9" fontId="2" fillId="93" borderId="122" applyFont="0">
      <alignment horizontal="right"/>
    </xf>
    <xf numFmtId="0" fontId="2" fillId="0" borderId="0" applyNumberFormat="0" applyFont="0" applyFill="0" applyBorder="0" applyAlignment="0" applyProtection="0"/>
    <xf numFmtId="9" fontId="2" fillId="93" borderId="122" applyFont="0">
      <alignment horizontal="right"/>
    </xf>
    <xf numFmtId="9" fontId="2" fillId="93" borderId="122" applyFont="0">
      <alignment horizontal="right"/>
    </xf>
    <xf numFmtId="9" fontId="2" fillId="93" borderId="122" applyFont="0">
      <alignment horizontal="right"/>
    </xf>
    <xf numFmtId="9" fontId="2" fillId="93"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9" fontId="2" fillId="93" borderId="122" applyFont="0">
      <alignment horizontal="right"/>
    </xf>
    <xf numFmtId="9" fontId="2" fillId="93" borderId="122" applyFont="0">
      <alignment horizontal="right"/>
    </xf>
    <xf numFmtId="9" fontId="2" fillId="93" borderId="122" applyFont="0">
      <alignment horizontal="right"/>
    </xf>
    <xf numFmtId="9" fontId="2" fillId="93"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31" fontId="2" fillId="93" borderId="122" applyFont="0">
      <alignment horizontal="right"/>
    </xf>
    <xf numFmtId="0" fontId="10" fillId="0" borderId="0"/>
    <xf numFmtId="331" fontId="2" fillId="93" borderId="122" applyFont="0">
      <alignment horizontal="right"/>
    </xf>
    <xf numFmtId="0" fontId="2" fillId="0" borderId="0" applyNumberFormat="0" applyFont="0" applyFill="0" applyBorder="0" applyAlignment="0" applyProtection="0"/>
    <xf numFmtId="331" fontId="2" fillId="93" borderId="122" applyFont="0">
      <alignment horizontal="right"/>
    </xf>
    <xf numFmtId="331" fontId="2" fillId="93" borderId="122" applyFont="0">
      <alignment horizontal="right"/>
    </xf>
    <xf numFmtId="331" fontId="2" fillId="93" borderId="122" applyFont="0">
      <alignment horizontal="right"/>
    </xf>
    <xf numFmtId="331" fontId="2" fillId="93"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331" fontId="2" fillId="93" borderId="122" applyFont="0">
      <alignment horizontal="right"/>
    </xf>
    <xf numFmtId="331" fontId="2" fillId="93" borderId="122" applyFont="0">
      <alignment horizontal="right"/>
    </xf>
    <xf numFmtId="331" fontId="2" fillId="93" borderId="122" applyFont="0">
      <alignment horizontal="right"/>
    </xf>
    <xf numFmtId="331" fontId="2" fillId="93" borderId="122"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0" fontId="2" fillId="93" borderId="125"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5" applyFont="0">
      <alignment horizontal="right"/>
    </xf>
    <xf numFmtId="0" fontId="2" fillId="0" borderId="0" applyNumberFormat="0" applyFont="0" applyFill="0" applyBorder="0" applyAlignment="0" applyProtection="0"/>
    <xf numFmtId="10" fontId="2" fillId="93" borderId="125" applyFont="0">
      <alignment horizontal="right"/>
    </xf>
    <xf numFmtId="10" fontId="2" fillId="93" borderId="125" applyFont="0">
      <alignment horizontal="right"/>
    </xf>
    <xf numFmtId="10" fontId="2" fillId="93" borderId="125" applyFont="0">
      <alignment horizontal="right"/>
    </xf>
    <xf numFmtId="10" fontId="2" fillId="93" borderId="125"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0" fontId="2" fillId="93" borderId="125" applyFont="0">
      <alignment horizontal="right"/>
    </xf>
    <xf numFmtId="10" fontId="2" fillId="93" borderId="125" applyFont="0">
      <alignment horizontal="right"/>
    </xf>
    <xf numFmtId="10" fontId="2" fillId="93" borderId="125" applyFont="0">
      <alignment horizontal="right"/>
    </xf>
    <xf numFmtId="10" fontId="2" fillId="93" borderId="125"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93" borderId="122" applyFont="0">
      <alignment horizontal="center" wrapText="1"/>
      <protection locked="0"/>
    </xf>
    <xf numFmtId="0" fontId="10" fillId="0" borderId="0"/>
    <xf numFmtId="0" fontId="2" fillId="93" borderId="122" applyFont="0">
      <alignment horizontal="center" wrapText="1"/>
      <protection locked="0"/>
    </xf>
    <xf numFmtId="0" fontId="2" fillId="0" borderId="0" applyNumberFormat="0" applyFont="0" applyFill="0" applyBorder="0" applyAlignment="0" applyProtection="0"/>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3" fontId="210" fillId="0" borderId="133">
      <alignment vertical="center"/>
    </xf>
    <xf numFmtId="0" fontId="2" fillId="0" borderId="0" applyNumberFormat="0" applyFont="0" applyFill="0" applyBorder="0" applyAlignment="0" applyProtection="0"/>
    <xf numFmtId="0" fontId="10" fillId="0" borderId="0"/>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49" fontId="2" fillId="93" borderId="122" applyFont="0"/>
    <xf numFmtId="0" fontId="10" fillId="0" borderId="0"/>
    <xf numFmtId="0" fontId="10" fillId="0" borderId="0"/>
    <xf numFmtId="3" fontId="210" fillId="0" borderId="133">
      <alignment vertical="center"/>
    </xf>
    <xf numFmtId="0" fontId="10" fillId="0" borderId="0"/>
    <xf numFmtId="0" fontId="10" fillId="0" borderId="0"/>
    <xf numFmtId="49" fontId="2" fillId="93" borderId="122" applyFont="0"/>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317" fillId="0" borderId="174" applyNumberFormat="0" applyAlignment="0" applyProtection="0"/>
    <xf numFmtId="0" fontId="318" fillId="0" borderId="174"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4"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4" applyNumberFormat="0" applyProtection="0">
      <alignment horizontal="left" vertical="top"/>
    </xf>
    <xf numFmtId="0" fontId="321" fillId="0" borderId="124" applyNumberFormat="0" applyProtection="0">
      <alignment horizontal="left" vertical="top"/>
    </xf>
    <xf numFmtId="0" fontId="2" fillId="0" borderId="0" applyNumberFormat="0" applyFont="0" applyFill="0" applyBorder="0" applyAlignment="0" applyProtection="0"/>
    <xf numFmtId="0" fontId="321" fillId="0" borderId="124" applyNumberFormat="0" applyProtection="0">
      <alignment horizontal="right" vertical="top"/>
    </xf>
    <xf numFmtId="0" fontId="321" fillId="0" borderId="124" applyNumberFormat="0" applyProtection="0">
      <alignment horizontal="right" vertical="top"/>
    </xf>
    <xf numFmtId="0" fontId="321" fillId="0" borderId="124" applyNumberFormat="0" applyProtection="0">
      <alignment horizontal="right" vertical="top"/>
    </xf>
    <xf numFmtId="0" fontId="321" fillId="0" borderId="124" applyNumberFormat="0" applyProtection="0">
      <alignment horizontal="right" vertical="top"/>
    </xf>
    <xf numFmtId="0" fontId="321" fillId="0" borderId="124"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75" applyNumberFormat="0" applyFont="0" applyAlignment="0" applyProtection="0"/>
    <xf numFmtId="0" fontId="2" fillId="0" borderId="176" applyNumberFormat="0" applyFont="0" applyAlignment="0" applyProtection="0"/>
    <xf numFmtId="0" fontId="2" fillId="0" borderId="177" applyNumberFormat="0" applyFont="0" applyAlignment="0" applyProtection="0"/>
    <xf numFmtId="10" fontId="322" fillId="0" borderId="0" applyNumberFormat="0" applyFill="0" applyBorder="0" applyProtection="0">
      <alignment horizontal="right" vertical="top"/>
    </xf>
    <xf numFmtId="0" fontId="318" fillId="0" borderId="124" applyNumberFormat="0" applyFill="0" applyAlignment="0" applyProtection="0"/>
    <xf numFmtId="0" fontId="318" fillId="0" borderId="124" applyNumberFormat="0" applyFill="0" applyAlignment="0" applyProtection="0"/>
    <xf numFmtId="0" fontId="318" fillId="0" borderId="124" applyNumberFormat="0" applyFill="0" applyAlignment="0" applyProtection="0"/>
    <xf numFmtId="0" fontId="318" fillId="0" borderId="124" applyNumberFormat="0" applyFill="0" applyAlignment="0" applyProtection="0"/>
    <xf numFmtId="0" fontId="318" fillId="0" borderId="124" applyNumberFormat="0" applyFill="0" applyAlignment="0" applyProtection="0"/>
    <xf numFmtId="0" fontId="317" fillId="0" borderId="102" applyNumberFormat="0" applyFont="0" applyFill="0" applyAlignment="0" applyProtection="0">
      <alignment horizontal="left" vertical="top"/>
    </xf>
    <xf numFmtId="0" fontId="317" fillId="0" borderId="102" applyNumberFormat="0" applyFont="0" applyFill="0" applyAlignment="0" applyProtection="0">
      <alignment horizontal="left" vertical="top"/>
    </xf>
    <xf numFmtId="0" fontId="317" fillId="0" borderId="102" applyNumberFormat="0" applyFont="0" applyFill="0" applyAlignment="0" applyProtection="0">
      <alignment horizontal="left" vertical="top"/>
    </xf>
    <xf numFmtId="0" fontId="317" fillId="0" borderId="102" applyNumberFormat="0" applyFont="0" applyFill="0" applyAlignment="0" applyProtection="0">
      <alignment horizontal="left" vertical="top"/>
    </xf>
    <xf numFmtId="0" fontId="317" fillId="0" borderId="102" applyNumberFormat="0" applyFont="0" applyFill="0" applyAlignment="0" applyProtection="0">
      <alignment horizontal="left" vertical="top"/>
    </xf>
    <xf numFmtId="0" fontId="318" fillId="0" borderId="106" applyNumberFormat="0" applyFill="0" applyAlignment="0" applyProtection="0">
      <alignment vertical="top"/>
    </xf>
    <xf numFmtId="0" fontId="318" fillId="0" borderId="106"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06"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06"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lignment horizontal="centerContinuous"/>
    </xf>
    <xf numFmtId="0" fontId="10" fillId="0" borderId="0"/>
    <xf numFmtId="0" fontId="10" fillId="0" borderId="0"/>
    <xf numFmtId="3" fontId="210" fillId="0" borderId="133">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78"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3">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6"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1"/>
    <xf numFmtId="0" fontId="10" fillId="0" borderId="0"/>
    <xf numFmtId="0" fontId="332" fillId="0" borderId="101"/>
    <xf numFmtId="0" fontId="10" fillId="0" borderId="0"/>
    <xf numFmtId="0" fontId="332" fillId="0" borderId="101"/>
    <xf numFmtId="0" fontId="10" fillId="0" borderId="0"/>
    <xf numFmtId="0" fontId="332" fillId="0" borderId="101"/>
    <xf numFmtId="0" fontId="332" fillId="0" borderId="101"/>
    <xf numFmtId="246" fontId="254" fillId="0" borderId="0"/>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253" fontId="2" fillId="0" borderId="101">
      <alignment horizontal="left"/>
    </xf>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253" fontId="2" fillId="0" borderId="101">
      <alignment horizontal="left"/>
    </xf>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253" fontId="2" fillId="0" borderId="101">
      <alignment horizontal="left"/>
    </xf>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1">
      <alignment horizontal="left"/>
    </xf>
    <xf numFmtId="253" fontId="2" fillId="0" borderId="101">
      <alignment horizontal="left"/>
    </xf>
    <xf numFmtId="253"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3" fontId="210" fillId="0" borderId="133">
      <alignment vertical="center"/>
    </xf>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38" fontId="202" fillId="0" borderId="180">
      <alignment horizontal="right"/>
    </xf>
    <xf numFmtId="0" fontId="273" fillId="0" borderId="181"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1" applyProtection="0">
      <alignment horizontal="center"/>
    </xf>
    <xf numFmtId="0" fontId="273" fillId="0" borderId="181" applyProtection="0">
      <alignment horizontal="center"/>
    </xf>
    <xf numFmtId="0" fontId="273" fillId="0" borderId="181" applyProtection="0">
      <alignment horizontal="center"/>
    </xf>
    <xf numFmtId="0" fontId="273" fillId="0" borderId="181" applyProtection="0">
      <alignment horizontal="center"/>
    </xf>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5" fillId="69" borderId="0">
      <alignment horizontal="center"/>
    </xf>
    <xf numFmtId="0" fontId="105" fillId="69" borderId="0">
      <alignment horizontal="center"/>
    </xf>
    <xf numFmtId="3" fontId="210" fillId="0" borderId="133">
      <alignment vertical="center"/>
    </xf>
    <xf numFmtId="0" fontId="333" fillId="104" borderId="0" applyNumberFormat="0" applyBorder="0"/>
    <xf numFmtId="0" fontId="186" fillId="0" borderId="182" applyNumberFormat="0" applyFont="0" applyFill="0" applyAlignment="0"/>
    <xf numFmtId="0" fontId="334" fillId="0" borderId="12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80" fillId="0" borderId="61" applyNumberFormat="0" applyBorder="0">
      <protection locked="0"/>
    </xf>
    <xf numFmtId="37" fontId="335" fillId="111" borderId="0"/>
    <xf numFmtId="37" fontId="161" fillId="150" borderId="122" applyNumberFormat="0" applyAlignment="0" applyProtection="0"/>
    <xf numFmtId="0" fontId="2" fillId="0" borderId="0" applyNumberFormat="0" applyFont="0" applyFill="0" applyBorder="0" applyAlignment="0" applyProtection="0"/>
    <xf numFmtId="37" fontId="161" fillId="150" borderId="122" applyNumberFormat="0" applyAlignment="0" applyProtection="0"/>
    <xf numFmtId="37" fontId="161" fillId="150" borderId="122" applyNumberFormat="0" applyAlignment="0" applyProtection="0"/>
    <xf numFmtId="37" fontId="161" fillId="150" borderId="122" applyNumberFormat="0" applyAlignment="0" applyProtection="0"/>
    <xf numFmtId="37" fontId="161" fillId="150" borderId="122" applyNumberFormat="0" applyAlignment="0" applyProtection="0"/>
    <xf numFmtId="3" fontId="210" fillId="0" borderId="133">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06">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2"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38" fontId="2" fillId="0" borderId="0"/>
    <xf numFmtId="2" fontId="234" fillId="69" borderId="122"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165" fontId="340"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3">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06"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3">
      <alignment vertical="center"/>
    </xf>
    <xf numFmtId="0" fontId="310" fillId="0" borderId="0" applyProtection="0">
      <alignment horizontal="center"/>
    </xf>
    <xf numFmtId="0" fontId="10" fillId="0" borderId="0"/>
    <xf numFmtId="3" fontId="210" fillId="0" borderId="133">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3">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45" fillId="0" borderId="183" applyNumberFormat="0"/>
    <xf numFmtId="14" fontId="161" fillId="0" borderId="0" applyFont="0" applyFill="0" applyBorder="0" applyProtection="0"/>
    <xf numFmtId="16" fontId="161" fillId="0" borderId="0" applyFont="0" applyFill="0" applyBorder="0" applyProtection="0"/>
    <xf numFmtId="3" fontId="210" fillId="0" borderId="133">
      <alignment vertical="center"/>
    </xf>
    <xf numFmtId="358" fontId="344" fillId="0" borderId="106"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7" fillId="0" borderId="0" applyNumberFormat="0" applyFill="0" applyBorder="0" applyAlignment="0" applyProtection="0"/>
    <xf numFmtId="3" fontId="2" fillId="74" borderId="190" applyFont="0">
      <alignment horizontal="right" vertical="center"/>
      <protection locked="0"/>
    </xf>
    <xf numFmtId="0" fontId="45" fillId="69" borderId="186" applyFont="0" applyBorder="0">
      <alignment horizontal="center" wrapText="1"/>
    </xf>
    <xf numFmtId="0" fontId="148" fillId="69" borderId="189" applyNumberFormat="0" applyFill="0" applyBorder="0" applyAlignment="0" applyProtection="0">
      <alignment horizontal="left"/>
    </xf>
    <xf numFmtId="0" fontId="1" fillId="0" borderId="0"/>
    <xf numFmtId="0" fontId="175" fillId="0" borderId="194"/>
    <xf numFmtId="244" fontId="177" fillId="0" borderId="195"/>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3" fontId="182" fillId="88" borderId="190" applyNumberFormat="0" applyFont="0" applyAlignment="0"/>
    <xf numFmtId="3" fontId="182" fillId="88" borderId="190" applyNumberFormat="0" applyFont="0" applyAlignment="0"/>
    <xf numFmtId="3" fontId="182" fillId="88" borderId="190" applyNumberFormat="0" applyFont="0" applyAlignment="0"/>
    <xf numFmtId="3" fontId="182" fillId="88" borderId="190" applyNumberFormat="0" applyFont="0" applyAlignment="0"/>
    <xf numFmtId="3" fontId="182" fillId="88" borderId="190" applyNumberFormat="0" applyFont="0" applyAlignment="0"/>
    <xf numFmtId="247"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247" fontId="180" fillId="107" borderId="190" applyNumberFormat="0" applyFill="0" applyBorder="0" applyAlignment="0" applyProtection="0"/>
    <xf numFmtId="0"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0" fontId="180" fillId="107" borderId="190" applyNumberFormat="0" applyFill="0" applyBorder="0" applyAlignment="0" applyProtection="0"/>
    <xf numFmtId="0" fontId="184" fillId="108" borderId="196" applyNumberFormat="0" applyAlignment="0" applyProtection="0"/>
    <xf numFmtId="0" fontId="184" fillId="108" borderId="196" applyNumberFormat="0" applyAlignment="0" applyProtection="0"/>
    <xf numFmtId="252" fontId="105" fillId="0" borderId="196" applyNumberFormat="0" applyFont="0" applyFill="0" applyAlignment="0">
      <alignment vertical="center"/>
    </xf>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252" fontId="105" fillId="0" borderId="196" applyNumberFormat="0" applyFont="0" applyFill="0" applyAlignment="0">
      <alignment vertical="center"/>
    </xf>
    <xf numFmtId="0" fontId="105" fillId="0" borderId="196" applyNumberFormat="0" applyFont="0" applyFill="0"/>
    <xf numFmtId="252" fontId="105" fillId="0" borderId="196" applyNumberFormat="0" applyFont="0" applyFill="0" applyAlignment="0">
      <alignment vertical="center"/>
    </xf>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0" fontId="202" fillId="0" borderId="185"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94" applyNumberFormat="0" applyFont="0" applyFill="0" applyAlignment="0" applyProtection="0"/>
    <xf numFmtId="0" fontId="150" fillId="0" borderId="194" applyNumberFormat="0" applyFont="0" applyFill="0" applyAlignment="0" applyProtection="0"/>
    <xf numFmtId="0" fontId="150" fillId="0" borderId="188" applyNumberFormat="0" applyFont="0" applyFill="0" applyAlignment="0" applyProtection="0"/>
    <xf numFmtId="0" fontId="150" fillId="0" borderId="188" applyNumberFormat="0" applyFont="0" applyFill="0" applyAlignment="0" applyProtection="0"/>
    <xf numFmtId="0" fontId="150" fillId="0" borderId="188" applyNumberFormat="0" applyFont="0" applyFill="0" applyAlignment="0" applyProtection="0"/>
    <xf numFmtId="0" fontId="150" fillId="0" borderId="188" applyNumberFormat="0" applyFont="0" applyFill="0" applyAlignment="0" applyProtection="0"/>
    <xf numFmtId="0" fontId="150" fillId="0" borderId="188" applyNumberFormat="0" applyFont="0" applyFill="0" applyAlignment="0" applyProtection="0"/>
    <xf numFmtId="0" fontId="150" fillId="0" borderId="188" applyNumberFormat="0" applyFont="0" applyFill="0" applyAlignment="0" applyProtection="0"/>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3" fontId="45" fillId="41" borderId="189">
      <protection hidden="1"/>
    </xf>
    <xf numFmtId="0" fontId="205" fillId="0" borderId="189" applyBorder="0"/>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vertical="center"/>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197" applyNumberFormat="0" applyFill="0" applyBorder="0" applyAlignment="0" applyProtection="0">
      <alignment horizontal="center"/>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1" fillId="0" borderId="197" applyNumberFormat="0" applyFill="0" applyBorder="0" applyAlignment="0" applyProtection="0">
      <alignment horizontal="center"/>
      <protection locked="0"/>
    </xf>
    <xf numFmtId="0" fontId="221" fillId="0" borderId="197" applyNumberFormat="0" applyFill="0" applyBorder="0" applyAlignment="0" applyProtection="0">
      <alignment horizontal="center"/>
      <protection locked="0"/>
    </xf>
    <xf numFmtId="0" fontId="221" fillId="0" borderId="197" applyNumberFormat="0" applyFill="0" applyBorder="0" applyAlignment="0" applyProtection="0">
      <alignment horizontal="center"/>
      <protection locked="0"/>
    </xf>
    <xf numFmtId="0" fontId="221" fillId="0" borderId="197" applyNumberFormat="0" applyFill="0" applyBorder="0" applyAlignment="0" applyProtection="0">
      <alignment horizontal="center"/>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0" fontId="233" fillId="120" borderId="190" applyNumberFormat="0" applyBorder="0" applyAlignment="0">
      <alignment horizontal="center"/>
      <protection locked="0"/>
    </xf>
    <xf numFmtId="0" fontId="233" fillId="120" borderId="190" applyNumberFormat="0" applyBorder="0" applyAlignment="0">
      <alignment horizontal="center"/>
      <protection locked="0"/>
    </xf>
    <xf numFmtId="3" fontId="234" fillId="121" borderId="197" applyNumberFormat="0" applyBorder="0" applyAlignment="0" applyProtection="0">
      <protection hidden="1"/>
    </xf>
    <xf numFmtId="281" fontId="2" fillId="0" borderId="0" applyFont="0" applyFill="0" applyBorder="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45" fillId="113" borderId="192" applyAlignment="0" applyProtection="0"/>
    <xf numFmtId="0" fontId="45" fillId="113" borderId="192" applyAlignment="0" applyProtection="0"/>
    <xf numFmtId="0" fontId="45" fillId="113" borderId="192" applyAlignment="0" applyProtection="0"/>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37" fillId="0" borderId="192">
      <alignment horizontal="left" vertical="center"/>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0" borderId="0" applyNumberFormat="0" applyFont="0" applyFill="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2" fontId="234" fillId="129" borderId="195" applyNumberFormat="0" applyBorder="0" applyAlignment="0" applyProtection="0">
      <alignment horizontal="center"/>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49" fontId="2" fillId="71" borderId="190" applyFont="0" applyAlignment="0">
      <protection locked="0"/>
    </xf>
    <xf numFmtId="49" fontId="2" fillId="71" borderId="190" applyFont="0" applyAlignment="0">
      <protection locked="0"/>
    </xf>
    <xf numFmtId="317" fontId="161" fillId="0" borderId="195" applyBorder="0"/>
    <xf numFmtId="253" fontId="229" fillId="96" borderId="195" applyBorder="0"/>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2" fontId="234" fillId="107" borderId="190" applyNumberFormat="0" applyBorder="0" applyAlignment="0">
      <protection locked="0"/>
    </xf>
    <xf numFmtId="3" fontId="210" fillId="0" borderId="133">
      <alignment vertical="center"/>
    </xf>
    <xf numFmtId="37" fontId="202" fillId="0" borderId="0" applyNumberFormat="0" applyFill="0" applyAlignment="0"/>
    <xf numFmtId="0" fontId="284" fillId="104" borderId="191">
      <alignment horizontal="center" vertical="top" wrapText="1"/>
    </xf>
    <xf numFmtId="0" fontId="284" fillId="104" borderId="191">
      <alignment horizontal="center" vertical="top" wrapText="1"/>
    </xf>
    <xf numFmtId="0" fontId="284" fillId="104" borderId="191">
      <alignment horizontal="center" vertical="top" wrapText="1"/>
    </xf>
    <xf numFmtId="0" fontId="284" fillId="104" borderId="191">
      <alignment horizontal="center" vertical="top" wrapText="1"/>
    </xf>
    <xf numFmtId="0" fontId="2" fillId="0" borderId="192"/>
    <xf numFmtId="0" fontId="2" fillId="0" borderId="192"/>
    <xf numFmtId="0" fontId="2" fillId="0" borderId="192"/>
    <xf numFmtId="0" fontId="2" fillId="0" borderId="192"/>
    <xf numFmtId="0" fontId="45" fillId="70" borderId="186"/>
    <xf numFmtId="0" fontId="45" fillId="70" borderId="186"/>
    <xf numFmtId="0" fontId="45" fillId="70" borderId="186"/>
    <xf numFmtId="0" fontId="45" fillId="70" borderId="186"/>
    <xf numFmtId="0" fontId="45" fillId="0" borderId="187"/>
    <xf numFmtId="0" fontId="45" fillId="0" borderId="187"/>
    <xf numFmtId="0" fontId="45"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84" fillId="132" borderId="191">
      <alignment horizontal="center" vertical="top"/>
    </xf>
    <xf numFmtId="0" fontId="284" fillId="132" borderId="191">
      <alignment horizontal="center" vertical="top"/>
    </xf>
    <xf numFmtId="0" fontId="45" fillId="0" borderId="186"/>
    <xf numFmtId="0" fontId="45" fillId="0" borderId="186"/>
    <xf numFmtId="0" fontId="45" fillId="0" borderId="186"/>
    <xf numFmtId="0" fontId="45" fillId="0" borderId="186"/>
    <xf numFmtId="0" fontId="2" fillId="0" borderId="191"/>
    <xf numFmtId="0" fontId="2" fillId="0" borderId="191"/>
    <xf numFmtId="0" fontId="2" fillId="0" borderId="191"/>
    <xf numFmtId="0" fontId="2" fillId="0" borderId="191"/>
    <xf numFmtId="0" fontId="2" fillId="0" borderId="191"/>
    <xf numFmtId="0" fontId="285" fillId="70" borderId="197"/>
    <xf numFmtId="0" fontId="285" fillId="70" borderId="197"/>
    <xf numFmtId="0" fontId="2" fillId="0" borderId="187">
      <alignment horizontal="center"/>
    </xf>
    <xf numFmtId="0" fontId="2" fillId="0" borderId="187">
      <alignment horizontal="center"/>
    </xf>
    <xf numFmtId="0" fontId="2" fillId="0" borderId="187">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93">
      <alignment horizontal="center"/>
    </xf>
    <xf numFmtId="0" fontId="2" fillId="0" borderId="193">
      <alignment horizontal="center"/>
    </xf>
    <xf numFmtId="0" fontId="284" fillId="132" borderId="191">
      <alignment horizontal="center" vertical="top" wrapText="1"/>
    </xf>
    <xf numFmtId="0" fontId="284" fillId="132" borderId="191">
      <alignment horizontal="center" vertical="top" wrapText="1"/>
    </xf>
    <xf numFmtId="0" fontId="284" fillId="132" borderId="191">
      <alignment horizontal="center" vertical="top" wrapText="1"/>
    </xf>
    <xf numFmtId="0" fontId="284" fillId="132" borderId="191">
      <alignment horizontal="center" vertical="top" wrapText="1"/>
    </xf>
    <xf numFmtId="3" fontId="2" fillId="0" borderId="192"/>
    <xf numFmtId="3" fontId="2" fillId="0" borderId="192"/>
    <xf numFmtId="3" fontId="2" fillId="0" borderId="192"/>
    <xf numFmtId="3" fontId="2" fillId="0" borderId="192"/>
    <xf numFmtId="0" fontId="45" fillId="70" borderId="186">
      <alignment horizontal="center"/>
    </xf>
    <xf numFmtId="0" fontId="45" fillId="70" borderId="186">
      <alignment horizontal="center"/>
    </xf>
    <xf numFmtId="0" fontId="45" fillId="70" borderId="186">
      <alignment horizontal="center"/>
    </xf>
    <xf numFmtId="0" fontId="45" fillId="70" borderId="186">
      <alignment horizontal="center"/>
    </xf>
    <xf numFmtId="0" fontId="45" fillId="70" borderId="192">
      <alignment horizontal="center"/>
    </xf>
    <xf numFmtId="0" fontId="45" fillId="70" borderId="192">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87">
      <alignment horizontal="left" vertical="top"/>
    </xf>
    <xf numFmtId="0" fontId="45" fillId="70" borderId="187">
      <alignment horizontal="left" vertical="top"/>
    </xf>
    <xf numFmtId="0" fontId="45" fillId="70" borderId="187">
      <alignment horizontal="left" vertical="top"/>
    </xf>
    <xf numFmtId="0" fontId="284" fillId="132" borderId="192">
      <alignment horizontal="center" vertical="center"/>
    </xf>
    <xf numFmtId="0" fontId="284" fillId="132" borderId="192">
      <alignment horizontal="center" vertical="center"/>
    </xf>
    <xf numFmtId="0" fontId="284" fillId="132" borderId="191">
      <alignment horizontal="center" vertical="center"/>
    </xf>
    <xf numFmtId="0" fontId="284" fillId="132" borderId="191">
      <alignment horizontal="center" vertical="center"/>
    </xf>
    <xf numFmtId="0" fontId="284" fillId="132" borderId="191">
      <alignment horizontal="center" vertical="center"/>
    </xf>
    <xf numFmtId="0" fontId="284" fillId="132" borderId="191">
      <alignment horizontal="center" vertical="center"/>
    </xf>
    <xf numFmtId="0" fontId="284" fillId="104" borderId="186">
      <alignment horizontal="center" vertical="center"/>
    </xf>
    <xf numFmtId="0" fontId="284" fillId="104" borderId="186">
      <alignment horizontal="center" vertical="center"/>
    </xf>
    <xf numFmtId="0" fontId="284" fillId="104" borderId="186">
      <alignment horizontal="center" vertical="center"/>
    </xf>
    <xf numFmtId="0" fontId="284" fillId="104" borderId="186">
      <alignment horizontal="center" vertical="center"/>
    </xf>
    <xf numFmtId="0" fontId="284" fillId="104" borderId="192">
      <alignment horizontal="center" vertical="center"/>
    </xf>
    <xf numFmtId="0" fontId="284" fillId="104" borderId="192">
      <alignment horizontal="center" vertical="center"/>
    </xf>
    <xf numFmtId="0" fontId="284" fillId="104" borderId="191">
      <alignment horizontal="center" vertical="center"/>
    </xf>
    <xf numFmtId="0" fontId="284" fillId="104" borderId="191">
      <alignment horizontal="center" vertical="center"/>
    </xf>
    <xf numFmtId="0" fontId="284" fillId="104" borderId="191">
      <alignment horizontal="center" vertical="center"/>
    </xf>
    <xf numFmtId="0" fontId="284" fillId="104" borderId="191">
      <alignment horizontal="center" vertical="center"/>
    </xf>
    <xf numFmtId="0" fontId="2" fillId="0" borderId="188"/>
    <xf numFmtId="0" fontId="2" fillId="0" borderId="188"/>
    <xf numFmtId="0" fontId="2" fillId="0" borderId="188"/>
    <xf numFmtId="0" fontId="2" fillId="0" borderId="188"/>
    <xf numFmtId="0" fontId="2" fillId="0" borderId="193"/>
    <xf numFmtId="0" fontId="2" fillId="0" borderId="193"/>
    <xf numFmtId="0" fontId="2" fillId="0" borderId="0" applyNumberFormat="0" applyFont="0" applyFill="0" applyBorder="0" applyAlignment="0" applyProtection="0"/>
    <xf numFmtId="0" fontId="287" fillId="0" borderId="195"/>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173" fontId="234" fillId="134" borderId="195" applyNumberFormat="0" applyBorder="0" applyAlignment="0" applyProtection="0">
      <alignment horizontal="center"/>
      <protection hidden="1"/>
    </xf>
    <xf numFmtId="3" fontId="288" fillId="57" borderId="190" applyNumberFormat="0" applyBorder="0" applyAlignment="0" applyProtection="0">
      <protection hidden="1"/>
    </xf>
    <xf numFmtId="3" fontId="289" fillId="135" borderId="197" applyNumberFormat="0" applyBorder="0" applyAlignment="0" applyProtection="0">
      <protection hidden="1"/>
    </xf>
    <xf numFmtId="0" fontId="19" fillId="131" borderId="195" applyNumberFormat="0" applyFont="0" applyBorder="0" applyAlignment="0" applyProtection="0">
      <alignment horizontal="center"/>
    </xf>
    <xf numFmtId="0" fontId="19" fillId="131"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61" fillId="0" borderId="198" applyNumberFormat="0" applyAlignment="0" applyProtection="0"/>
    <xf numFmtId="0" fontId="10" fillId="0" borderId="0"/>
    <xf numFmtId="0" fontId="46" fillId="69" borderId="189">
      <alignment horizontal="center"/>
    </xf>
    <xf numFmtId="0" fontId="41" fillId="0" borderId="185">
      <alignment horizontal="center"/>
    </xf>
    <xf numFmtId="0" fontId="45" fillId="92" borderId="189" applyNumberFormat="0" applyBorder="0" applyAlignment="0"/>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0" fontId="298" fillId="45" borderId="190"/>
    <xf numFmtId="0" fontId="2" fillId="0" borderId="199">
      <alignment vertical="center"/>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 fontId="2" fillId="69" borderId="190" applyFont="0">
      <alignment horizontal="right"/>
    </xf>
    <xf numFmtId="3" fontId="2" fillId="69" borderId="190" applyFont="0">
      <alignment horizontal="right"/>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 fontId="2" fillId="68" borderId="192" applyBorder="0"/>
    <xf numFmtId="3" fontId="2" fillId="68" borderId="192" applyBorder="0"/>
    <xf numFmtId="3" fontId="2" fillId="68" borderId="192" applyBorder="0"/>
    <xf numFmtId="3" fontId="2" fillId="68" borderId="192" applyBorder="0"/>
    <xf numFmtId="3" fontId="2" fillId="68" borderId="192" applyBorder="0"/>
    <xf numFmtId="2" fontId="314" fillId="0" borderId="195" applyNumberFormat="0" applyFill="0" applyBorder="0" applyAlignment="0" applyProtection="0">
      <alignment horizontal="center"/>
      <protection locked="0"/>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49" fontId="2" fillId="144" borderId="190" applyFont="0"/>
    <xf numFmtId="49" fontId="2" fillId="144"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49" fontId="2" fillId="93" borderId="190" applyFont="0"/>
    <xf numFmtId="49" fontId="2" fillId="93" borderId="190" applyFont="0"/>
    <xf numFmtId="0" fontId="321" fillId="0" borderId="192" applyNumberFormat="0" applyProtection="0">
      <alignment horizontal="left" vertical="top"/>
    </xf>
    <xf numFmtId="0" fontId="321" fillId="0" borderId="192" applyNumberFormat="0" applyProtection="0">
      <alignment horizontal="left" vertical="top"/>
    </xf>
    <xf numFmtId="0" fontId="321" fillId="0" borderId="192" applyNumberFormat="0" applyProtection="0">
      <alignment horizontal="left" vertical="top"/>
    </xf>
    <xf numFmtId="0" fontId="321" fillId="0" borderId="192" applyNumberFormat="0" applyProtection="0">
      <alignment horizontal="right" vertical="top"/>
    </xf>
    <xf numFmtId="0" fontId="321" fillId="0" borderId="192" applyNumberFormat="0" applyProtection="0">
      <alignment horizontal="right" vertical="top"/>
    </xf>
    <xf numFmtId="0" fontId="321" fillId="0" borderId="192" applyNumberFormat="0" applyProtection="0">
      <alignment horizontal="right" vertical="top"/>
    </xf>
    <xf numFmtId="0" fontId="321" fillId="0" borderId="192" applyNumberFormat="0" applyProtection="0">
      <alignment horizontal="right" vertical="top"/>
    </xf>
    <xf numFmtId="0" fontId="321" fillId="0" borderId="192" applyNumberFormat="0" applyProtection="0">
      <alignment horizontal="right" vertical="top"/>
    </xf>
    <xf numFmtId="0" fontId="318" fillId="0" borderId="192" applyNumberFormat="0" applyFill="0" applyAlignment="0" applyProtection="0"/>
    <xf numFmtId="0" fontId="318" fillId="0" borderId="192" applyNumberFormat="0" applyFill="0" applyAlignment="0" applyProtection="0"/>
    <xf numFmtId="0" fontId="318" fillId="0" borderId="192" applyNumberFormat="0" applyFill="0" applyAlignment="0" applyProtection="0"/>
    <xf numFmtId="0" fontId="318" fillId="0" borderId="192" applyNumberFormat="0" applyFill="0" applyAlignment="0" applyProtection="0"/>
    <xf numFmtId="0" fontId="318" fillId="0" borderId="192" applyNumberFormat="0" applyFill="0" applyAlignment="0" applyProtection="0"/>
    <xf numFmtId="0" fontId="317" fillId="0" borderId="188" applyNumberFormat="0" applyFont="0" applyFill="0" applyAlignment="0" applyProtection="0">
      <alignment horizontal="left" vertical="top"/>
    </xf>
    <xf numFmtId="0" fontId="317" fillId="0" borderId="188" applyNumberFormat="0" applyFont="0" applyFill="0" applyAlignment="0" applyProtection="0">
      <alignment horizontal="left" vertical="top"/>
    </xf>
    <xf numFmtId="0" fontId="317" fillId="0" borderId="188" applyNumberFormat="0" applyFont="0" applyFill="0" applyAlignment="0" applyProtection="0">
      <alignment horizontal="left" vertical="top"/>
    </xf>
    <xf numFmtId="0" fontId="317" fillId="0" borderId="188" applyNumberFormat="0" applyFont="0" applyFill="0" applyAlignment="0" applyProtection="0">
      <alignment horizontal="left" vertical="top"/>
    </xf>
    <xf numFmtId="0" fontId="317" fillId="0" borderId="188" applyNumberFormat="0" applyFont="0" applyFill="0" applyAlignment="0" applyProtection="0">
      <alignment horizontal="left" vertical="top"/>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56" fillId="0" borderId="189" applyFill="0" applyBorder="0" applyProtection="0">
      <alignment horizontal="left" vertical="top"/>
    </xf>
    <xf numFmtId="0" fontId="186" fillId="131" borderId="201" applyNumberFormat="0" applyFont="0">
      <alignment horizontal="center" vertical="center"/>
    </xf>
    <xf numFmtId="350" fontId="45" fillId="68" borderId="197" applyNumberFormat="0" applyBorder="0" applyAlignment="0">
      <alignment horizontal="right"/>
    </xf>
    <xf numFmtId="0" fontId="332" fillId="0" borderId="187"/>
    <xf numFmtId="0" fontId="332" fillId="0" borderId="187"/>
    <xf numFmtId="0" fontId="332" fillId="0" borderId="187"/>
    <xf numFmtId="0" fontId="332" fillId="0" borderId="187"/>
    <xf numFmtId="0" fontId="332"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73" fillId="0" borderId="202" applyProtection="0">
      <alignment horizontal="center"/>
    </xf>
    <xf numFmtId="0" fontId="273" fillId="0" borderId="202" applyProtection="0">
      <alignment horizontal="center"/>
    </xf>
    <xf numFmtId="0" fontId="273" fillId="0" borderId="202" applyProtection="0">
      <alignment horizontal="center"/>
    </xf>
    <xf numFmtId="0" fontId="273" fillId="0" borderId="202" applyProtection="0">
      <alignment horizontal="center"/>
    </xf>
    <xf numFmtId="0" fontId="273" fillId="0" borderId="202" applyProtection="0">
      <alignment horizontal="center"/>
    </xf>
    <xf numFmtId="0" fontId="334" fillId="0" borderId="197" applyNumberFormat="0" applyFill="0" applyBorder="0" applyAlignment="0" applyProtection="0">
      <alignment horizontal="center"/>
      <protection locked="0"/>
    </xf>
    <xf numFmtId="37" fontId="161" fillId="150" borderId="190" applyNumberFormat="0" applyAlignment="0" applyProtection="0"/>
    <xf numFmtId="37" fontId="161" fillId="150" borderId="190" applyNumberFormat="0" applyAlignment="0" applyProtection="0"/>
    <xf numFmtId="37" fontId="161" fillId="150" borderId="190" applyNumberFormat="0" applyAlignment="0" applyProtection="0"/>
    <xf numFmtId="37" fontId="161" fillId="150" borderId="190" applyNumberFormat="0" applyAlignment="0" applyProtection="0"/>
    <xf numFmtId="37" fontId="161" fillId="150" borderId="190" applyNumberForma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2" fontId="234" fillId="69" borderId="190" applyBorder="0" applyAlignment="0"/>
    <xf numFmtId="165" fontId="340" fillId="69" borderId="189">
      <alignment horizontal="center"/>
    </xf>
    <xf numFmtId="0" fontId="347" fillId="0" borderId="0" applyNumberFormat="0" applyFill="0" applyBorder="0" applyAlignment="0" applyProtection="0"/>
    <xf numFmtId="0" fontId="1" fillId="0" borderId="0"/>
    <xf numFmtId="0" fontId="1" fillId="0" borderId="0"/>
  </cellStyleXfs>
  <cellXfs count="875">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8"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8"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2" fillId="0" borderId="19" xfId="0" applyFont="1" applyBorder="1" applyAlignment="1">
      <alignment wrapText="1"/>
    </xf>
    <xf numFmtId="0" fontId="46" fillId="0" borderId="0" xfId="11" applyFont="1" applyAlignment="1">
      <alignment horizontal="right"/>
    </xf>
    <xf numFmtId="0" fontId="45" fillId="0" borderId="15" xfId="11" applyFont="1" applyBorder="1" applyAlignment="1">
      <alignment horizontal="center" vertical="center"/>
    </xf>
    <xf numFmtId="0" fontId="45" fillId="0" borderId="16" xfId="11" applyFont="1" applyBorder="1" applyAlignment="1">
      <alignment horizontal="center" vertical="center"/>
    </xf>
    <xf numFmtId="0" fontId="2" fillId="0" borderId="0" xfId="11" applyAlignment="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7"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57"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Alignment="1">
      <alignment horizontal="center"/>
    </xf>
    <xf numFmtId="167" fontId="84" fillId="0" borderId="56" xfId="0" applyNumberFormat="1" applyFont="1" applyBorder="1" applyAlignment="1">
      <alignment horizontal="center"/>
    </xf>
    <xf numFmtId="167" fontId="92" fillId="0" borderId="0" xfId="0" applyNumberFormat="1" applyFont="1" applyAlignment="1">
      <alignment horizontal="center"/>
    </xf>
    <xf numFmtId="167" fontId="84" fillId="0" borderId="59" xfId="0" applyNumberFormat="1" applyFont="1" applyBorder="1" applyAlignment="1">
      <alignment horizontal="center"/>
    </xf>
    <xf numFmtId="167" fontId="90" fillId="0" borderId="0" xfId="0" applyNumberFormat="1" applyFont="1" applyAlignment="1">
      <alignment horizontal="center"/>
    </xf>
    <xf numFmtId="191" fontId="88" fillId="0" borderId="12" xfId="0" applyNumberFormat="1" applyFont="1" applyBorder="1" applyAlignment="1">
      <alignment vertical="center"/>
    </xf>
    <xf numFmtId="0" fontId="84" fillId="0" borderId="17" xfId="0" applyFont="1" applyBorder="1" applyAlignment="1">
      <alignment vertical="center"/>
    </xf>
    <xf numFmtId="191" fontId="84" fillId="0" borderId="3" xfId="0" applyNumberFormat="1" applyFont="1" applyBorder="1"/>
    <xf numFmtId="0" fontId="2" fillId="3" borderId="20" xfId="9" applyFont="1" applyFill="1" applyBorder="1" applyAlignment="1" applyProtection="1">
      <alignment horizontal="left" vertical="center"/>
      <protection locked="0"/>
    </xf>
    <xf numFmtId="0" fontId="45" fillId="3" borderId="21" xfId="16" applyFont="1" applyFill="1" applyBorder="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ill="1" applyBorder="1" applyAlignment="1" applyProtection="1">
      <alignment horizontal="right" vertical="center"/>
      <protection locked="0"/>
    </xf>
    <xf numFmtId="191" fontId="84" fillId="0" borderId="17" xfId="0" applyNumberFormat="1" applyFont="1" applyBorder="1"/>
    <xf numFmtId="191" fontId="84" fillId="0" borderId="18" xfId="0" applyNumberFormat="1" applyFont="1" applyBorder="1"/>
    <xf numFmtId="191" fontId="84" fillId="35" borderId="50" xfId="0" applyNumberFormat="1" applyFont="1" applyFill="1" applyBorder="1"/>
    <xf numFmtId="0" fontId="45" fillId="3" borderId="22" xfId="16" applyFont="1" applyFill="1" applyBorder="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15" xfId="0" applyFont="1" applyBorder="1"/>
    <xf numFmtId="0" fontId="89"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Border="1" applyAlignment="1" applyProtection="1">
      <alignment horizontal="center" vertical="center" wrapText="1"/>
      <protection locked="0"/>
    </xf>
    <xf numFmtId="0" fontId="45" fillId="0" borderId="24"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1" applyBorder="1" applyAlignment="1">
      <alignment vertical="center"/>
    </xf>
    <xf numFmtId="0" fontId="2" fillId="0" borderId="15" xfId="11" applyBorder="1" applyAlignment="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7" fillId="0" borderId="0" xfId="0" applyFont="1"/>
    <xf numFmtId="0" fontId="3" fillId="0" borderId="61" xfId="0" applyFont="1" applyBorder="1"/>
    <xf numFmtId="191" fontId="84" fillId="0" borderId="19" xfId="0" applyNumberFormat="1"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191" fontId="3" fillId="0" borderId="3" xfId="0" applyNumberFormat="1" applyFont="1" applyBorder="1"/>
    <xf numFmtId="191" fontId="3" fillId="0" borderId="8" xfId="0" applyNumberFormat="1" applyFont="1" applyBorder="1"/>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21" xfId="0" applyNumberFormat="1" applyFont="1" applyFill="1" applyBorder="1"/>
    <xf numFmtId="0" fontId="84" fillId="0" borderId="66" xfId="0" applyFont="1" applyBorder="1" applyAlignment="1">
      <alignment vertical="center" wrapText="1"/>
    </xf>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6" xfId="0" applyFont="1" applyFill="1" applyBorder="1" applyAlignment="1">
      <alignment horizontal="left"/>
    </xf>
    <xf numFmtId="0" fontId="99"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7" xfId="0" applyFont="1" applyBorder="1" applyAlignment="1">
      <alignment horizontal="center" vertical="center"/>
    </xf>
    <xf numFmtId="0" fontId="3" fillId="0" borderId="78" xfId="0" applyFont="1" applyBorder="1" applyAlignment="1">
      <alignment vertical="center"/>
    </xf>
    <xf numFmtId="0" fontId="4" fillId="0" borderId="78"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61"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169" fontId="9" fillId="36" borderId="53" xfId="20" applyBorder="1"/>
    <xf numFmtId="0" fontId="3" fillId="0" borderId="84" xfId="0" applyFont="1" applyBorder="1" applyAlignment="1">
      <alignment horizontal="center" vertical="center"/>
    </xf>
    <xf numFmtId="0" fontId="3" fillId="0" borderId="85" xfId="0" applyFont="1" applyBorder="1" applyAlignment="1">
      <alignment vertical="center"/>
    </xf>
    <xf numFmtId="169" fontId="9" fillId="36" borderId="23" xfId="20" applyBorder="1"/>
    <xf numFmtId="169" fontId="9" fillId="36" borderId="86" xfId="20" applyBorder="1"/>
    <xf numFmtId="169" fontId="9" fillId="36" borderId="24" xfId="20" applyBorder="1"/>
    <xf numFmtId="0" fontId="3" fillId="0" borderId="88" xfId="0" applyFont="1" applyBorder="1" applyAlignment="1">
      <alignment horizontal="center" vertical="center"/>
    </xf>
    <xf numFmtId="0" fontId="3" fillId="0" borderId="89" xfId="0" applyFont="1" applyBorder="1" applyAlignment="1">
      <alignment vertical="center"/>
    </xf>
    <xf numFmtId="169" fontId="9" fillId="36" borderId="29" xfId="20" applyBorder="1"/>
    <xf numFmtId="0" fontId="4" fillId="0" borderId="0" xfId="0" applyFont="1" applyAlignment="1">
      <alignment horizontal="center"/>
    </xf>
    <xf numFmtId="0" fontId="86" fillId="0" borderId="78" xfId="0" applyFont="1" applyBorder="1" applyAlignment="1">
      <alignment horizontal="center" vertical="center" wrapText="1"/>
    </xf>
    <xf numFmtId="0" fontId="86" fillId="0" borderId="79" xfId="0" applyFont="1" applyBorder="1" applyAlignment="1">
      <alignment horizontal="center" vertical="center" wrapText="1"/>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Border="1" applyAlignment="1">
      <alignment horizontal="right" vertical="center" wrapText="1"/>
    </xf>
    <xf numFmtId="0" fontId="100"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0" xfId="5" applyNumberFormat="1" applyFont="1" applyBorder="1" applyAlignment="1" applyProtection="1">
      <alignment horizontal="left" vertical="center"/>
      <protection locked="0"/>
    </xf>
    <xf numFmtId="0" fontId="102" fillId="0" borderId="21" xfId="9" applyFont="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3" fillId="35" borderId="79" xfId="0" applyNumberFormat="1" applyFont="1" applyFill="1" applyBorder="1" applyAlignment="1">
      <alignment vertical="center" wrapText="1"/>
    </xf>
    <xf numFmtId="3" fontId="103" fillId="35" borderId="21" xfId="0" applyNumberFormat="1" applyFont="1" applyFill="1" applyBorder="1" applyAlignment="1">
      <alignment vertical="center" wrapText="1"/>
    </xf>
    <xf numFmtId="3" fontId="103"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4" xfId="0" applyFont="1" applyBorder="1" applyAlignment="1">
      <alignment horizontal="left" vertical="center" wrapText="1"/>
    </xf>
    <xf numFmtId="10" fontId="96" fillId="0" borderId="94" xfId="20950" applyNumberFormat="1" applyFont="1" applyFill="1" applyBorder="1" applyAlignment="1">
      <alignment horizontal="left" vertical="center" wrapText="1"/>
    </xf>
    <xf numFmtId="10" fontId="3" fillId="0" borderId="94" xfId="20950" applyNumberFormat="1" applyFont="1" applyFill="1" applyBorder="1" applyAlignment="1">
      <alignment horizontal="left" vertical="center" wrapText="1"/>
    </xf>
    <xf numFmtId="10" fontId="4" fillId="35" borderId="94" xfId="0" applyNumberFormat="1" applyFont="1" applyFill="1" applyBorder="1" applyAlignment="1">
      <alignment horizontal="left" vertical="center" wrapText="1"/>
    </xf>
    <xf numFmtId="10" fontId="100" fillId="0" borderId="94" xfId="20950" applyNumberFormat="1" applyFont="1" applyFill="1" applyBorder="1" applyAlignment="1">
      <alignment horizontal="left" vertical="center" wrapText="1"/>
    </xf>
    <xf numFmtId="10" fontId="4" fillId="35" borderId="94" xfId="20950" applyNumberFormat="1" applyFont="1" applyFill="1" applyBorder="1" applyAlignment="1">
      <alignment horizontal="left" vertical="center" wrapText="1"/>
    </xf>
    <xf numFmtId="10" fontId="4" fillId="35" borderId="94" xfId="0" applyNumberFormat="1" applyFont="1" applyFill="1" applyBorder="1" applyAlignment="1">
      <alignment horizontal="center" vertical="center" wrapText="1"/>
    </xf>
    <xf numFmtId="10" fontId="102" fillId="0" borderId="21" xfId="20950" applyNumberFormat="1" applyFont="1" applyFill="1" applyBorder="1" applyAlignment="1" applyProtection="1">
      <alignment horizontal="left" vertical="center"/>
    </xf>
    <xf numFmtId="0" fontId="4" fillId="35" borderId="94" xfId="0" applyFont="1" applyFill="1" applyBorder="1" applyAlignment="1">
      <alignment horizontal="left" vertical="center" wrapText="1"/>
    </xf>
    <xf numFmtId="0" fontId="3" fillId="0" borderId="94" xfId="0" applyFont="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3"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4" xfId="0" applyFont="1" applyBorder="1"/>
    <xf numFmtId="0" fontId="6" fillId="0" borderId="94" xfId="17" applyFill="1" applyBorder="1" applyAlignment="1" applyProtection="1">
      <alignment horizontal="left" vertical="center"/>
    </xf>
    <xf numFmtId="0" fontId="6" fillId="0" borderId="94" xfId="17" applyBorder="1" applyAlignment="1" applyProtection="1"/>
    <xf numFmtId="0" fontId="6" fillId="0" borderId="94" xfId="17" applyFill="1" applyBorder="1" applyAlignment="1" applyProtection="1">
      <alignment horizontal="left" vertical="center" wrapText="1"/>
    </xf>
    <xf numFmtId="0" fontId="6" fillId="0" borderId="94"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3" fontId="103" fillId="35" borderId="94" xfId="0" applyNumberFormat="1" applyFont="1" applyFill="1" applyBorder="1" applyAlignment="1">
      <alignment vertical="center" wrapText="1"/>
    </xf>
    <xf numFmtId="3" fontId="103" fillId="0" borderId="94" xfId="0" applyNumberFormat="1" applyFont="1" applyBorder="1" applyAlignment="1">
      <alignment vertical="center" wrapText="1"/>
    </xf>
    <xf numFmtId="3" fontId="103" fillId="35" borderId="95" xfId="0" applyNumberFormat="1" applyFont="1" applyFill="1" applyBorder="1" applyAlignment="1">
      <alignment vertical="center" wrapText="1"/>
    </xf>
    <xf numFmtId="3" fontId="103" fillId="0" borderId="95" xfId="0" applyNumberFormat="1" applyFont="1" applyBorder="1" applyAlignment="1">
      <alignment vertical="center" wrapText="1"/>
    </xf>
    <xf numFmtId="3" fontId="103" fillId="35" borderId="23" xfId="0" applyNumberFormat="1" applyFont="1" applyFill="1" applyBorder="1" applyAlignment="1">
      <alignment vertical="center" wrapText="1"/>
    </xf>
    <xf numFmtId="3" fontId="103" fillId="35" borderId="82" xfId="0" applyNumberFormat="1" applyFont="1" applyFill="1" applyBorder="1" applyAlignment="1">
      <alignment vertical="center" wrapText="1"/>
    </xf>
    <xf numFmtId="3" fontId="103" fillId="0" borderId="82" xfId="0" applyNumberFormat="1" applyFont="1" applyBorder="1" applyAlignment="1">
      <alignment vertical="center" wrapText="1"/>
    </xf>
    <xf numFmtId="3" fontId="103" fillId="35" borderId="36" xfId="0" applyNumberFormat="1" applyFont="1" applyFill="1" applyBorder="1" applyAlignment="1">
      <alignment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1" xfId="20"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2" xfId="0" applyFont="1" applyFill="1" applyBorder="1"/>
    <xf numFmtId="0" fontId="3" fillId="3" borderId="97" xfId="0" applyFont="1" applyFill="1" applyBorder="1" applyAlignment="1">
      <alignment wrapText="1"/>
    </xf>
    <xf numFmtId="0" fontId="3" fillId="3" borderId="98" xfId="0" applyFont="1" applyFill="1" applyBorder="1"/>
    <xf numFmtId="0" fontId="4" fillId="3" borderId="73" xfId="0" applyFont="1" applyFill="1" applyBorder="1" applyAlignment="1">
      <alignment horizontal="center" wrapText="1"/>
    </xf>
    <xf numFmtId="0" fontId="3" fillId="0" borderId="94" xfId="0" applyFont="1" applyBorder="1" applyAlignment="1">
      <alignment horizontal="center"/>
    </xf>
    <xf numFmtId="0" fontId="3" fillId="3" borderId="61"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1" xfId="0" applyFont="1" applyFill="1" applyBorder="1" applyAlignment="1">
      <alignment horizontal="center" vertical="center" wrapText="1"/>
    </xf>
    <xf numFmtId="0" fontId="3" fillId="0" borderId="17" xfId="0" applyFont="1" applyBorder="1"/>
    <xf numFmtId="0" fontId="3" fillId="0" borderId="94" xfId="0" applyFont="1" applyBorder="1" applyAlignment="1">
      <alignment wrapText="1"/>
    </xf>
    <xf numFmtId="164" fontId="3" fillId="0" borderId="94" xfId="7" applyNumberFormat="1" applyFont="1" applyBorder="1"/>
    <xf numFmtId="164" fontId="3" fillId="0" borderId="79" xfId="7" applyNumberFormat="1" applyFont="1" applyBorder="1"/>
    <xf numFmtId="0" fontId="99" fillId="0" borderId="94" xfId="0" applyFont="1" applyBorder="1" applyAlignment="1">
      <alignment horizontal="left" wrapText="1" indent="2"/>
    </xf>
    <xf numFmtId="169" fontId="9" fillId="36" borderId="94" xfId="20" applyBorder="1"/>
    <xf numFmtId="164" fontId="3" fillId="0" borderId="94" xfId="7" applyNumberFormat="1" applyFont="1" applyBorder="1" applyAlignment="1">
      <alignment vertical="center"/>
    </xf>
    <xf numFmtId="0" fontId="4" fillId="0" borderId="17" xfId="0" applyFont="1" applyBorder="1"/>
    <xf numFmtId="0" fontId="4" fillId="0" borderId="94" xfId="0" applyFont="1" applyBorder="1" applyAlignment="1">
      <alignment wrapText="1"/>
    </xf>
    <xf numFmtId="164" fontId="4" fillId="0" borderId="79" xfId="7" applyNumberFormat="1" applyFont="1" applyBorder="1"/>
    <xf numFmtId="0" fontId="109" fillId="3" borderId="61" xfId="0" applyFont="1" applyFill="1" applyBorder="1" applyAlignment="1">
      <alignment horizontal="left"/>
    </xf>
    <xf numFmtId="0" fontId="109"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1" xfId="7" applyNumberFormat="1" applyFont="1" applyFill="1" applyBorder="1"/>
    <xf numFmtId="0" fontId="99" fillId="0" borderId="94"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1" xfId="0" applyFont="1" applyFill="1" applyBorder="1"/>
    <xf numFmtId="0" fontId="4" fillId="0" borderId="20" xfId="0" applyFont="1" applyBorder="1"/>
    <xf numFmtId="0" fontId="4" fillId="0" borderId="21" xfId="0" applyFont="1" applyBorder="1" applyAlignment="1">
      <alignment wrapText="1"/>
    </xf>
    <xf numFmtId="10" fontId="4" fillId="0" borderId="22" xfId="20950" applyNumberFormat="1" applyFont="1" applyBorder="1"/>
    <xf numFmtId="0" fontId="2" fillId="2" borderId="84" xfId="0" applyFont="1" applyFill="1" applyBorder="1" applyAlignment="1">
      <alignment horizontal="right" vertical="center"/>
    </xf>
    <xf numFmtId="0" fontId="2" fillId="0" borderId="92" xfId="0" applyFont="1" applyBorder="1" applyAlignment="1">
      <alignment vertical="center" wrapText="1"/>
    </xf>
    <xf numFmtId="191" fontId="2" fillId="2" borderId="92" xfId="0" applyNumberFormat="1" applyFont="1" applyFill="1" applyBorder="1" applyAlignment="1" applyProtection="1">
      <alignment vertical="center"/>
      <protection locked="0"/>
    </xf>
    <xf numFmtId="191" fontId="87" fillId="2" borderId="92" xfId="0" applyNumberFormat="1" applyFont="1" applyFill="1" applyBorder="1" applyAlignment="1" applyProtection="1">
      <alignment vertical="center"/>
      <protection locked="0"/>
    </xf>
    <xf numFmtId="191" fontId="87" fillId="2" borderId="87"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6" xfId="0" applyFont="1" applyBorder="1" applyAlignment="1">
      <alignment horizontal="left" vertical="center" wrapText="1"/>
    </xf>
    <xf numFmtId="0" fontId="6" fillId="0" borderId="109" xfId="17" applyBorder="1" applyAlignment="1" applyProtection="1"/>
    <xf numFmtId="0" fontId="111" fillId="0" borderId="0" xfId="0" applyFont="1" applyAlignment="1">
      <alignment horizontal="left" vertical="top" wrapText="1"/>
    </xf>
    <xf numFmtId="191" fontId="2" fillId="3" borderId="79" xfId="2" applyNumberFormat="1" applyFont="1" applyFill="1" applyBorder="1" applyAlignment="1" applyProtection="1">
      <alignment vertical="top" wrapText="1"/>
      <protection locked="0"/>
    </xf>
    <xf numFmtId="0" fontId="0" fillId="0" borderId="109" xfId="0" applyBorder="1" applyAlignment="1">
      <alignment horizontal="center"/>
    </xf>
    <xf numFmtId="0" fontId="122" fillId="3" borderId="109" xfId="20954" applyFont="1" applyFill="1" applyBorder="1" applyAlignment="1">
      <alignment horizontal="left" vertical="center" wrapText="1"/>
    </xf>
    <xf numFmtId="0" fontId="123" fillId="0" borderId="109" xfId="20954" applyFont="1" applyBorder="1" applyAlignment="1">
      <alignment horizontal="left" vertical="center" wrapText="1" indent="1"/>
    </xf>
    <xf numFmtId="0" fontId="124" fillId="3" borderId="119" xfId="0" applyFont="1" applyFill="1" applyBorder="1" applyAlignment="1">
      <alignment horizontal="left" vertical="center" wrapText="1"/>
    </xf>
    <xf numFmtId="0" fontId="123" fillId="3" borderId="109" xfId="20954" applyFont="1" applyFill="1" applyBorder="1" applyAlignment="1">
      <alignment horizontal="left" vertical="center" wrapText="1" indent="1"/>
    </xf>
    <xf numFmtId="0" fontId="122" fillId="0" borderId="119" xfId="0" applyFont="1" applyBorder="1" applyAlignment="1">
      <alignment horizontal="left" vertical="center" wrapText="1"/>
    </xf>
    <xf numFmtId="0" fontId="124" fillId="0" borderId="119" xfId="0" applyFont="1" applyBorder="1" applyAlignment="1">
      <alignment horizontal="left" vertical="center" wrapText="1"/>
    </xf>
    <xf numFmtId="0" fontId="124" fillId="0" borderId="119" xfId="0" applyFont="1" applyBorder="1" applyAlignment="1">
      <alignment vertical="center" wrapText="1"/>
    </xf>
    <xf numFmtId="0" fontId="125" fillId="0" borderId="119" xfId="0" applyFont="1" applyBorder="1" applyAlignment="1">
      <alignment horizontal="left" vertical="center" wrapText="1" indent="1"/>
    </xf>
    <xf numFmtId="0" fontId="125" fillId="3" borderId="119" xfId="0" applyFont="1" applyFill="1" applyBorder="1" applyAlignment="1">
      <alignment horizontal="left" vertical="center" wrapText="1" indent="1"/>
    </xf>
    <xf numFmtId="0" fontId="124" fillId="3" borderId="120" xfId="0" applyFont="1" applyFill="1" applyBorder="1" applyAlignment="1">
      <alignment horizontal="left" vertical="center" wrapText="1"/>
    </xf>
    <xf numFmtId="0" fontId="125" fillId="0" borderId="109" xfId="20954" applyFont="1" applyBorder="1" applyAlignment="1">
      <alignment horizontal="left" vertical="center" wrapText="1" indent="1"/>
    </xf>
    <xf numFmtId="0" fontId="124" fillId="0" borderId="109" xfId="0" applyFont="1" applyBorder="1" applyAlignment="1">
      <alignment horizontal="left" vertical="center" wrapText="1"/>
    </xf>
    <xf numFmtId="0" fontId="126" fillId="0" borderId="109" xfId="20954" applyFont="1" applyBorder="1" applyAlignment="1">
      <alignment horizontal="center" vertical="center" wrapText="1"/>
    </xf>
    <xf numFmtId="0" fontId="124" fillId="3" borderId="121" xfId="0" applyFont="1" applyFill="1" applyBorder="1" applyAlignment="1">
      <alignment horizontal="left" vertical="center" wrapText="1"/>
    </xf>
    <xf numFmtId="0" fontId="0" fillId="0" borderId="122" xfId="0" applyBorder="1" applyAlignment="1">
      <alignment horizontal="center"/>
    </xf>
    <xf numFmtId="0" fontId="123" fillId="3" borderId="122" xfId="20954" applyFont="1" applyFill="1" applyBorder="1" applyAlignment="1">
      <alignment horizontal="left" vertical="center" wrapText="1" indent="1"/>
    </xf>
    <xf numFmtId="0" fontId="123" fillId="3" borderId="119" xfId="0" applyFont="1" applyFill="1" applyBorder="1" applyAlignment="1">
      <alignment horizontal="left" vertical="center" wrapText="1" indent="1"/>
    </xf>
    <xf numFmtId="0" fontId="123" fillId="0" borderId="122" xfId="20954" applyFont="1" applyBorder="1" applyAlignment="1">
      <alignment horizontal="left" vertical="center" wrapText="1" indent="1"/>
    </xf>
    <xf numFmtId="0" fontId="124" fillId="0" borderId="122" xfId="20954" applyFont="1" applyBorder="1" applyAlignment="1">
      <alignment horizontal="left" vertical="center" wrapText="1"/>
    </xf>
    <xf numFmtId="0" fontId="124" fillId="0" borderId="122" xfId="0" applyFont="1" applyBorder="1" applyAlignment="1">
      <alignment vertical="center" wrapText="1"/>
    </xf>
    <xf numFmtId="0" fontId="126" fillId="0" borderId="122" xfId="20954" applyFont="1" applyBorder="1" applyAlignment="1">
      <alignment horizontal="center" vertical="center" wrapText="1"/>
    </xf>
    <xf numFmtId="0" fontId="124" fillId="3" borderId="122" xfId="20954" applyFont="1" applyFill="1" applyBorder="1" applyAlignment="1">
      <alignment horizontal="left" vertical="center" wrapText="1"/>
    </xf>
    <xf numFmtId="0" fontId="124" fillId="0" borderId="122" xfId="0" applyFont="1" applyBorder="1" applyAlignment="1">
      <alignment horizontal="left" vertical="center" wrapText="1"/>
    </xf>
    <xf numFmtId="0" fontId="2" fillId="0" borderId="122" xfId="0" applyFont="1" applyBorder="1" applyAlignment="1">
      <alignment horizontal="center" vertical="center" wrapText="1"/>
    </xf>
    <xf numFmtId="0" fontId="0" fillId="0" borderId="122" xfId="0" applyBorder="1" applyAlignment="1">
      <alignment horizontal="center" vertical="center"/>
    </xf>
    <xf numFmtId="0" fontId="124" fillId="0" borderId="127" xfId="0" applyFont="1" applyBorder="1" applyAlignment="1">
      <alignment horizontal="justify" vertical="center" wrapText="1"/>
    </xf>
    <xf numFmtId="0" fontId="123" fillId="0" borderId="119" xfId="0" applyFont="1" applyBorder="1" applyAlignment="1">
      <alignment horizontal="left" vertical="center" wrapText="1" indent="1"/>
    </xf>
    <xf numFmtId="0" fontId="123" fillId="0" borderId="120" xfId="0" applyFont="1" applyBorder="1" applyAlignment="1">
      <alignment horizontal="left" vertical="center" wrapText="1" indent="1"/>
    </xf>
    <xf numFmtId="0" fontId="124" fillId="0" borderId="119" xfId="0" applyFont="1" applyBorder="1" applyAlignment="1">
      <alignment horizontal="justify" vertical="center" wrapText="1"/>
    </xf>
    <xf numFmtId="0" fontId="122" fillId="0" borderId="119" xfId="0" applyFont="1" applyBorder="1" applyAlignment="1">
      <alignment horizontal="justify" vertical="center" wrapText="1"/>
    </xf>
    <xf numFmtId="0" fontId="124" fillId="3" borderId="119" xfId="0" applyFont="1" applyFill="1" applyBorder="1" applyAlignment="1">
      <alignment horizontal="justify" vertical="center" wrapText="1"/>
    </xf>
    <xf numFmtId="0" fontId="124" fillId="0" borderId="120" xfId="0" applyFont="1" applyBorder="1" applyAlignment="1">
      <alignment horizontal="justify" vertical="center" wrapText="1"/>
    </xf>
    <xf numFmtId="0" fontId="124" fillId="0" borderId="121" xfId="0" applyFont="1" applyBorder="1" applyAlignment="1">
      <alignment horizontal="justify" vertical="center" wrapText="1"/>
    </xf>
    <xf numFmtId="0" fontId="122" fillId="0" borderId="119" xfId="0" applyFont="1" applyBorder="1" applyAlignment="1">
      <alignment vertical="center" wrapText="1"/>
    </xf>
    <xf numFmtId="0" fontId="123" fillId="0" borderId="119" xfId="0" applyFont="1" applyBorder="1" applyAlignment="1">
      <alignment horizontal="left" vertical="center" wrapText="1"/>
    </xf>
    <xf numFmtId="0" fontId="124" fillId="0" borderId="128" xfId="0" applyFont="1" applyBorder="1" applyAlignment="1">
      <alignment vertical="center" wrapText="1"/>
    </xf>
    <xf numFmtId="0" fontId="124" fillId="3" borderId="119" xfId="0" applyFont="1" applyFill="1" applyBorder="1" applyAlignment="1">
      <alignment vertical="center" wrapText="1"/>
    </xf>
    <xf numFmtId="0" fontId="2" fillId="0" borderId="125" xfId="0" applyFont="1" applyBorder="1" applyAlignment="1">
      <alignment horizontal="left" vertical="center" wrapText="1" indent="4"/>
    </xf>
    <xf numFmtId="0" fontId="45" fillId="0" borderId="125" xfId="0" applyFont="1" applyBorder="1" applyAlignment="1">
      <alignment vertical="center" wrapText="1"/>
    </xf>
    <xf numFmtId="0" fontId="2" fillId="0" borderId="122" xfId="0" applyFont="1" applyBorder="1" applyAlignment="1" applyProtection="1">
      <alignment horizontal="left" vertical="center" indent="11"/>
      <protection locked="0"/>
    </xf>
    <xf numFmtId="0" fontId="46" fillId="0" borderId="122" xfId="0" applyFont="1" applyBorder="1" applyAlignment="1" applyProtection="1">
      <alignment horizontal="left" vertical="center" indent="17"/>
      <protection locked="0"/>
    </xf>
    <xf numFmtId="0" fontId="2" fillId="0" borderId="125" xfId="0" applyFont="1" applyBorder="1" applyAlignment="1">
      <alignment horizontal="left" vertical="center" wrapText="1"/>
    </xf>
    <xf numFmtId="191" fontId="94" fillId="0" borderId="0" xfId="0" applyNumberFormat="1" applyFont="1" applyAlignment="1">
      <alignment horizontal="right"/>
    </xf>
    <xf numFmtId="0" fontId="123" fillId="3" borderId="120" xfId="0" applyFont="1" applyFill="1" applyBorder="1" applyAlignment="1">
      <alignment horizontal="left" vertical="center" wrapText="1" indent="1"/>
    </xf>
    <xf numFmtId="0" fontId="123" fillId="3" borderId="122" xfId="0" applyFont="1" applyFill="1" applyBorder="1" applyAlignment="1">
      <alignment horizontal="left" vertical="center" wrapText="1" indent="1"/>
    </xf>
    <xf numFmtId="0" fontId="123" fillId="0" borderId="122" xfId="0" applyFont="1" applyBorder="1" applyAlignment="1">
      <alignment horizontal="left" vertical="center" wrapText="1" indent="1"/>
    </xf>
    <xf numFmtId="0" fontId="124" fillId="3" borderId="122" xfId="0" applyFont="1" applyFill="1" applyBorder="1" applyAlignment="1">
      <alignment horizontal="left" vertical="center" wrapText="1"/>
    </xf>
    <xf numFmtId="0" fontId="125" fillId="3" borderId="122" xfId="0" applyFont="1" applyFill="1" applyBorder="1" applyAlignment="1">
      <alignment horizontal="left" vertical="center" wrapText="1" indent="1"/>
    </xf>
    <xf numFmtId="0" fontId="127" fillId="0" borderId="122" xfId="0" applyFont="1" applyBorder="1" applyAlignment="1">
      <alignment horizontal="justify"/>
    </xf>
    <xf numFmtId="167" fontId="86" fillId="0" borderId="54" xfId="0" applyNumberFormat="1" applyFont="1" applyBorder="1" applyAlignment="1">
      <alignment horizontal="center"/>
    </xf>
    <xf numFmtId="167" fontId="88" fillId="0" borderId="56" xfId="0" applyNumberFormat="1" applyFont="1" applyBorder="1" applyAlignment="1">
      <alignment horizontal="center"/>
    </xf>
    <xf numFmtId="167" fontId="46" fillId="0" borderId="56" xfId="0" applyNumberFormat="1" applyFont="1" applyBorder="1" applyAlignment="1">
      <alignment horizontal="center"/>
    </xf>
    <xf numFmtId="0" fontId="84" fillId="0" borderId="122" xfId="0" applyFont="1" applyBorder="1" applyAlignment="1">
      <alignment horizontal="center"/>
    </xf>
    <xf numFmtId="0" fontId="114" fillId="0" borderId="122" xfId="0" applyFont="1" applyBorder="1"/>
    <xf numFmtId="49" fontId="116" fillId="0" borderId="122" xfId="5" applyNumberFormat="1" applyFont="1" applyBorder="1" applyAlignment="1" applyProtection="1">
      <alignment horizontal="right" vertical="center"/>
      <protection locked="0"/>
    </xf>
    <xf numFmtId="0" fontId="115" fillId="3" borderId="122" xfId="13" applyFont="1" applyFill="1" applyBorder="1" applyAlignment="1" applyProtection="1">
      <alignment horizontal="left" vertical="center" wrapText="1"/>
      <protection locked="0"/>
    </xf>
    <xf numFmtId="49" fontId="115" fillId="3" borderId="122" xfId="5" applyNumberFormat="1" applyFont="1" applyFill="1" applyBorder="1" applyAlignment="1" applyProtection="1">
      <alignment horizontal="right" vertical="center"/>
      <protection locked="0"/>
    </xf>
    <xf numFmtId="0" fontId="115" fillId="0" borderId="122" xfId="13" applyFont="1" applyBorder="1" applyAlignment="1" applyProtection="1">
      <alignment horizontal="left" vertical="center" wrapText="1"/>
      <protection locked="0"/>
    </xf>
    <xf numFmtId="49" fontId="115" fillId="0" borderId="122" xfId="5" applyNumberFormat="1" applyFont="1" applyBorder="1" applyAlignment="1" applyProtection="1">
      <alignment horizontal="right" vertical="center"/>
      <protection locked="0"/>
    </xf>
    <xf numFmtId="0" fontId="117" fillId="0" borderId="122" xfId="13" applyFont="1" applyBorder="1" applyAlignment="1" applyProtection="1">
      <alignment horizontal="left" vertical="center" wrapText="1"/>
      <protection locked="0"/>
    </xf>
    <xf numFmtId="0" fontId="114" fillId="0" borderId="122" xfId="0" applyFont="1" applyBorder="1" applyAlignment="1">
      <alignment horizontal="center" vertical="center" wrapText="1"/>
    </xf>
    <xf numFmtId="14" fontId="111" fillId="0" borderId="0" xfId="0" applyNumberFormat="1" applyFont="1"/>
    <xf numFmtId="43" fontId="96" fillId="0" borderId="0" xfId="7" applyFont="1"/>
    <xf numFmtId="0" fontId="111" fillId="0" borderId="0" xfId="0" applyFont="1" applyAlignment="1">
      <alignment wrapText="1"/>
    </xf>
    <xf numFmtId="166" fontId="110" fillId="35" borderId="122" xfId="20953" applyFont="1" applyFill="1" applyBorder="1"/>
    <xf numFmtId="0" fontId="110" fillId="0" borderId="122" xfId="0" applyFont="1" applyBorder="1"/>
    <xf numFmtId="0" fontId="110" fillId="0" borderId="122" xfId="0" applyFont="1" applyBorder="1" applyAlignment="1">
      <alignment horizontal="left" indent="8"/>
    </xf>
    <xf numFmtId="0" fontId="110" fillId="0" borderId="122" xfId="0" applyFont="1" applyBorder="1" applyAlignment="1">
      <alignment wrapText="1"/>
    </xf>
    <xf numFmtId="0" fontId="114" fillId="0" borderId="0" xfId="0" applyFont="1"/>
    <xf numFmtId="0" fontId="113" fillId="0" borderId="122" xfId="0" applyFont="1" applyBorder="1"/>
    <xf numFmtId="49" fontId="116" fillId="0" borderId="122" xfId="5" applyNumberFormat="1" applyFont="1" applyBorder="1" applyAlignment="1" applyProtection="1">
      <alignment horizontal="right" vertical="center" wrapText="1"/>
      <protection locked="0"/>
    </xf>
    <xf numFmtId="49" fontId="115" fillId="3" borderId="122" xfId="5" applyNumberFormat="1" applyFont="1" applyFill="1" applyBorder="1" applyAlignment="1" applyProtection="1">
      <alignment horizontal="right" vertical="center" wrapText="1"/>
      <protection locked="0"/>
    </xf>
    <xf numFmtId="49" fontId="115" fillId="0" borderId="122" xfId="5" applyNumberFormat="1" applyFont="1" applyBorder="1" applyAlignment="1" applyProtection="1">
      <alignment horizontal="right" vertical="center" wrapText="1"/>
      <protection locked="0"/>
    </xf>
    <xf numFmtId="0" fontId="110" fillId="0" borderId="122" xfId="0" applyFont="1" applyBorder="1" applyAlignment="1">
      <alignment horizontal="center" vertical="center" wrapText="1"/>
    </xf>
    <xf numFmtId="0" fontId="110" fillId="0" borderId="126" xfId="0" applyFont="1" applyBorder="1" applyAlignment="1">
      <alignment horizontal="center" vertical="center" wrapText="1"/>
    </xf>
    <xf numFmtId="0" fontId="110" fillId="0" borderId="122"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2" xfId="0" applyFont="1" applyBorder="1" applyAlignment="1">
      <alignment horizontal="left" vertical="center" wrapText="1"/>
    </xf>
    <xf numFmtId="0" fontId="113" fillId="0" borderId="122" xfId="0" applyFont="1" applyBorder="1" applyAlignment="1">
      <alignment horizontal="left" wrapText="1" indent="1"/>
    </xf>
    <xf numFmtId="0" fontId="113" fillId="0" borderId="122" xfId="0" applyFont="1" applyBorder="1" applyAlignment="1">
      <alignment horizontal="left" vertical="center" indent="1"/>
    </xf>
    <xf numFmtId="0" fontId="111" fillId="0" borderId="122" xfId="0" applyFont="1" applyBorder="1"/>
    <xf numFmtId="0" fontId="110" fillId="0" borderId="122" xfId="0" applyFont="1" applyBorder="1" applyAlignment="1">
      <alignment horizontal="left" wrapText="1" indent="1"/>
    </xf>
    <xf numFmtId="0" fontId="110" fillId="0" borderId="122" xfId="0" applyFont="1" applyBorder="1" applyAlignment="1">
      <alignment horizontal="left" indent="1"/>
    </xf>
    <xf numFmtId="0" fontId="110" fillId="0" borderId="122" xfId="0" applyFont="1" applyBorder="1" applyAlignment="1">
      <alignment horizontal="left" wrapText="1" indent="4"/>
    </xf>
    <xf numFmtId="0" fontId="110" fillId="0" borderId="122" xfId="0" applyFont="1" applyBorder="1" applyAlignment="1">
      <alignment horizontal="left" indent="3"/>
    </xf>
    <xf numFmtId="0" fontId="113" fillId="0" borderId="122" xfId="0" applyFont="1" applyBorder="1" applyAlignment="1">
      <alignment horizontal="left" indent="1"/>
    </xf>
    <xf numFmtId="0" fontId="111" fillId="77" borderId="122" xfId="0" applyFont="1" applyFill="1" applyBorder="1"/>
    <xf numFmtId="0" fontId="114" fillId="0" borderId="7" xfId="0" applyFont="1" applyBorder="1"/>
    <xf numFmtId="0" fontId="111" fillId="0" borderId="122" xfId="0" applyFont="1" applyBorder="1" applyAlignment="1">
      <alignment horizontal="left" wrapText="1" indent="2"/>
    </xf>
    <xf numFmtId="0" fontId="111" fillId="0" borderId="122" xfId="0" applyFont="1" applyBorder="1" applyAlignment="1">
      <alignment horizontal="left" wrapText="1"/>
    </xf>
    <xf numFmtId="0" fontId="110" fillId="0" borderId="122"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1" xfId="0" applyFont="1" applyBorder="1" applyAlignment="1">
      <alignment horizontal="center" vertical="center" wrapText="1"/>
    </xf>
    <xf numFmtId="0" fontId="110" fillId="0" borderId="125" xfId="0" applyFont="1" applyBorder="1" applyAlignment="1">
      <alignment horizontal="center" vertical="center" wrapText="1"/>
    </xf>
    <xf numFmtId="0" fontId="110" fillId="0" borderId="102" xfId="0" applyFont="1" applyBorder="1" applyAlignment="1">
      <alignment horizontal="center" vertical="center" wrapText="1"/>
    </xf>
    <xf numFmtId="49" fontId="110" fillId="0" borderId="22" xfId="0" applyNumberFormat="1" applyFont="1" applyBorder="1" applyAlignment="1">
      <alignment horizontal="left" wrapText="1" indent="1"/>
    </xf>
    <xf numFmtId="0" fontId="110" fillId="0" borderId="20" xfId="0" applyFont="1" applyBorder="1" applyAlignment="1">
      <alignment horizontal="left" wrapText="1" indent="1"/>
    </xf>
    <xf numFmtId="49" fontId="110" fillId="0" borderId="79" xfId="0" applyNumberFormat="1" applyFont="1" applyBorder="1" applyAlignment="1">
      <alignment horizontal="left" wrapText="1" indent="1"/>
    </xf>
    <xf numFmtId="0" fontId="110" fillId="0" borderId="17" xfId="0" applyFont="1" applyBorder="1" applyAlignment="1">
      <alignment horizontal="left" wrapText="1" indent="1"/>
    </xf>
    <xf numFmtId="49" fontId="110" fillId="0" borderId="17" xfId="0" applyNumberFormat="1" applyFont="1" applyBorder="1" applyAlignment="1">
      <alignment horizontal="left" wrapText="1" indent="3"/>
    </xf>
    <xf numFmtId="49" fontId="110" fillId="0" borderId="79" xfId="0" applyNumberFormat="1" applyFont="1" applyBorder="1" applyAlignment="1">
      <alignment horizontal="left" wrapText="1" indent="3"/>
    </xf>
    <xf numFmtId="49" fontId="110" fillId="0" borderId="17" xfId="0" applyNumberFormat="1" applyFont="1" applyBorder="1" applyAlignment="1">
      <alignment horizontal="left" wrapText="1" indent="2"/>
    </xf>
    <xf numFmtId="49" fontId="110" fillId="0" borderId="79" xfId="0" applyNumberFormat="1" applyFont="1" applyBorder="1" applyAlignment="1">
      <alignment horizontal="left" wrapText="1" indent="2"/>
    </xf>
    <xf numFmtId="49" fontId="110" fillId="0" borderId="79" xfId="0" applyNumberFormat="1" applyFont="1" applyBorder="1" applyAlignment="1">
      <alignment horizontal="left" vertical="top" wrapText="1" indent="2"/>
    </xf>
    <xf numFmtId="49" fontId="110" fillId="0" borderId="79" xfId="0" applyNumberFormat="1" applyFont="1" applyBorder="1" applyAlignment="1">
      <alignment horizontal="left" indent="1"/>
    </xf>
    <xf numFmtId="0" fontId="110" fillId="0" borderId="17" xfId="0" applyFont="1" applyBorder="1" applyAlignment="1">
      <alignment horizontal="left" indent="1"/>
    </xf>
    <xf numFmtId="49" fontId="110" fillId="0" borderId="17" xfId="0" applyNumberFormat="1" applyFont="1" applyBorder="1" applyAlignment="1">
      <alignment horizontal="left" indent="1"/>
    </xf>
    <xf numFmtId="49" fontId="110" fillId="0" borderId="17" xfId="0" applyNumberFormat="1" applyFont="1" applyBorder="1" applyAlignment="1">
      <alignment horizontal="left" indent="3"/>
    </xf>
    <xf numFmtId="49" fontId="110" fillId="0" borderId="79" xfId="0" applyNumberFormat="1" applyFont="1" applyBorder="1" applyAlignment="1">
      <alignment horizontal="left" indent="3"/>
    </xf>
    <xf numFmtId="0" fontId="110" fillId="0" borderId="17" xfId="0" applyFont="1" applyBorder="1" applyAlignment="1">
      <alignment horizontal="left" indent="2"/>
    </xf>
    <xf numFmtId="0" fontId="110" fillId="0" borderId="79" xfId="0" applyFont="1" applyBorder="1" applyAlignment="1">
      <alignment horizontal="left" indent="2"/>
    </xf>
    <xf numFmtId="0" fontId="110" fillId="0" borderId="79" xfId="0" applyFont="1" applyBorder="1" applyAlignment="1">
      <alignment horizontal="left" indent="1"/>
    </xf>
    <xf numFmtId="0" fontId="113" fillId="0" borderId="62" xfId="0" applyFont="1" applyBorder="1"/>
    <xf numFmtId="0" fontId="110" fillId="0" borderId="65" xfId="0" applyFont="1" applyBorder="1"/>
    <xf numFmtId="0" fontId="110" fillId="0" borderId="73" xfId="0" applyFont="1" applyBorder="1" applyAlignment="1">
      <alignment horizontal="center" vertical="center" wrapText="1"/>
    </xf>
    <xf numFmtId="0" fontId="110" fillId="0" borderId="79" xfId="0" applyFont="1" applyBorder="1" applyAlignment="1">
      <alignment horizontal="center" vertical="center" wrapText="1"/>
    </xf>
    <xf numFmtId="0" fontId="110" fillId="0" borderId="0" xfId="0" applyFont="1" applyAlignment="1">
      <alignment horizontal="left"/>
    </xf>
    <xf numFmtId="0" fontId="113" fillId="0" borderId="122" xfId="0" applyFont="1" applyBorder="1" applyAlignment="1">
      <alignment horizontal="left" vertical="center" wrapText="1"/>
    </xf>
    <xf numFmtId="0" fontId="115" fillId="0" borderId="0" xfId="0" applyFont="1"/>
    <xf numFmtId="0" fontId="94" fillId="0" borderId="0" xfId="0" applyFont="1" applyAlignment="1">
      <alignment wrapText="1"/>
    </xf>
    <xf numFmtId="0" fontId="113" fillId="0" borderId="122"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17" xfId="0" applyFont="1" applyBorder="1" applyAlignment="1">
      <alignment horizontal="left" vertical="center" wrapText="1" indent="1" readingOrder="1"/>
    </xf>
    <xf numFmtId="0" fontId="131" fillId="0" borderId="122" xfId="0" applyFont="1" applyBorder="1" applyAlignment="1">
      <alignment horizontal="left" indent="3"/>
    </xf>
    <xf numFmtId="0" fontId="113" fillId="0" borderId="122" xfId="0" applyFont="1" applyBorder="1" applyAlignment="1">
      <alignment vertical="center" wrapText="1" readingOrder="1"/>
    </xf>
    <xf numFmtId="0" fontId="131" fillId="0" borderId="122" xfId="0" applyFont="1" applyBorder="1" applyAlignment="1">
      <alignment horizontal="left" indent="2"/>
    </xf>
    <xf numFmtId="0" fontId="110" fillId="0" borderId="118" xfId="0" applyFont="1" applyBorder="1" applyAlignment="1">
      <alignment vertical="center" wrapText="1" readingOrder="1"/>
    </xf>
    <xf numFmtId="0" fontId="131" fillId="0" borderId="126" xfId="0" applyFont="1" applyBorder="1" applyAlignment="1">
      <alignment horizontal="left" indent="2"/>
    </xf>
    <xf numFmtId="0" fontId="110" fillId="0" borderId="117" xfId="0" applyFont="1" applyBorder="1" applyAlignment="1">
      <alignment vertical="center" wrapText="1" readingOrder="1"/>
    </xf>
    <xf numFmtId="0" fontId="110" fillId="0" borderId="116" xfId="0" applyFont="1" applyBorder="1" applyAlignment="1">
      <alignment vertical="center" wrapText="1" readingOrder="1"/>
    </xf>
    <xf numFmtId="0" fontId="131" fillId="0" borderId="7" xfId="0" applyFont="1" applyBorder="1"/>
    <xf numFmtId="167" fontId="132" fillId="79" borderId="55" xfId="0" applyNumberFormat="1" applyFont="1" applyFill="1" applyBorder="1" applyAlignment="1">
      <alignment horizontal="center"/>
    </xf>
    <xf numFmtId="0" fontId="96" fillId="0" borderId="0" xfId="11" applyFont="1"/>
    <xf numFmtId="0" fontId="96" fillId="0" borderId="0" xfId="0" applyFont="1"/>
    <xf numFmtId="14" fontId="3" fillId="0" borderId="0" xfId="0" applyNumberFormat="1" applyFont="1"/>
    <xf numFmtId="0" fontId="133" fillId="0" borderId="0" xfId="11" applyFont="1"/>
    <xf numFmtId="0" fontId="134" fillId="0" borderId="0" xfId="0" applyFont="1"/>
    <xf numFmtId="0" fontId="135" fillId="80" borderId="15" xfId="0" applyFont="1" applyFill="1" applyBorder="1" applyAlignment="1">
      <alignment horizontal="center" vertical="center"/>
    </xf>
    <xf numFmtId="0" fontId="135" fillId="80" borderId="16" xfId="0" applyFont="1" applyFill="1" applyBorder="1" applyAlignment="1">
      <alignment horizontal="center" vertical="center"/>
    </xf>
    <xf numFmtId="0" fontId="135" fillId="81" borderId="122" xfId="0" applyFont="1" applyFill="1" applyBorder="1" applyAlignment="1">
      <alignment horizontal="left" vertical="center"/>
    </xf>
    <xf numFmtId="192" fontId="135" fillId="81" borderId="79" xfId="7" applyNumberFormat="1" applyFont="1" applyFill="1" applyBorder="1" applyAlignment="1">
      <alignment horizontal="left" vertical="center"/>
    </xf>
    <xf numFmtId="49" fontId="137" fillId="0" borderId="122" xfId="0" applyNumberFormat="1" applyFont="1" applyBorder="1" applyAlignment="1">
      <alignment horizontal="left" vertical="center"/>
    </xf>
    <xf numFmtId="192" fontId="137" fillId="0" borderId="79" xfId="7" applyNumberFormat="1" applyFont="1" applyFill="1" applyBorder="1" applyAlignment="1">
      <alignment horizontal="left" vertical="center"/>
    </xf>
    <xf numFmtId="0" fontId="137" fillId="0" borderId="122" xfId="0" applyFont="1" applyBorder="1" applyAlignment="1">
      <alignment horizontal="left" vertical="center"/>
    </xf>
    <xf numFmtId="0" fontId="135" fillId="0" borderId="122" xfId="0" applyFont="1" applyBorder="1" applyAlignment="1">
      <alignment horizontal="left" vertical="center"/>
    </xf>
    <xf numFmtId="10" fontId="96" fillId="0" borderId="79" xfId="0" applyNumberFormat="1" applyFont="1" applyBorder="1" applyAlignment="1">
      <alignment horizontal="right" vertical="center" wrapText="1"/>
    </xf>
    <xf numFmtId="0" fontId="139" fillId="82" borderId="21" xfId="0" applyFont="1" applyFill="1" applyBorder="1" applyAlignment="1">
      <alignment horizontal="left" vertical="center"/>
    </xf>
    <xf numFmtId="10" fontId="133" fillId="83" borderId="22"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2" xfId="0" applyFont="1" applyFill="1" applyBorder="1" applyAlignment="1">
      <alignment horizontal="center" vertical="center" wrapText="1"/>
    </xf>
    <xf numFmtId="0" fontId="4" fillId="83" borderId="122" xfId="0" applyFont="1" applyFill="1" applyBorder="1" applyAlignment="1">
      <alignment vertical="center" wrapText="1"/>
    </xf>
    <xf numFmtId="192" fontId="4" fillId="83" borderId="122" xfId="7" applyNumberFormat="1" applyFont="1" applyFill="1" applyBorder="1" applyAlignment="1">
      <alignment vertical="center"/>
    </xf>
    <xf numFmtId="192" fontId="4" fillId="83" borderId="79" xfId="7" applyNumberFormat="1" applyFont="1" applyFill="1" applyBorder="1" applyAlignment="1">
      <alignment vertical="center"/>
    </xf>
    <xf numFmtId="0" fontId="137" fillId="81" borderId="122" xfId="0" applyFont="1" applyFill="1" applyBorder="1" applyAlignment="1">
      <alignment horizontal="left" vertical="center" wrapText="1" indent="3"/>
    </xf>
    <xf numFmtId="192" fontId="4" fillId="35" borderId="122" xfId="7" applyNumberFormat="1" applyFont="1" applyFill="1" applyBorder="1" applyAlignment="1">
      <alignment vertical="center"/>
    </xf>
    <xf numFmtId="0" fontId="143" fillId="81" borderId="122" xfId="0" applyFont="1" applyFill="1" applyBorder="1" applyAlignment="1">
      <alignment horizontal="left" vertical="center" wrapText="1" indent="5"/>
    </xf>
    <xf numFmtId="0" fontId="144" fillId="80" borderId="122" xfId="0" applyFont="1" applyFill="1" applyBorder="1" applyAlignment="1">
      <alignment horizontal="left" vertical="center" wrapText="1" indent="1"/>
    </xf>
    <xf numFmtId="192" fontId="144" fillId="80" borderId="122" xfId="7" applyNumberFormat="1" applyFont="1" applyFill="1" applyBorder="1" applyAlignment="1">
      <alignment vertical="center"/>
    </xf>
    <xf numFmtId="192" fontId="144" fillId="82" borderId="79" xfId="7" applyNumberFormat="1" applyFont="1" applyFill="1" applyBorder="1" applyAlignment="1">
      <alignment vertical="center"/>
    </xf>
    <xf numFmtId="192" fontId="145" fillId="81" borderId="122" xfId="7" applyNumberFormat="1" applyFont="1" applyFill="1" applyBorder="1" applyAlignment="1">
      <alignment vertical="center"/>
    </xf>
    <xf numFmtId="192" fontId="145" fillId="82" borderId="79" xfId="7" applyNumberFormat="1" applyFont="1" applyFill="1" applyBorder="1" applyAlignment="1">
      <alignment vertical="center"/>
    </xf>
    <xf numFmtId="192" fontId="145" fillId="81" borderId="21" xfId="7" applyNumberFormat="1" applyFont="1" applyFill="1" applyBorder="1" applyAlignment="1">
      <alignment vertical="center"/>
    </xf>
    <xf numFmtId="192" fontId="145" fillId="82" borderId="22" xfId="7" applyNumberFormat="1" applyFont="1" applyFill="1" applyBorder="1" applyAlignment="1">
      <alignment vertical="center"/>
    </xf>
    <xf numFmtId="0" fontId="349" fillId="0" borderId="0" xfId="0" applyFont="1"/>
    <xf numFmtId="169" fontId="9" fillId="36" borderId="91" xfId="20" applyBorder="1"/>
    <xf numFmtId="0" fontId="94" fillId="0" borderId="184"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14" fontId="94" fillId="0" borderId="0" xfId="0" applyNumberFormat="1" applyFont="1"/>
    <xf numFmtId="0" fontId="94" fillId="0" borderId="109" xfId="0" applyFont="1" applyBorder="1" applyAlignment="1">
      <alignment horizontal="center" vertical="center" wrapText="1"/>
    </xf>
    <xf numFmtId="0" fontId="351" fillId="0" borderId="109" xfId="0" applyFont="1" applyBorder="1" applyAlignment="1">
      <alignment horizontal="center" vertical="center"/>
    </xf>
    <xf numFmtId="0" fontId="350" fillId="0" borderId="109" xfId="0" applyFont="1" applyBorder="1" applyAlignment="1">
      <alignment horizontal="center"/>
    </xf>
    <xf numFmtId="0" fontId="120" fillId="3" borderId="109" xfId="20954" applyFont="1" applyFill="1" applyBorder="1" applyAlignment="1">
      <alignment horizontal="left" vertical="center" wrapText="1"/>
    </xf>
    <xf numFmtId="0" fontId="94" fillId="0" borderId="109" xfId="20954" applyFont="1" applyBorder="1" applyAlignment="1">
      <alignment horizontal="left" vertical="center" wrapText="1" indent="1"/>
    </xf>
    <xf numFmtId="0" fontId="352" fillId="3" borderId="119" xfId="0" applyFont="1" applyFill="1" applyBorder="1" applyAlignment="1">
      <alignment horizontal="left" vertical="center" wrapText="1"/>
    </xf>
    <xf numFmtId="0" fontId="94" fillId="3" borderId="109" xfId="20954" applyFont="1" applyFill="1" applyBorder="1" applyAlignment="1">
      <alignment horizontal="left" vertical="center" wrapText="1" indent="1"/>
    </xf>
    <xf numFmtId="0" fontId="120" fillId="0" borderId="119" xfId="0" applyFont="1" applyBorder="1" applyAlignment="1">
      <alignment horizontal="left" vertical="center" wrapText="1"/>
    </xf>
    <xf numFmtId="0" fontId="352" fillId="0" borderId="119" xfId="0" applyFont="1" applyBorder="1" applyAlignment="1">
      <alignment horizontal="left" vertical="center" wrapText="1"/>
    </xf>
    <xf numFmtId="0" fontId="352" fillId="0" borderId="119" xfId="0" applyFont="1" applyBorder="1" applyAlignment="1">
      <alignment vertical="center" wrapText="1"/>
    </xf>
    <xf numFmtId="0" fontId="353" fillId="0" borderId="119" xfId="0" applyFont="1" applyBorder="1" applyAlignment="1">
      <alignment horizontal="left" vertical="center" wrapText="1" indent="1"/>
    </xf>
    <xf numFmtId="0" fontId="353" fillId="3" borderId="119" xfId="0" applyFont="1" applyFill="1" applyBorder="1" applyAlignment="1">
      <alignment horizontal="left" vertical="center" wrapText="1" indent="1"/>
    </xf>
    <xf numFmtId="0" fontId="352" fillId="3" borderId="120" xfId="0" applyFont="1" applyFill="1" applyBorder="1" applyAlignment="1">
      <alignment horizontal="left" vertical="center" wrapText="1"/>
    </xf>
    <xf numFmtId="0" fontId="353" fillId="0" borderId="109" xfId="20954" applyFont="1" applyBorder="1" applyAlignment="1">
      <alignment horizontal="left" vertical="center" wrapText="1" indent="1"/>
    </xf>
    <xf numFmtId="0" fontId="352" fillId="0" borderId="109" xfId="0" applyFont="1" applyBorder="1" applyAlignment="1">
      <alignment horizontal="left" vertical="center" wrapText="1"/>
    </xf>
    <xf numFmtId="0" fontId="352" fillId="0" borderId="109" xfId="20954" applyFont="1" applyBorder="1" applyAlignment="1">
      <alignment horizontal="center" vertical="center" wrapText="1"/>
    </xf>
    <xf numFmtId="0" fontId="352" fillId="3" borderId="121" xfId="0" applyFont="1" applyFill="1" applyBorder="1" applyAlignment="1">
      <alignment horizontal="left" vertical="center" wrapText="1"/>
    </xf>
    <xf numFmtId="0" fontId="350" fillId="0" borderId="122" xfId="0" applyFont="1" applyBorder="1" applyAlignment="1">
      <alignment horizontal="center"/>
    </xf>
    <xf numFmtId="0" fontId="94" fillId="3" borderId="122" xfId="20954" applyFont="1" applyFill="1" applyBorder="1" applyAlignment="1">
      <alignment horizontal="left" vertical="center" wrapText="1" indent="1"/>
    </xf>
    <xf numFmtId="0" fontId="94" fillId="3" borderId="119" xfId="0" applyFont="1" applyFill="1" applyBorder="1" applyAlignment="1">
      <alignment horizontal="left" vertical="center" wrapText="1" indent="1"/>
    </xf>
    <xf numFmtId="0" fontId="94" fillId="0" borderId="122" xfId="20954" applyFont="1" applyBorder="1" applyAlignment="1">
      <alignment horizontal="left" vertical="center" wrapText="1" indent="1"/>
    </xf>
    <xf numFmtId="0" fontId="94" fillId="0" borderId="119" xfId="0" applyFont="1" applyBorder="1" applyAlignment="1">
      <alignment horizontal="left" vertical="center" wrapText="1" indent="1"/>
    </xf>
    <xf numFmtId="0" fontId="94" fillId="0" borderId="120" xfId="0" applyFont="1" applyBorder="1" applyAlignment="1">
      <alignment horizontal="left" vertical="center" wrapText="1" indent="1"/>
    </xf>
    <xf numFmtId="0" fontId="352" fillId="0" borderId="122" xfId="20954" applyFont="1" applyBorder="1" applyAlignment="1">
      <alignment horizontal="left" vertical="center" wrapText="1"/>
    </xf>
    <xf numFmtId="0" fontId="352" fillId="0" borderId="122" xfId="0" applyFont="1" applyBorder="1" applyAlignment="1">
      <alignment vertical="center" wrapText="1"/>
    </xf>
    <xf numFmtId="0" fontId="352" fillId="0" borderId="122" xfId="20954" applyFont="1" applyBorder="1" applyAlignment="1">
      <alignment horizontal="center" vertical="center" wrapText="1"/>
    </xf>
    <xf numFmtId="0" fontId="352" fillId="3" borderId="122" xfId="20954" applyFont="1" applyFill="1" applyBorder="1" applyAlignment="1">
      <alignment horizontal="left" vertical="center" wrapText="1"/>
    </xf>
    <xf numFmtId="0" fontId="354" fillId="0" borderId="0" xfId="0" applyFont="1" applyAlignment="1">
      <alignment horizontal="justify"/>
    </xf>
    <xf numFmtId="0" fontId="352" fillId="0" borderId="122" xfId="0" applyFont="1" applyBorder="1" applyAlignment="1">
      <alignment horizontal="left" vertical="center" wrapText="1"/>
    </xf>
    <xf numFmtId="0" fontId="350" fillId="0" borderId="0" xfId="0" applyFont="1" applyAlignment="1">
      <alignment horizontal="center"/>
    </xf>
    <xf numFmtId="0" fontId="350" fillId="0" borderId="0" xfId="0" applyFont="1" applyAlignment="1">
      <alignment horizontal="left" vertical="center"/>
    </xf>
    <xf numFmtId="0" fontId="86" fillId="0" borderId="122" xfId="0" applyFont="1" applyBorder="1" applyAlignment="1">
      <alignment vertical="center"/>
    </xf>
    <xf numFmtId="0" fontId="45" fillId="0" borderId="122" xfId="0" applyFont="1" applyBorder="1" applyAlignment="1">
      <alignment vertical="center" wrapText="1"/>
    </xf>
    <xf numFmtId="191" fontId="94" fillId="35" borderId="190" xfId="0" applyNumberFormat="1" applyFont="1" applyFill="1" applyBorder="1" applyAlignment="1">
      <alignment horizontal="right"/>
    </xf>
    <xf numFmtId="0" fontId="352" fillId="0" borderId="190" xfId="20954" applyFont="1" applyBorder="1" applyAlignment="1">
      <alignment horizontal="left" vertical="center" wrapText="1"/>
    </xf>
    <xf numFmtId="0" fontId="0" fillId="0" borderId="190" xfId="0" applyBorder="1"/>
    <xf numFmtId="191" fontId="94" fillId="0" borderId="190" xfId="0" applyNumberFormat="1" applyFont="1" applyBorder="1" applyAlignment="1">
      <alignment horizontal="right"/>
    </xf>
    <xf numFmtId="0" fontId="6" fillId="0" borderId="190" xfId="17" applyFill="1" applyBorder="1" applyAlignment="1" applyProtection="1"/>
    <xf numFmtId="49" fontId="84" fillId="0" borderId="190" xfId="0" applyNumberFormat="1" applyFont="1" applyBorder="1" applyAlignment="1">
      <alignment horizontal="right"/>
    </xf>
    <xf numFmtId="0" fontId="84" fillId="0" borderId="190" xfId="0" applyFont="1" applyBorder="1"/>
    <xf numFmtId="0" fontId="355" fillId="3" borderId="0" xfId="37364" applyFont="1" applyFill="1" applyAlignment="1" applyProtection="1">
      <alignment vertical="center"/>
      <protection locked="0"/>
    </xf>
    <xf numFmtId="0" fontId="131" fillId="3" borderId="190" xfId="5" applyFont="1" applyFill="1" applyBorder="1" applyAlignment="1" applyProtection="1">
      <alignment vertical="center" wrapText="1"/>
      <protection locked="0"/>
    </xf>
    <xf numFmtId="0" fontId="131" fillId="0" borderId="190" xfId="37365" applyFont="1" applyBorder="1" applyAlignment="1" applyProtection="1">
      <alignment horizontal="center" vertical="center" wrapText="1"/>
      <protection locked="0"/>
    </xf>
    <xf numFmtId="3" fontId="131" fillId="3" borderId="190" xfId="1" applyNumberFormat="1" applyFont="1" applyFill="1" applyBorder="1" applyAlignment="1" applyProtection="1">
      <alignment horizontal="center" vertical="center" wrapText="1"/>
      <protection locked="0"/>
    </xf>
    <xf numFmtId="9" fontId="131" fillId="3" borderId="190" xfId="15" applyNumberFormat="1" applyFont="1" applyFill="1" applyBorder="1" applyAlignment="1" applyProtection="1">
      <alignment horizontal="center" vertical="center" wrapText="1"/>
      <protection locked="0"/>
    </xf>
    <xf numFmtId="0" fontId="131" fillId="3" borderId="190" xfId="37365" applyFont="1" applyFill="1" applyBorder="1" applyAlignment="1" applyProtection="1">
      <alignment horizontal="center" vertical="center" wrapText="1"/>
      <protection locked="0"/>
    </xf>
    <xf numFmtId="0" fontId="355" fillId="3" borderId="190" xfId="37365" applyFont="1" applyFill="1" applyBorder="1" applyProtection="1">
      <protection locked="0"/>
    </xf>
    <xf numFmtId="3" fontId="131" fillId="151" borderId="190" xfId="5" applyNumberFormat="1" applyFont="1" applyFill="1" applyBorder="1"/>
    <xf numFmtId="0" fontId="356" fillId="3" borderId="190" xfId="37365" applyFont="1" applyFill="1" applyBorder="1" applyAlignment="1" applyProtection="1">
      <alignment horizontal="right"/>
      <protection locked="0"/>
    </xf>
    <xf numFmtId="359" fontId="131" fillId="151" borderId="190" xfId="5" applyNumberFormat="1" applyFont="1" applyFill="1" applyBorder="1" applyProtection="1">
      <protection locked="0"/>
    </xf>
    <xf numFmtId="164" fontId="131" fillId="151" borderId="190" xfId="1" applyNumberFormat="1" applyFont="1" applyFill="1" applyBorder="1" applyAlignment="1" applyProtection="1"/>
    <xf numFmtId="0" fontId="131" fillId="3" borderId="190" xfId="37365" applyFont="1" applyFill="1" applyBorder="1" applyAlignment="1" applyProtection="1">
      <alignment horizontal="left" vertical="center"/>
      <protection locked="0"/>
    </xf>
    <xf numFmtId="3" fontId="131" fillId="3" borderId="190" xfId="5" applyNumberFormat="1" applyFont="1" applyFill="1" applyBorder="1" applyProtection="1">
      <protection locked="0"/>
    </xf>
    <xf numFmtId="0" fontId="131" fillId="3" borderId="190" xfId="5" applyFont="1" applyFill="1" applyBorder="1" applyProtection="1">
      <protection locked="0"/>
    </xf>
    <xf numFmtId="0" fontId="357" fillId="3" borderId="190" xfId="37365" applyFont="1" applyFill="1" applyBorder="1" applyAlignment="1" applyProtection="1">
      <alignment horizontal="right"/>
      <protection locked="0"/>
    </xf>
    <xf numFmtId="0" fontId="131" fillId="0" borderId="190" xfId="37365" applyFont="1" applyBorder="1" applyAlignment="1" applyProtection="1">
      <alignment horizontal="left" vertical="center"/>
      <protection locked="0"/>
    </xf>
    <xf numFmtId="0" fontId="355" fillId="3" borderId="190" xfId="16" applyFont="1" applyFill="1" applyBorder="1" applyProtection="1">
      <protection locked="0"/>
    </xf>
    <xf numFmtId="3" fontId="355" fillId="75" borderId="190" xfId="16" applyNumberFormat="1" applyFont="1" applyFill="1" applyBorder="1"/>
    <xf numFmtId="0" fontId="360" fillId="0" borderId="0" xfId="37364" applyFont="1" applyAlignment="1" applyProtection="1">
      <alignment vertical="center"/>
      <protection locked="0"/>
    </xf>
    <xf numFmtId="0" fontId="131" fillId="0" borderId="190" xfId="37365" applyFont="1" applyBorder="1" applyAlignment="1" applyProtection="1">
      <alignment horizontal="center" vertical="top" wrapText="1"/>
      <protection locked="0"/>
    </xf>
    <xf numFmtId="0" fontId="355" fillId="3" borderId="190" xfId="37365" applyFont="1" applyFill="1" applyBorder="1" applyAlignment="1" applyProtection="1">
      <alignment wrapText="1"/>
      <protection locked="0"/>
    </xf>
    <xf numFmtId="3" fontId="131" fillId="0" borderId="190" xfId="5" applyNumberFormat="1" applyFont="1" applyBorder="1"/>
    <xf numFmtId="0" fontId="120" fillId="75" borderId="95" xfId="20952" applyFont="1" applyFill="1" applyBorder="1">
      <alignment vertical="center"/>
    </xf>
    <xf numFmtId="0" fontId="120" fillId="75" borderId="96" xfId="20952" applyFont="1" applyFill="1" applyBorder="1">
      <alignment vertical="center"/>
    </xf>
    <xf numFmtId="0" fontId="120" fillId="75" borderId="93" xfId="20952" applyFont="1" applyFill="1" applyBorder="1">
      <alignment vertical="center"/>
    </xf>
    <xf numFmtId="164" fontId="120" fillId="75" borderId="93" xfId="7" applyNumberFormat="1" applyFont="1" applyFill="1" applyBorder="1" applyAlignment="1">
      <alignment horizontal="right" vertical="center"/>
    </xf>
    <xf numFmtId="0" fontId="120" fillId="76" borderId="96" xfId="20952" applyFont="1" applyFill="1" applyBorder="1">
      <alignment vertical="center"/>
    </xf>
    <xf numFmtId="0" fontId="120" fillId="3" borderId="96" xfId="20952" applyFont="1" applyFill="1" applyBorder="1">
      <alignment vertical="center"/>
    </xf>
    <xf numFmtId="0" fontId="94" fillId="69" borderId="92" xfId="20952" applyFont="1" applyFill="1" applyBorder="1" applyAlignment="1">
      <alignment horizontal="center" vertical="center"/>
    </xf>
    <xf numFmtId="0" fontId="94" fillId="69" borderId="93" xfId="20952" applyFont="1" applyFill="1" applyBorder="1" applyAlignment="1">
      <alignment horizontal="left" vertical="center" wrapText="1"/>
    </xf>
    <xf numFmtId="164" fontId="94" fillId="0" borderId="94" xfId="7" applyNumberFormat="1" applyFont="1" applyFill="1" applyBorder="1" applyAlignment="1" applyProtection="1">
      <alignment horizontal="right" vertical="center"/>
      <protection locked="0"/>
    </xf>
    <xf numFmtId="0" fontId="120" fillId="76" borderId="94" xfId="20952" applyFont="1" applyFill="1" applyBorder="1" applyAlignment="1">
      <alignment horizontal="center" vertical="center"/>
    </xf>
    <xf numFmtId="0" fontId="120" fillId="76" borderId="96" xfId="20952" applyFont="1" applyFill="1" applyBorder="1" applyAlignment="1">
      <alignment vertical="top" wrapText="1"/>
    </xf>
    <xf numFmtId="0" fontId="94" fillId="69" borderId="96" xfId="20952" applyFont="1" applyFill="1" applyBorder="1" applyAlignment="1">
      <alignment vertical="center" wrapText="1"/>
    </xf>
    <xf numFmtId="0" fontId="94" fillId="69" borderId="93" xfId="20952" applyFont="1" applyFill="1" applyBorder="1" applyAlignment="1">
      <alignment horizontal="left" vertical="center"/>
    </xf>
    <xf numFmtId="360" fontId="94" fillId="0" borderId="94" xfId="7" applyNumberFormat="1" applyFont="1" applyFill="1" applyBorder="1" applyAlignment="1" applyProtection="1">
      <alignment horizontal="right" vertical="center"/>
      <protection locked="0"/>
    </xf>
    <xf numFmtId="0" fontId="94" fillId="3" borderId="92" xfId="20952" applyFont="1" applyFill="1" applyBorder="1" applyAlignment="1">
      <alignment horizontal="center" vertical="center"/>
    </xf>
    <xf numFmtId="164" fontId="94" fillId="76" borderId="94" xfId="7" applyNumberFormat="1" applyFont="1" applyFill="1" applyBorder="1" applyAlignment="1" applyProtection="1">
      <alignment horizontal="right" vertical="center"/>
      <protection locked="0"/>
    </xf>
    <xf numFmtId="164" fontId="94" fillId="3" borderId="94" xfId="7" applyNumberFormat="1" applyFont="1" applyFill="1" applyBorder="1" applyAlignment="1" applyProtection="1">
      <alignment horizontal="right" vertical="center"/>
      <protection locked="0"/>
    </xf>
    <xf numFmtId="0" fontId="94" fillId="69" borderId="94" xfId="20952" applyFont="1" applyFill="1" applyBorder="1" applyAlignment="1">
      <alignment horizontal="center" vertical="center"/>
    </xf>
    <xf numFmtId="0" fontId="350" fillId="0" borderId="0" xfId="0" applyFont="1" applyAlignment="1">
      <alignment wrapText="1"/>
    </xf>
    <xf numFmtId="0" fontId="106" fillId="69" borderId="197" xfId="20952" applyFont="1" applyFill="1" applyBorder="1" applyAlignment="1" applyProtection="1">
      <alignment horizontal="center" vertical="center"/>
      <protection locked="0"/>
    </xf>
    <xf numFmtId="0" fontId="107" fillId="76" borderId="190" xfId="20952" applyFont="1" applyFill="1" applyBorder="1" applyAlignment="1" applyProtection="1">
      <alignment horizontal="center" vertical="center"/>
      <protection locked="0"/>
    </xf>
    <xf numFmtId="10" fontId="84" fillId="0" borderId="3" xfId="20950" applyNumberFormat="1" applyFont="1" applyBorder="1" applyAlignment="1" applyProtection="1">
      <alignment vertical="center" wrapText="1"/>
      <protection locked="0"/>
    </xf>
    <xf numFmtId="10" fontId="84" fillId="0" borderId="18" xfId="20950" applyNumberFormat="1" applyFont="1" applyBorder="1" applyAlignment="1" applyProtection="1">
      <alignment vertical="center" wrapText="1"/>
      <protection locked="0"/>
    </xf>
    <xf numFmtId="191" fontId="2" fillId="152" borderId="3" xfId="0" applyNumberFormat="1" applyFont="1" applyFill="1" applyBorder="1" applyAlignment="1" applyProtection="1">
      <alignment horizontal="right" vertical="center" wrapText="1"/>
      <protection locked="0"/>
    </xf>
    <xf numFmtId="191" fontId="84" fillId="152" borderId="3" xfId="0" applyNumberFormat="1" applyFont="1" applyFill="1" applyBorder="1" applyAlignment="1" applyProtection="1">
      <alignment vertical="center" wrapText="1"/>
      <protection locked="0"/>
    </xf>
    <xf numFmtId="191" fontId="84" fillId="152" borderId="18" xfId="0" applyNumberFormat="1" applyFont="1" applyFill="1" applyBorder="1" applyAlignment="1" applyProtection="1">
      <alignment vertical="center" wrapText="1"/>
      <protection locked="0"/>
    </xf>
    <xf numFmtId="10" fontId="2" fillId="2" borderId="3" xfId="20950" applyNumberFormat="1" applyFont="1" applyFill="1" applyBorder="1" applyAlignment="1" applyProtection="1">
      <alignment vertical="center"/>
      <protection locked="0"/>
    </xf>
    <xf numFmtId="10" fontId="87" fillId="2" borderId="3" xfId="20950" applyNumberFormat="1" applyFont="1" applyFill="1" applyBorder="1" applyAlignment="1" applyProtection="1">
      <alignment vertical="center"/>
      <protection locked="0"/>
    </xf>
    <xf numFmtId="10" fontId="87" fillId="2" borderId="18" xfId="20950" applyNumberFormat="1" applyFont="1" applyFill="1" applyBorder="1" applyAlignment="1" applyProtection="1">
      <alignment vertical="center"/>
      <protection locked="0"/>
    </xf>
    <xf numFmtId="10" fontId="84" fillId="0" borderId="3" xfId="20950" applyNumberFormat="1" applyFont="1" applyBorder="1" applyAlignment="1" applyProtection="1">
      <alignment horizontal="center" vertical="center" wrapText="1"/>
      <protection locked="0"/>
    </xf>
    <xf numFmtId="10" fontId="84" fillId="0" borderId="18" xfId="20950" applyNumberFormat="1" applyFont="1" applyBorder="1" applyAlignment="1" applyProtection="1">
      <alignment horizontal="center" vertical="center" wrapText="1"/>
      <protection locked="0"/>
    </xf>
    <xf numFmtId="10" fontId="2" fillId="0" borderId="3" xfId="20950" applyNumberFormat="1" applyFont="1" applyBorder="1" applyAlignment="1" applyProtection="1">
      <alignment horizontal="center" vertical="center" wrapText="1"/>
      <protection locked="0"/>
    </xf>
    <xf numFmtId="10" fontId="2" fillId="2" borderId="92" xfId="20950" applyNumberFormat="1" applyFont="1" applyFill="1" applyBorder="1" applyAlignment="1" applyProtection="1">
      <alignment vertical="center"/>
      <protection locked="0"/>
    </xf>
    <xf numFmtId="10" fontId="87" fillId="2" borderId="92" xfId="20950" applyNumberFormat="1" applyFont="1" applyFill="1" applyBorder="1" applyAlignment="1" applyProtection="1">
      <alignment vertical="center"/>
      <protection locked="0"/>
    </xf>
    <xf numFmtId="10" fontId="87" fillId="2" borderId="87" xfId="20950" applyNumberFormat="1" applyFont="1" applyFill="1" applyBorder="1" applyAlignment="1" applyProtection="1">
      <alignment vertical="center"/>
      <protection locked="0"/>
    </xf>
    <xf numFmtId="10" fontId="2" fillId="2" borderId="21" xfId="20950" applyNumberFormat="1" applyFont="1" applyFill="1" applyBorder="1" applyAlignment="1" applyProtection="1">
      <alignment vertical="center"/>
      <protection locked="0"/>
    </xf>
    <xf numFmtId="10" fontId="87" fillId="2" borderId="21" xfId="20950" applyNumberFormat="1" applyFont="1" applyFill="1" applyBorder="1" applyAlignment="1" applyProtection="1">
      <alignment vertical="center"/>
      <protection locked="0"/>
    </xf>
    <xf numFmtId="10" fontId="87" fillId="2" borderId="22" xfId="20950" applyNumberFormat="1" applyFont="1" applyFill="1" applyBorder="1" applyAlignment="1" applyProtection="1">
      <alignment vertical="center"/>
      <protection locked="0"/>
    </xf>
    <xf numFmtId="164" fontId="350" fillId="0" borderId="109" xfId="7" applyNumberFormat="1" applyFont="1" applyBorder="1"/>
    <xf numFmtId="164" fontId="350" fillId="35" borderId="109" xfId="7" applyNumberFormat="1" applyFont="1" applyFill="1" applyBorder="1"/>
    <xf numFmtId="164" fontId="350" fillId="0" borderId="109" xfId="7" applyNumberFormat="1" applyFont="1" applyBorder="1" applyAlignment="1">
      <alignment vertical="center"/>
    </xf>
    <xf numFmtId="164" fontId="350" fillId="35" borderId="109" xfId="7" applyNumberFormat="1" applyFont="1" applyFill="1" applyBorder="1" applyAlignment="1">
      <alignment vertical="center"/>
    </xf>
    <xf numFmtId="164" fontId="350" fillId="0" borderId="122" xfId="7" applyNumberFormat="1" applyFont="1" applyBorder="1"/>
    <xf numFmtId="164" fontId="350" fillId="35" borderId="122" xfId="7" applyNumberFormat="1" applyFont="1" applyFill="1" applyBorder="1"/>
    <xf numFmtId="164" fontId="0" fillId="0" borderId="190" xfId="7" applyNumberFormat="1" applyFont="1" applyBorder="1"/>
    <xf numFmtId="0" fontId="0" fillId="0" borderId="190" xfId="0" applyBorder="1" applyAlignment="1">
      <alignment vertical="center"/>
    </xf>
    <xf numFmtId="164" fontId="0" fillId="35" borderId="122" xfId="7" applyNumberFormat="1" applyFont="1" applyFill="1" applyBorder="1"/>
    <xf numFmtId="164" fontId="0" fillId="35" borderId="190" xfId="7" applyNumberFormat="1" applyFont="1" applyFill="1" applyBorder="1"/>
    <xf numFmtId="164" fontId="94" fillId="0" borderId="190" xfId="7" applyNumberFormat="1" applyFont="1" applyBorder="1" applyAlignment="1">
      <alignment horizontal="right"/>
    </xf>
    <xf numFmtId="164" fontId="94" fillId="35" borderId="79" xfId="7" applyNumberFormat="1" applyFont="1" applyFill="1" applyBorder="1" applyAlignment="1">
      <alignment horizontal="right"/>
    </xf>
    <xf numFmtId="0" fontId="2" fillId="0" borderId="203" xfId="0" applyFont="1" applyBorder="1" applyAlignment="1">
      <alignment vertical="center"/>
    </xf>
    <xf numFmtId="0" fontId="2" fillId="0" borderId="204" xfId="0" applyFont="1" applyBorder="1" applyAlignment="1">
      <alignment wrapText="1"/>
    </xf>
    <xf numFmtId="0" fontId="84" fillId="0" borderId="205" xfId="0" applyFont="1" applyBorder="1"/>
    <xf numFmtId="0" fontId="2" fillId="0" borderId="84" xfId="0" applyFont="1" applyBorder="1" applyAlignment="1">
      <alignment vertical="center"/>
    </xf>
    <xf numFmtId="0" fontId="85" fillId="0" borderId="206" xfId="0" applyFont="1" applyBorder="1"/>
    <xf numFmtId="0" fontId="362" fillId="0" borderId="204" xfId="0" applyFont="1" applyBorder="1" applyAlignment="1">
      <alignment wrapText="1"/>
    </xf>
    <xf numFmtId="0" fontId="6" fillId="0" borderId="206" xfId="17" applyBorder="1" applyAlignment="1" applyProtection="1"/>
    <xf numFmtId="0" fontId="2" fillId="0" borderId="205" xfId="0" applyFont="1" applyBorder="1"/>
    <xf numFmtId="0" fontId="363" fillId="0" borderId="204" xfId="0" applyFont="1" applyBorder="1" applyAlignment="1">
      <alignment wrapText="1"/>
    </xf>
    <xf numFmtId="0" fontId="363" fillId="0" borderId="187" xfId="0" applyFont="1" applyBorder="1" applyAlignment="1">
      <alignment wrapText="1"/>
    </xf>
    <xf numFmtId="0" fontId="363" fillId="0" borderId="208" xfId="0" applyFont="1" applyBorder="1" applyAlignment="1">
      <alignment wrapText="1"/>
    </xf>
    <xf numFmtId="10" fontId="3" fillId="0" borderId="209" xfId="20950" applyNumberFormat="1" applyFont="1" applyBorder="1"/>
    <xf numFmtId="0" fontId="2" fillId="0" borderId="206" xfId="0" applyFont="1" applyBorder="1" applyAlignment="1">
      <alignment wrapText="1"/>
    </xf>
    <xf numFmtId="164" fontId="4" fillId="0" borderId="206" xfId="7" applyNumberFormat="1" applyFont="1" applyFill="1" applyBorder="1" applyAlignment="1">
      <alignment vertical="center" wrapText="1"/>
    </xf>
    <xf numFmtId="43" fontId="3" fillId="0" borderId="206" xfId="7" applyFont="1" applyFill="1" applyBorder="1" applyAlignment="1">
      <alignment vertical="center" wrapText="1"/>
    </xf>
    <xf numFmtId="43" fontId="4" fillId="0" borderId="206" xfId="7" applyFont="1" applyFill="1" applyBorder="1" applyAlignment="1">
      <alignment vertical="center" wrapText="1"/>
    </xf>
    <xf numFmtId="164" fontId="3" fillId="0" borderId="206" xfId="7" applyNumberFormat="1" applyFont="1" applyBorder="1" applyAlignment="1">
      <alignment vertical="center"/>
    </xf>
    <xf numFmtId="43" fontId="3" fillId="0" borderId="206" xfId="7" applyFont="1" applyBorder="1" applyAlignment="1">
      <alignment vertical="center"/>
    </xf>
    <xf numFmtId="164" fontId="4" fillId="0" borderId="206" xfId="7" applyNumberFormat="1" applyFont="1" applyBorder="1" applyAlignment="1">
      <alignment vertical="center"/>
    </xf>
    <xf numFmtId="164" fontId="3" fillId="0" borderId="79" xfId="7" applyNumberFormat="1" applyFont="1" applyBorder="1" applyAlignment="1">
      <alignment horizontal="right" vertical="center" wrapText="1"/>
    </xf>
    <xf numFmtId="164" fontId="3" fillId="0" borderId="22" xfId="7" applyNumberFormat="1" applyFont="1" applyBorder="1" applyAlignment="1">
      <alignment horizontal="right" vertical="center" wrapText="1"/>
    </xf>
    <xf numFmtId="191" fontId="351" fillId="0" borderId="210" xfId="0" applyNumberFormat="1" applyFont="1" applyBorder="1" applyAlignment="1">
      <alignment horizontal="center" vertical="center"/>
    </xf>
    <xf numFmtId="191" fontId="350" fillId="0" borderId="11" xfId="0" applyNumberFormat="1" applyFont="1" applyBorder="1" applyAlignment="1">
      <alignment horizontal="center" vertical="center"/>
    </xf>
    <xf numFmtId="191" fontId="351" fillId="0" borderId="11" xfId="0" applyNumberFormat="1" applyFont="1" applyBorder="1" applyAlignment="1">
      <alignment horizontal="center" vertical="center"/>
    </xf>
    <xf numFmtId="191" fontId="132" fillId="0" borderId="11" xfId="0" applyNumberFormat="1" applyFont="1" applyBorder="1" applyAlignment="1">
      <alignment horizontal="center" vertical="center"/>
    </xf>
    <xf numFmtId="191" fontId="364" fillId="0" borderId="11" xfId="0" applyNumberFormat="1" applyFont="1" applyBorder="1" applyAlignment="1">
      <alignment horizontal="center" vertical="center"/>
    </xf>
    <xf numFmtId="191" fontId="350" fillId="0" borderId="12" xfId="0" applyNumberFormat="1" applyFont="1" applyBorder="1" applyAlignment="1">
      <alignment horizontal="center" vertical="center"/>
    </xf>
    <xf numFmtId="191" fontId="351" fillId="0" borderId="13" xfId="0" applyNumberFormat="1" applyFont="1" applyBorder="1" applyAlignment="1">
      <alignment horizontal="center" vertical="center"/>
    </xf>
    <xf numFmtId="191" fontId="351" fillId="0" borderId="12" xfId="0" applyNumberFormat="1" applyFont="1" applyBorder="1" applyAlignment="1">
      <alignment horizontal="center" vertical="center"/>
    </xf>
    <xf numFmtId="167" fontId="350" fillId="0" borderId="56" xfId="0" applyNumberFormat="1" applyFont="1" applyBorder="1" applyAlignment="1">
      <alignment horizontal="center"/>
    </xf>
    <xf numFmtId="167" fontId="350" fillId="0" borderId="59" xfId="0" applyNumberFormat="1" applyFont="1" applyBorder="1" applyAlignment="1">
      <alignment horizontal="center"/>
    </xf>
    <xf numFmtId="167" fontId="350" fillId="0" borderId="60" xfId="0" applyNumberFormat="1" applyFont="1" applyBorder="1" applyAlignment="1">
      <alignment horizontal="center"/>
    </xf>
    <xf numFmtId="167" fontId="351" fillId="0" borderId="211" xfId="0" applyNumberFormat="1" applyFont="1" applyBorder="1" applyAlignment="1">
      <alignment horizontal="center"/>
    </xf>
    <xf numFmtId="167" fontId="350" fillId="0" borderId="206" xfId="0" applyNumberFormat="1" applyFont="1" applyBorder="1" applyAlignment="1">
      <alignment horizontal="center"/>
    </xf>
    <xf numFmtId="0" fontId="350" fillId="0" borderId="206" xfId="0" applyFont="1" applyBorder="1"/>
    <xf numFmtId="164" fontId="3" fillId="0" borderId="204" xfId="7" applyNumberFormat="1" applyFont="1" applyBorder="1" applyAlignment="1">
      <alignment vertical="center"/>
    </xf>
    <xf numFmtId="164" fontId="4" fillId="0" borderId="204" xfId="7" applyNumberFormat="1" applyFont="1" applyBorder="1" applyAlignment="1">
      <alignment vertical="center"/>
    </xf>
    <xf numFmtId="164" fontId="4" fillId="0" borderId="83" xfId="7" applyNumberFormat="1" applyFont="1" applyBorder="1" applyAlignment="1">
      <alignment vertical="center"/>
    </xf>
    <xf numFmtId="164" fontId="4" fillId="0" borderId="62" xfId="7" applyNumberFormat="1" applyFont="1" applyBorder="1" applyAlignment="1">
      <alignment vertical="center"/>
    </xf>
    <xf numFmtId="164" fontId="3" fillId="3" borderId="192" xfId="7" applyNumberFormat="1" applyFont="1" applyFill="1" applyBorder="1" applyAlignment="1">
      <alignment vertical="center"/>
    </xf>
    <xf numFmtId="164" fontId="3" fillId="3" borderId="205" xfId="7" applyNumberFormat="1" applyFont="1" applyFill="1" applyBorder="1" applyAlignment="1">
      <alignment vertical="center"/>
    </xf>
    <xf numFmtId="164" fontId="3" fillId="0" borderId="207" xfId="7" applyNumberFormat="1" applyFont="1" applyBorder="1" applyAlignment="1">
      <alignment vertical="center"/>
    </xf>
    <xf numFmtId="164" fontId="4" fillId="0" borderId="212" xfId="7" applyNumberFormat="1" applyFont="1" applyBorder="1" applyAlignment="1">
      <alignment vertical="center"/>
    </xf>
    <xf numFmtId="164" fontId="4" fillId="0" borderId="208" xfId="7" applyNumberFormat="1" applyFont="1" applyBorder="1" applyAlignment="1">
      <alignment vertical="center"/>
    </xf>
    <xf numFmtId="164" fontId="3" fillId="0" borderId="83" xfId="7" applyNumberFormat="1" applyFont="1" applyBorder="1" applyAlignment="1">
      <alignment vertical="center"/>
    </xf>
    <xf numFmtId="164" fontId="4" fillId="3" borderId="206" xfId="0" applyNumberFormat="1" applyFont="1" applyFill="1" applyBorder="1" applyAlignment="1">
      <alignment vertical="center"/>
    </xf>
    <xf numFmtId="164" fontId="3" fillId="3" borderId="187" xfId="7" applyNumberFormat="1" applyFont="1" applyFill="1" applyBorder="1" applyAlignment="1">
      <alignment vertical="center"/>
    </xf>
    <xf numFmtId="164" fontId="3" fillId="3" borderId="206" xfId="7" applyNumberFormat="1" applyFont="1" applyFill="1" applyBorder="1" applyAlignment="1">
      <alignment vertical="center"/>
    </xf>
    <xf numFmtId="10" fontId="3" fillId="3" borderId="90" xfId="20950" applyNumberFormat="1" applyFont="1" applyFill="1" applyBorder="1" applyAlignment="1">
      <alignment vertical="center"/>
    </xf>
    <xf numFmtId="10" fontId="3" fillId="3" borderId="206" xfId="20950" applyNumberFormat="1" applyFont="1" applyFill="1" applyBorder="1" applyAlignment="1">
      <alignment vertical="center"/>
    </xf>
    <xf numFmtId="164" fontId="3" fillId="3" borderId="25" xfId="7" applyNumberFormat="1" applyFont="1" applyFill="1" applyBorder="1" applyAlignment="1">
      <alignment vertical="center"/>
    </xf>
    <xf numFmtId="164" fontId="4" fillId="3" borderId="25" xfId="0" applyNumberFormat="1" applyFont="1" applyFill="1" applyBorder="1" applyAlignment="1">
      <alignment vertical="center"/>
    </xf>
    <xf numFmtId="164" fontId="131" fillId="3" borderId="190" xfId="7" applyNumberFormat="1" applyFont="1" applyFill="1" applyBorder="1" applyProtection="1">
      <protection locked="0"/>
    </xf>
    <xf numFmtId="164" fontId="365" fillId="0" borderId="94" xfId="7" applyNumberFormat="1" applyFont="1" applyFill="1" applyBorder="1" applyAlignment="1" applyProtection="1">
      <alignment horizontal="right" vertical="center"/>
      <protection locked="0"/>
    </xf>
    <xf numFmtId="10" fontId="94" fillId="0" borderId="94" xfId="20950" applyNumberFormat="1" applyFont="1" applyFill="1" applyBorder="1" applyAlignment="1" applyProtection="1">
      <alignment horizontal="right" vertical="center"/>
      <protection locked="0"/>
    </xf>
    <xf numFmtId="164" fontId="114" fillId="0" borderId="206" xfId="7" applyNumberFormat="1" applyFont="1" applyBorder="1"/>
    <xf numFmtId="164" fontId="110" fillId="0" borderId="206" xfId="7" applyNumberFormat="1" applyFont="1" applyBorder="1"/>
    <xf numFmtId="164" fontId="113" fillId="0" borderId="206" xfId="7" applyNumberFormat="1" applyFont="1" applyBorder="1"/>
    <xf numFmtId="164" fontId="110" fillId="0" borderId="122" xfId="7" applyNumberFormat="1" applyFont="1" applyBorder="1"/>
    <xf numFmtId="164" fontId="113" fillId="0" borderId="122" xfId="7" applyNumberFormat="1" applyFont="1" applyBorder="1"/>
    <xf numFmtId="164" fontId="111" fillId="0" borderId="206" xfId="7" applyNumberFormat="1" applyFont="1" applyBorder="1"/>
    <xf numFmtId="164" fontId="114" fillId="0" borderId="122" xfId="7" applyNumberFormat="1" applyFont="1" applyBorder="1"/>
    <xf numFmtId="0" fontId="110" fillId="0" borderId="206" xfId="0" applyFont="1" applyBorder="1" applyAlignment="1">
      <alignment horizontal="left" indent="1"/>
    </xf>
    <xf numFmtId="164" fontId="110" fillId="0" borderId="206" xfId="0" applyNumberFormat="1" applyFont="1" applyBorder="1" applyAlignment="1">
      <alignment horizontal="left" indent="1"/>
    </xf>
    <xf numFmtId="164" fontId="113" fillId="0" borderId="206" xfId="0" applyNumberFormat="1" applyFont="1" applyBorder="1" applyAlignment="1">
      <alignment horizontal="left" indent="1"/>
    </xf>
    <xf numFmtId="164" fontId="113" fillId="0" borderId="206" xfId="0" applyNumberFormat="1" applyFont="1" applyBorder="1"/>
    <xf numFmtId="0" fontId="110" fillId="0" borderId="206" xfId="0" applyFont="1" applyBorder="1"/>
    <xf numFmtId="0" fontId="113" fillId="0" borderId="206" xfId="0" applyFont="1" applyBorder="1"/>
    <xf numFmtId="0" fontId="113" fillId="151" borderId="206" xfId="0" applyFont="1" applyFill="1" applyBorder="1"/>
    <xf numFmtId="164" fontId="113" fillId="0" borderId="65" xfId="7" applyNumberFormat="1" applyFont="1" applyBorder="1"/>
    <xf numFmtId="164" fontId="110" fillId="0" borderId="65" xfId="7" applyNumberFormat="1" applyFont="1" applyBorder="1"/>
    <xf numFmtId="164" fontId="110" fillId="0" borderId="212" xfId="7" applyNumberFormat="1" applyFont="1" applyBorder="1"/>
    <xf numFmtId="164" fontId="110" fillId="0" borderId="209" xfId="7" applyNumberFormat="1" applyFont="1" applyBorder="1"/>
    <xf numFmtId="164" fontId="113" fillId="0" borderId="206" xfId="7" applyNumberFormat="1" applyFont="1" applyBorder="1" applyAlignment="1">
      <alignment horizontal="left" vertical="center" wrapText="1"/>
    </xf>
    <xf numFmtId="164" fontId="110" fillId="0" borderId="206" xfId="7" applyNumberFormat="1" applyFont="1" applyBorder="1" applyAlignment="1">
      <alignment horizontal="center" vertical="center" wrapText="1"/>
    </xf>
    <xf numFmtId="164" fontId="110" fillId="0" borderId="206" xfId="7" applyNumberFormat="1" applyFont="1" applyBorder="1" applyAlignment="1">
      <alignment horizontal="center" vertical="center"/>
    </xf>
    <xf numFmtId="164" fontId="113" fillId="0" borderId="206" xfId="0" applyNumberFormat="1" applyFont="1" applyBorder="1" applyAlignment="1">
      <alignment horizontal="center" vertical="center"/>
    </xf>
    <xf numFmtId="164" fontId="115" fillId="0" borderId="206" xfId="7" applyNumberFormat="1" applyFont="1" applyBorder="1"/>
    <xf numFmtId="164" fontId="366" fillId="0" borderId="206" xfId="0" applyNumberFormat="1" applyFont="1" applyBorder="1"/>
    <xf numFmtId="164" fontId="366" fillId="0" borderId="206" xfId="7" applyNumberFormat="1" applyFont="1" applyBorder="1"/>
    <xf numFmtId="164" fontId="115" fillId="0" borderId="197" xfId="7" applyNumberFormat="1" applyFont="1" applyBorder="1"/>
    <xf numFmtId="164" fontId="368" fillId="0" borderId="109" xfId="7" applyNumberFormat="1" applyFont="1" applyBorder="1"/>
    <xf numFmtId="164" fontId="109" fillId="0" borderId="190" xfId="7" applyNumberFormat="1" applyFont="1" applyBorder="1"/>
    <xf numFmtId="164" fontId="351" fillId="0" borderId="109" xfId="7" applyNumberFormat="1" applyFont="1" applyBorder="1"/>
    <xf numFmtId="0" fontId="109" fillId="0" borderId="190" xfId="0" applyFont="1" applyBorder="1"/>
    <xf numFmtId="164" fontId="351" fillId="0" borderId="122" xfId="7" applyNumberFormat="1" applyFont="1" applyBorder="1"/>
    <xf numFmtId="191" fontId="120" fillId="0" borderId="190" xfId="0" applyNumberFormat="1" applyFont="1" applyBorder="1" applyAlignment="1">
      <alignment horizontal="right"/>
    </xf>
    <xf numFmtId="164" fontId="120" fillId="0" borderId="190" xfId="7" applyNumberFormat="1" applyFont="1" applyBorder="1" applyAlignment="1">
      <alignment horizontal="right"/>
    </xf>
    <xf numFmtId="164" fontId="4" fillId="0" borderId="94" xfId="7" applyNumberFormat="1" applyFont="1" applyBorder="1"/>
    <xf numFmtId="10" fontId="3" fillId="0" borderId="190" xfId="20950" applyNumberFormat="1" applyFont="1" applyFill="1" applyBorder="1" applyAlignment="1" applyProtection="1">
      <alignment horizontal="right" vertical="center" wrapText="1"/>
      <protection locked="0"/>
    </xf>
    <xf numFmtId="164" fontId="0" fillId="0" borderId="190" xfId="7" applyNumberFormat="1" applyFont="1" applyFill="1" applyBorder="1"/>
    <xf numFmtId="0" fontId="363" fillId="0" borderId="186" xfId="0" applyFont="1" applyBorder="1" applyAlignment="1">
      <alignment wrapText="1"/>
    </xf>
    <xf numFmtId="10" fontId="3" fillId="0" borderId="213" xfId="20950" applyNumberFormat="1" applyFont="1" applyBorder="1"/>
    <xf numFmtId="10" fontId="3" fillId="0" borderId="214" xfId="20950" applyNumberFormat="1" applyFont="1" applyBorder="1"/>
    <xf numFmtId="164" fontId="3" fillId="0" borderId="190" xfId="7" applyNumberFormat="1" applyFont="1" applyFill="1" applyBorder="1" applyAlignment="1">
      <alignment vertical="center" wrapText="1"/>
    </xf>
    <xf numFmtId="164" fontId="4" fillId="0" borderId="190" xfId="7" applyNumberFormat="1" applyFont="1" applyFill="1" applyBorder="1" applyAlignment="1">
      <alignment vertical="center" wrapText="1"/>
    </xf>
    <xf numFmtId="164" fontId="3" fillId="0" borderId="190" xfId="7" applyNumberFormat="1" applyFont="1" applyBorder="1" applyAlignment="1">
      <alignment vertical="center"/>
    </xf>
    <xf numFmtId="43" fontId="3" fillId="0" borderId="190" xfId="7" applyFont="1" applyBorder="1" applyAlignment="1">
      <alignment vertical="center"/>
    </xf>
    <xf numFmtId="164" fontId="4" fillId="0" borderId="190" xfId="7" applyNumberFormat="1" applyFont="1" applyBorder="1" applyAlignment="1">
      <alignment vertical="center"/>
    </xf>
    <xf numFmtId="191" fontId="96" fillId="3" borderId="213" xfId="2" applyNumberFormat="1" applyFont="1" applyFill="1" applyBorder="1" applyAlignment="1" applyProtection="1">
      <alignment vertical="top"/>
      <protection locked="0"/>
    </xf>
    <xf numFmtId="3" fontId="367" fillId="3" borderId="190" xfId="2" applyNumberFormat="1" applyFont="1" applyFill="1" applyBorder="1" applyAlignment="1" applyProtection="1">
      <alignment vertical="top"/>
      <protection locked="0"/>
    </xf>
    <xf numFmtId="191" fontId="96" fillId="3" borderId="213" xfId="2" applyNumberFormat="1" applyFont="1" applyFill="1" applyBorder="1" applyAlignment="1" applyProtection="1">
      <alignment vertical="top" wrapText="1"/>
      <protection locked="0"/>
    </xf>
    <xf numFmtId="10" fontId="100" fillId="0" borderId="190" xfId="20950" applyNumberFormat="1" applyFont="1" applyFill="1" applyBorder="1" applyAlignment="1">
      <alignment horizontal="left" vertical="center" wrapText="1"/>
    </xf>
    <xf numFmtId="191" fontId="351" fillId="0" borderId="215" xfId="0" applyNumberFormat="1" applyFont="1" applyBorder="1" applyAlignment="1">
      <alignment horizontal="center" vertical="center"/>
    </xf>
    <xf numFmtId="191" fontId="350" fillId="0" borderId="190" xfId="0" applyNumberFormat="1" applyFont="1" applyBorder="1" applyAlignment="1">
      <alignment horizontal="center" vertical="center"/>
    </xf>
    <xf numFmtId="191" fontId="351" fillId="0" borderId="190" xfId="0" applyNumberFormat="1" applyFont="1" applyBorder="1" applyAlignment="1">
      <alignment horizontal="center" vertical="center"/>
    </xf>
    <xf numFmtId="0" fontId="350" fillId="0" borderId="190" xfId="0" applyFont="1" applyBorder="1" applyAlignment="1">
      <alignment horizontal="center"/>
    </xf>
    <xf numFmtId="0" fontId="350" fillId="0" borderId="190" xfId="0" applyFont="1" applyBorder="1"/>
    <xf numFmtId="0" fontId="351" fillId="0" borderId="190" xfId="0" applyFont="1" applyBorder="1" applyAlignment="1">
      <alignment horizontal="center" vertical="center"/>
    </xf>
    <xf numFmtId="0" fontId="350" fillId="0" borderId="190" xfId="0" applyFont="1" applyBorder="1" applyAlignment="1">
      <alignment horizontal="center" vertical="center"/>
    </xf>
    <xf numFmtId="167" fontId="350" fillId="0" borderId="216" xfId="0" applyNumberFormat="1" applyFont="1" applyBorder="1" applyAlignment="1">
      <alignment horizontal="center"/>
    </xf>
    <xf numFmtId="164" fontId="3" fillId="0" borderId="213" xfId="7" applyNumberFormat="1" applyFont="1" applyBorder="1"/>
    <xf numFmtId="164" fontId="3" fillId="0" borderId="190" xfId="7" applyNumberFormat="1" applyFont="1" applyFill="1" applyBorder="1"/>
    <xf numFmtId="164" fontId="3" fillId="0" borderId="190" xfId="7" applyNumberFormat="1" applyFont="1" applyBorder="1" applyAlignment="1"/>
    <xf numFmtId="164" fontId="3" fillId="0" borderId="190" xfId="7" applyNumberFormat="1" applyFont="1" applyBorder="1"/>
    <xf numFmtId="164" fontId="3" fillId="0" borderId="190" xfId="7" applyNumberFormat="1" applyFont="1" applyFill="1" applyBorder="1" applyAlignment="1"/>
    <xf numFmtId="164" fontId="4" fillId="0" borderId="190" xfId="7" applyNumberFormat="1" applyFont="1" applyFill="1" applyBorder="1"/>
    <xf numFmtId="164" fontId="4" fillId="0" borderId="190" xfId="7" applyNumberFormat="1" applyFont="1" applyFill="1" applyBorder="1" applyAlignment="1">
      <alignment vertical="center"/>
    </xf>
    <xf numFmtId="164" fontId="4" fillId="0" borderId="213" xfId="7" applyNumberFormat="1" applyFont="1" applyBorder="1"/>
    <xf numFmtId="164" fontId="4" fillId="0" borderId="190" xfId="7" applyNumberFormat="1" applyFont="1" applyBorder="1"/>
    <xf numFmtId="164" fontId="110" fillId="0" borderId="190" xfId="7" applyNumberFormat="1" applyFont="1" applyBorder="1"/>
    <xf numFmtId="164" fontId="113" fillId="0" borderId="190" xfId="0" applyNumberFormat="1" applyFont="1" applyBorder="1"/>
    <xf numFmtId="0" fontId="110" fillId="0" borderId="190" xfId="0" applyFont="1" applyBorder="1"/>
    <xf numFmtId="0" fontId="113" fillId="0" borderId="190" xfId="0" applyFont="1" applyBorder="1"/>
    <xf numFmtId="164" fontId="113" fillId="0" borderId="190" xfId="7" applyNumberFormat="1" applyFont="1" applyBorder="1"/>
    <xf numFmtId="164" fontId="110" fillId="0" borderId="190" xfId="7" applyNumberFormat="1" applyFont="1" applyBorder="1" applyAlignment="1">
      <alignment horizontal="left" indent="1"/>
    </xf>
    <xf numFmtId="164" fontId="110" fillId="0" borderId="213" xfId="7" applyNumberFormat="1" applyFont="1" applyBorder="1"/>
    <xf numFmtId="164" fontId="113" fillId="0" borderId="184" xfId="7" applyNumberFormat="1" applyFont="1" applyBorder="1" applyAlignment="1">
      <alignment horizontal="left" indent="2"/>
    </xf>
    <xf numFmtId="164" fontId="110" fillId="0" borderId="184" xfId="7" applyNumberFormat="1" applyFont="1" applyBorder="1" applyAlignment="1">
      <alignment horizontal="left" indent="3"/>
    </xf>
    <xf numFmtId="164" fontId="110" fillId="0" borderId="184" xfId="7" applyNumberFormat="1" applyFont="1" applyBorder="1" applyAlignment="1">
      <alignment horizontal="left" indent="1"/>
    </xf>
    <xf numFmtId="164" fontId="110" fillId="78" borderId="184" xfId="7" applyNumberFormat="1" applyFont="1" applyFill="1" applyBorder="1"/>
    <xf numFmtId="164" fontId="110" fillId="78" borderId="190" xfId="7" applyNumberFormat="1" applyFont="1" applyFill="1" applyBorder="1"/>
    <xf numFmtId="164" fontId="110" fillId="78" borderId="213" xfId="7" applyNumberFormat="1" applyFont="1" applyFill="1" applyBorder="1"/>
    <xf numFmtId="164" fontId="115" fillId="0" borderId="190" xfId="7" applyNumberFormat="1" applyFont="1" applyBorder="1"/>
    <xf numFmtId="164" fontId="366" fillId="0" borderId="190" xfId="0" applyNumberFormat="1" applyFont="1" applyBorder="1"/>
    <xf numFmtId="164" fontId="366" fillId="0" borderId="190" xfId="7" applyNumberFormat="1" applyFont="1" applyBorder="1"/>
    <xf numFmtId="10" fontId="115" fillId="0" borderId="190" xfId="20950" applyNumberFormat="1" applyFont="1" applyBorder="1"/>
    <xf numFmtId="43" fontId="115" fillId="0" borderId="190" xfId="7" applyFont="1" applyBorder="1"/>
    <xf numFmtId="164" fontId="115" fillId="0" borderId="190" xfId="0" applyNumberFormat="1" applyFont="1" applyBorder="1"/>
    <xf numFmtId="0" fontId="93" fillId="0" borderId="64" xfId="0" applyFont="1" applyBorder="1" applyAlignment="1">
      <alignment horizontal="left" wrapText="1"/>
    </xf>
    <xf numFmtId="0" fontId="93" fillId="0" borderId="63" xfId="0" applyFont="1" applyBorder="1" applyAlignment="1">
      <alignment horizontal="left" wrapText="1"/>
    </xf>
    <xf numFmtId="0" fontId="93" fillId="0" borderId="130" xfId="0" applyFont="1" applyBorder="1" applyAlignment="1">
      <alignment horizontal="center" vertical="center"/>
    </xf>
    <xf numFmtId="0" fontId="93" fillId="0" borderId="29" xfId="0" applyFont="1" applyBorder="1" applyAlignment="1">
      <alignment horizontal="center" vertical="center"/>
    </xf>
    <xf numFmtId="0" fontId="93" fillId="0" borderId="131" xfId="0" applyFont="1" applyBorder="1" applyAlignment="1">
      <alignment horizontal="center" vertical="center"/>
    </xf>
    <xf numFmtId="164" fontId="350" fillId="0" borderId="123" xfId="7" applyNumberFormat="1" applyFont="1" applyBorder="1" applyAlignment="1">
      <alignment horizontal="center"/>
    </xf>
    <xf numFmtId="164" fontId="350" fillId="0" borderId="124" xfId="7" applyNumberFormat="1" applyFont="1" applyBorder="1" applyAlignment="1">
      <alignment horizontal="center"/>
    </xf>
    <xf numFmtId="164" fontId="350" fillId="0" borderId="125" xfId="7" applyNumberFormat="1" applyFont="1" applyBorder="1" applyAlignment="1">
      <alignment horizontal="center"/>
    </xf>
    <xf numFmtId="0" fontId="350" fillId="0" borderId="109" xfId="0" applyFont="1" applyBorder="1" applyAlignment="1">
      <alignment horizontal="center" vertical="center"/>
    </xf>
    <xf numFmtId="0" fontId="351" fillId="0" borderId="110" xfId="0" applyFont="1" applyBorder="1" applyAlignment="1">
      <alignment horizontal="center" vertical="center"/>
    </xf>
    <xf numFmtId="0" fontId="351" fillId="0" borderId="7" xfId="0" applyFont="1" applyBorder="1" applyAlignment="1">
      <alignment horizontal="center" vertical="center"/>
    </xf>
    <xf numFmtId="0" fontId="120" fillId="0" borderId="15" xfId="0" applyFont="1" applyBorder="1" applyAlignment="1">
      <alignment horizontal="center" vertical="center"/>
    </xf>
    <xf numFmtId="0" fontId="120" fillId="0" borderId="16" xfId="0" applyFont="1" applyBorder="1" applyAlignment="1">
      <alignment horizontal="center" vertical="center"/>
    </xf>
    <xf numFmtId="0" fontId="350" fillId="0" borderId="111" xfId="0" applyFont="1" applyBorder="1" applyAlignment="1">
      <alignment horizontal="center"/>
    </xf>
    <xf numFmtId="0" fontId="350" fillId="0" borderId="112" xfId="0" applyFont="1" applyBorder="1" applyAlignment="1">
      <alignment horizontal="center"/>
    </xf>
    <xf numFmtId="0" fontId="350" fillId="0" borderId="113" xfId="0" applyFont="1" applyBorder="1" applyAlignment="1">
      <alignment horizontal="center"/>
    </xf>
    <xf numFmtId="164" fontId="350" fillId="0" borderId="111" xfId="7" applyNumberFormat="1" applyFont="1" applyBorder="1" applyAlignment="1">
      <alignment horizontal="center"/>
    </xf>
    <xf numFmtId="164" fontId="350" fillId="0" borderId="112" xfId="7" applyNumberFormat="1" applyFont="1" applyBorder="1" applyAlignment="1">
      <alignment horizontal="center"/>
    </xf>
    <xf numFmtId="164" fontId="350" fillId="0" borderId="113" xfId="7" applyNumberFormat="1"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9" fillId="0" borderId="126" xfId="0" applyFont="1" applyBorder="1" applyAlignment="1">
      <alignment horizontal="center" vertical="center" wrapText="1"/>
    </xf>
    <xf numFmtId="0" fontId="119" fillId="0" borderId="7" xfId="0" applyFont="1" applyBorder="1" applyAlignment="1">
      <alignment horizontal="center" vertical="center" wrapText="1"/>
    </xf>
    <xf numFmtId="0" fontId="84" fillId="0" borderId="122" xfId="0" applyFont="1" applyBorder="1" applyAlignment="1">
      <alignment horizontal="center" vertical="center"/>
    </xf>
    <xf numFmtId="0" fontId="84" fillId="0" borderId="122" xfId="0" applyFont="1" applyBorder="1" applyAlignment="1">
      <alignment horizontal="center" vertical="center" wrapText="1"/>
    </xf>
    <xf numFmtId="0" fontId="45" fillId="0" borderId="15" xfId="0" applyFont="1" applyBorder="1" applyAlignment="1">
      <alignment horizontal="center" vertical="center"/>
    </xf>
    <xf numFmtId="0" fontId="45" fillId="0" borderId="16" xfId="0"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Border="1" applyAlignment="1">
      <alignment horizontal="center" vertical="center" wrapText="1"/>
    </xf>
    <xf numFmtId="0" fontId="84" fillId="0" borderId="78" xfId="0" applyFont="1" applyBorder="1" applyAlignment="1">
      <alignment horizontal="center" vertical="center" wrapText="1"/>
    </xf>
    <xf numFmtId="0" fontId="45" fillId="0" borderId="78" xfId="11" applyFont="1" applyBorder="1" applyAlignment="1">
      <alignment horizontal="center" vertical="center" wrapText="1"/>
    </xf>
    <xf numFmtId="0" fontId="45" fillId="0" borderId="79" xfId="11" applyFont="1" applyBorder="1" applyAlignment="1">
      <alignment horizontal="center" vertical="center" wrapText="1"/>
    </xf>
    <xf numFmtId="0" fontId="45" fillId="0" borderId="68"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2"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lignment horizontal="center" vertical="center" wrapText="1"/>
    </xf>
    <xf numFmtId="0" fontId="4" fillId="83" borderId="79"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69" xfId="13" applyFont="1" applyFill="1" applyBorder="1" applyAlignment="1" applyProtection="1">
      <alignment horizontal="center" vertical="center" wrapText="1"/>
      <protection locked="0"/>
    </xf>
    <xf numFmtId="0" fontId="98"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Border="1" applyAlignment="1">
      <alignment horizontal="center" vertical="center" wrapText="1"/>
    </xf>
    <xf numFmtId="0" fontId="3" fillId="0" borderId="62" xfId="0" applyFont="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2" xfId="0" applyFont="1" applyBorder="1" applyAlignment="1">
      <alignment horizontal="left" vertical="center"/>
    </xf>
    <xf numFmtId="0" fontId="99" fillId="0" borderId="53" xfId="0" applyFont="1" applyBorder="1" applyAlignment="1">
      <alignment horizontal="left" vertical="center"/>
    </xf>
    <xf numFmtId="0" fontId="3" fillId="0" borderId="53" xfId="0" applyFont="1" applyBorder="1" applyAlignment="1">
      <alignment horizontal="center" vertical="center" wrapText="1"/>
    </xf>
    <xf numFmtId="0" fontId="3" fillId="0" borderId="75" xfId="0" applyFont="1" applyBorder="1" applyAlignment="1">
      <alignment horizontal="center" vertical="center" wrapText="1"/>
    </xf>
    <xf numFmtId="0" fontId="3" fillId="0" borderId="57" xfId="0"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3" fillId="0" borderId="99" xfId="0" applyFont="1" applyBorder="1" applyAlignment="1">
      <alignment horizontal="left" vertical="center" wrapText="1"/>
    </xf>
    <xf numFmtId="0" fontId="113" fillId="0" borderId="100" xfId="0" applyFont="1" applyBorder="1" applyAlignment="1">
      <alignment horizontal="left" vertical="center" wrapText="1"/>
    </xf>
    <xf numFmtId="0" fontId="113" fillId="0" borderId="104" xfId="0" applyFont="1" applyBorder="1" applyAlignment="1">
      <alignment horizontal="left" vertical="center" wrapText="1"/>
    </xf>
    <xf numFmtId="0" fontId="113" fillId="0" borderId="105" xfId="0" applyFont="1" applyBorder="1" applyAlignment="1">
      <alignment horizontal="left" vertical="center" wrapText="1"/>
    </xf>
    <xf numFmtId="0" fontId="113" fillId="0" borderId="107" xfId="0" applyFont="1" applyBorder="1" applyAlignment="1">
      <alignment horizontal="left" vertical="center" wrapText="1"/>
    </xf>
    <xf numFmtId="0" fontId="113" fillId="0" borderId="108" xfId="0" applyFont="1" applyBorder="1" applyAlignment="1">
      <alignment horizontal="left" vertical="center" wrapText="1"/>
    </xf>
    <xf numFmtId="0" fontId="114" fillId="0" borderId="101" xfId="0" applyFont="1" applyBorder="1" applyAlignment="1">
      <alignment horizontal="center" vertical="center" wrapText="1"/>
    </xf>
    <xf numFmtId="0" fontId="114" fillId="0" borderId="102" xfId="0" applyFont="1" applyBorder="1" applyAlignment="1">
      <alignment horizontal="center" vertical="center" wrapText="1"/>
    </xf>
    <xf numFmtId="0" fontId="114" fillId="0" borderId="103" xfId="0" applyFont="1" applyBorder="1" applyAlignment="1">
      <alignment horizontal="center" vertical="center" wrapText="1"/>
    </xf>
    <xf numFmtId="0" fontId="114" fillId="0" borderId="83" xfId="0" applyFont="1" applyBorder="1" applyAlignment="1">
      <alignment horizontal="center" vertical="center" wrapText="1"/>
    </xf>
    <xf numFmtId="0" fontId="114" fillId="0" borderId="106" xfId="0" applyFont="1" applyBorder="1" applyAlignment="1">
      <alignment horizontal="center" vertical="center" wrapText="1"/>
    </xf>
    <xf numFmtId="0" fontId="114" fillId="0" borderId="73" xfId="0" applyFont="1" applyBorder="1" applyAlignment="1">
      <alignment horizontal="center" vertical="center" wrapText="1"/>
    </xf>
    <xf numFmtId="0" fontId="110" fillId="0" borderId="126"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2" xfId="0" applyFont="1" applyBorder="1" applyAlignment="1">
      <alignment horizontal="center" vertical="center" wrapText="1"/>
    </xf>
    <xf numFmtId="0" fontId="118" fillId="0" borderId="122" xfId="0" applyFont="1" applyBorder="1" applyAlignment="1">
      <alignment horizontal="center" vertical="center"/>
    </xf>
    <xf numFmtId="0" fontId="118" fillId="0" borderId="101" xfId="0" applyFont="1" applyBorder="1" applyAlignment="1">
      <alignment horizontal="center" vertical="center"/>
    </xf>
    <xf numFmtId="0" fontId="118" fillId="0" borderId="103" xfId="0" applyFont="1" applyBorder="1" applyAlignment="1">
      <alignment horizontal="center" vertical="center"/>
    </xf>
    <xf numFmtId="0" fontId="118" fillId="0" borderId="83" xfId="0" applyFont="1" applyBorder="1" applyAlignment="1">
      <alignment horizontal="center" vertical="center"/>
    </xf>
    <xf numFmtId="0" fontId="118" fillId="0" borderId="73" xfId="0" applyFont="1" applyBorder="1" applyAlignment="1">
      <alignment horizontal="center" vertical="center"/>
    </xf>
    <xf numFmtId="0" fontId="114" fillId="0" borderId="122" xfId="0" applyFont="1" applyBorder="1" applyAlignment="1">
      <alignment horizontal="center" vertical="center" wrapText="1"/>
    </xf>
    <xf numFmtId="0" fontId="110" fillId="0" borderId="125" xfId="0" applyFont="1" applyBorder="1" applyAlignment="1">
      <alignment horizontal="center" vertical="center" wrapText="1"/>
    </xf>
    <xf numFmtId="0" fontId="113" fillId="0" borderId="101" xfId="0" applyFont="1" applyBorder="1" applyAlignment="1">
      <alignment horizontal="center" vertical="center" wrapText="1"/>
    </xf>
    <xf numFmtId="0" fontId="113" fillId="0" borderId="103" xfId="0" applyFont="1" applyBorder="1" applyAlignment="1">
      <alignment horizontal="center" vertical="center" wrapText="1"/>
    </xf>
    <xf numFmtId="0" fontId="113" fillId="0" borderId="68" xfId="0" applyFont="1" applyBorder="1" applyAlignment="1">
      <alignment horizontal="center" vertical="center" wrapText="1"/>
    </xf>
    <xf numFmtId="0" fontId="113" fillId="0" borderId="66" xfId="0" applyFont="1" applyBorder="1" applyAlignment="1">
      <alignment horizontal="center" vertical="center" wrapText="1"/>
    </xf>
    <xf numFmtId="0" fontId="113" fillId="0" borderId="83" xfId="0" applyFont="1" applyBorder="1" applyAlignment="1">
      <alignment horizontal="center" vertical="center" wrapText="1"/>
    </xf>
    <xf numFmtId="0" fontId="113" fillId="0" borderId="73" xfId="0" applyFont="1" applyBorder="1" applyAlignment="1">
      <alignment horizontal="center" vertical="center" wrapText="1"/>
    </xf>
    <xf numFmtId="0" fontId="110" fillId="0" borderId="123" xfId="0" applyFont="1" applyBorder="1" applyAlignment="1">
      <alignment horizontal="center" vertical="center" wrapText="1"/>
    </xf>
    <xf numFmtId="0" fontId="110" fillId="0" borderId="124" xfId="0" applyFont="1" applyBorder="1" applyAlignment="1">
      <alignment horizontal="center" vertical="center" wrapText="1"/>
    </xf>
    <xf numFmtId="0" fontId="113" fillId="0" borderId="74"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4" xfId="0" applyFont="1" applyBorder="1" applyAlignment="1">
      <alignment horizontal="center" vertical="center" wrapText="1"/>
    </xf>
    <xf numFmtId="0" fontId="110" fillId="0" borderId="73" xfId="0" applyFont="1" applyBorder="1" applyAlignment="1">
      <alignment horizontal="center" vertical="center" wrapText="1"/>
    </xf>
    <xf numFmtId="0" fontId="113" fillId="0" borderId="52" xfId="0" applyFont="1" applyBorder="1" applyAlignment="1">
      <alignment horizontal="left" vertical="top" wrapText="1"/>
    </xf>
    <xf numFmtId="0" fontId="113" fillId="0" borderId="75" xfId="0" applyFont="1" applyBorder="1" applyAlignment="1">
      <alignment horizontal="left" vertical="top" wrapText="1"/>
    </xf>
    <xf numFmtId="0" fontId="113" fillId="0" borderId="61" xfId="0" applyFont="1" applyBorder="1" applyAlignment="1">
      <alignment horizontal="left" vertical="top" wrapText="1"/>
    </xf>
    <xf numFmtId="0" fontId="113" fillId="0" borderId="91" xfId="0" applyFont="1" applyBorder="1" applyAlignment="1">
      <alignment horizontal="left" vertical="top" wrapText="1"/>
    </xf>
    <xf numFmtId="0" fontId="113" fillId="0" borderId="98" xfId="0" applyFont="1" applyBorder="1" applyAlignment="1">
      <alignment horizontal="left" vertical="top" wrapText="1"/>
    </xf>
    <xf numFmtId="0" fontId="113" fillId="0" borderId="129" xfId="0" applyFont="1" applyBorder="1" applyAlignment="1">
      <alignment horizontal="left" vertical="top" wrapText="1"/>
    </xf>
    <xf numFmtId="0" fontId="113" fillId="0" borderId="84" xfId="0" applyFont="1" applyBorder="1" applyAlignment="1">
      <alignment horizontal="center" vertical="center" wrapText="1"/>
    </xf>
    <xf numFmtId="0" fontId="113" fillId="0" borderId="65" xfId="0" applyFont="1" applyBorder="1" applyAlignment="1">
      <alignment horizontal="center" vertical="center" wrapText="1"/>
    </xf>
    <xf numFmtId="0" fontId="110" fillId="0" borderId="62" xfId="0" applyFont="1" applyBorder="1" applyAlignment="1">
      <alignment horizontal="center" vertical="center" wrapText="1"/>
    </xf>
    <xf numFmtId="0" fontId="110" fillId="0" borderId="67" xfId="0" applyFont="1" applyBorder="1" applyAlignment="1">
      <alignment horizontal="center" vertical="center" wrapText="1"/>
    </xf>
    <xf numFmtId="0" fontId="110" fillId="0" borderId="26"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101" xfId="0" applyFont="1" applyBorder="1" applyAlignment="1">
      <alignment horizontal="center" vertical="top" wrapText="1"/>
    </xf>
    <xf numFmtId="0" fontId="110" fillId="0" borderId="102" xfId="0" applyFont="1" applyBorder="1" applyAlignment="1">
      <alignment horizontal="center" vertical="top" wrapText="1"/>
    </xf>
    <xf numFmtId="0" fontId="110" fillId="0" borderId="124" xfId="0" applyFont="1" applyBorder="1" applyAlignment="1">
      <alignment horizontal="center" vertical="top" wrapText="1"/>
    </xf>
    <xf numFmtId="0" fontId="110" fillId="0" borderId="125" xfId="0" applyFont="1" applyBorder="1" applyAlignment="1">
      <alignment horizontal="center" vertical="top" wrapText="1"/>
    </xf>
    <xf numFmtId="0" fontId="130" fillId="0" borderId="114" xfId="0" applyFont="1" applyBorder="1" applyAlignment="1">
      <alignment horizontal="left" vertical="top" wrapText="1"/>
    </xf>
    <xf numFmtId="0" fontId="130" fillId="0" borderId="115" xfId="0" applyFont="1" applyBorder="1" applyAlignment="1">
      <alignment horizontal="left" vertical="top" wrapText="1"/>
    </xf>
    <xf numFmtId="0" fontId="116" fillId="0" borderId="101" xfId="0" applyFont="1" applyBorder="1" applyAlignment="1">
      <alignment horizontal="center" vertical="center"/>
    </xf>
    <xf numFmtId="0" fontId="116" fillId="0" borderId="103" xfId="0" applyFont="1" applyBorder="1" applyAlignment="1">
      <alignment horizontal="center" vertical="center"/>
    </xf>
    <xf numFmtId="0" fontId="116" fillId="0" borderId="83" xfId="0" applyFont="1" applyBorder="1" applyAlignment="1">
      <alignment horizontal="center" vertical="center"/>
    </xf>
    <xf numFmtId="0" fontId="116" fillId="0" borderId="73" xfId="0" applyFont="1" applyBorder="1" applyAlignment="1">
      <alignment horizontal="center" vertical="center"/>
    </xf>
    <xf numFmtId="0" fontId="115" fillId="0" borderId="122" xfId="0" applyFont="1" applyBorder="1" applyAlignment="1">
      <alignment horizontal="center" vertical="center" wrapText="1"/>
    </xf>
    <xf numFmtId="0" fontId="115" fillId="0" borderId="126"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redo.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C2" sqref="C2:C5"/>
    </sheetView>
  </sheetViews>
  <sheetFormatPr defaultColWidth="9.21875" defaultRowHeight="13.8"/>
  <cols>
    <col min="1" max="1" width="10.21875" style="4" customWidth="1"/>
    <col min="2" max="2" width="138.33203125" style="5" bestFit="1" customWidth="1"/>
    <col min="3" max="3" width="39.44140625" style="5" customWidth="1"/>
    <col min="4" max="6" width="9.21875" style="5"/>
    <col min="7" max="7" width="25" style="5" customWidth="1"/>
    <col min="8" max="16384" width="9.21875" style="5"/>
  </cols>
  <sheetData>
    <row r="1" spans="1:3">
      <c r="A1" s="103"/>
      <c r="B1" s="109" t="s">
        <v>210</v>
      </c>
      <c r="C1" s="103"/>
    </row>
    <row r="2" spans="1:3">
      <c r="A2" s="110">
        <v>1</v>
      </c>
      <c r="B2" s="223" t="s">
        <v>211</v>
      </c>
      <c r="C2" s="612" t="s">
        <v>752</v>
      </c>
    </row>
    <row r="3" spans="1:3" ht="15">
      <c r="A3" s="110">
        <v>2</v>
      </c>
      <c r="B3" s="224" t="s">
        <v>207</v>
      </c>
      <c r="C3" s="613" t="s">
        <v>753</v>
      </c>
    </row>
    <row r="4" spans="1:3">
      <c r="A4" s="110">
        <v>3</v>
      </c>
      <c r="B4" s="225" t="s">
        <v>212</v>
      </c>
      <c r="C4" s="612" t="s">
        <v>754</v>
      </c>
    </row>
    <row r="5" spans="1:3">
      <c r="A5" s="111">
        <v>4</v>
      </c>
      <c r="B5" s="226" t="s">
        <v>208</v>
      </c>
      <c r="C5" s="614" t="s">
        <v>755</v>
      </c>
    </row>
    <row r="6" spans="1:3" s="112" customFormat="1" ht="45.75" customHeight="1">
      <c r="A6" s="747" t="s">
        <v>284</v>
      </c>
      <c r="B6" s="748"/>
      <c r="C6" s="748"/>
    </row>
    <row r="7" spans="1:3">
      <c r="A7" s="113" t="s">
        <v>30</v>
      </c>
      <c r="B7" s="109" t="s">
        <v>209</v>
      </c>
    </row>
    <row r="8" spans="1:3">
      <c r="A8" s="103">
        <v>1</v>
      </c>
      <c r="B8" s="142" t="s">
        <v>21</v>
      </c>
    </row>
    <row r="9" spans="1:3">
      <c r="A9" s="103">
        <v>2</v>
      </c>
      <c r="B9" s="143" t="s">
        <v>22</v>
      </c>
    </row>
    <row r="10" spans="1:3">
      <c r="A10" s="103">
        <v>3</v>
      </c>
      <c r="B10" s="143" t="s">
        <v>23</v>
      </c>
    </row>
    <row r="11" spans="1:3">
      <c r="A11" s="103">
        <v>4</v>
      </c>
      <c r="B11" s="143" t="s">
        <v>24</v>
      </c>
    </row>
    <row r="12" spans="1:3">
      <c r="A12" s="103">
        <v>5</v>
      </c>
      <c r="B12" s="143" t="s">
        <v>25</v>
      </c>
    </row>
    <row r="13" spans="1:3">
      <c r="A13" s="103">
        <v>6</v>
      </c>
      <c r="B13" s="144" t="s">
        <v>219</v>
      </c>
    </row>
    <row r="14" spans="1:3">
      <c r="A14" s="103">
        <v>7</v>
      </c>
      <c r="B14" s="143" t="s">
        <v>213</v>
      </c>
    </row>
    <row r="15" spans="1:3">
      <c r="A15" s="103">
        <v>8</v>
      </c>
      <c r="B15" s="143" t="s">
        <v>214</v>
      </c>
    </row>
    <row r="16" spans="1:3">
      <c r="A16" s="103">
        <v>9</v>
      </c>
      <c r="B16" s="143" t="s">
        <v>26</v>
      </c>
    </row>
    <row r="17" spans="1:2">
      <c r="A17" s="222" t="s">
        <v>283</v>
      </c>
      <c r="B17" s="221" t="s">
        <v>270</v>
      </c>
    </row>
    <row r="18" spans="1:2">
      <c r="A18" s="222" t="s">
        <v>711</v>
      </c>
      <c r="B18" s="533" t="s">
        <v>713</v>
      </c>
    </row>
    <row r="19" spans="1:2">
      <c r="A19" s="534" t="s">
        <v>712</v>
      </c>
      <c r="B19" s="533" t="s">
        <v>714</v>
      </c>
    </row>
    <row r="20" spans="1:2">
      <c r="A20" s="103">
        <v>10</v>
      </c>
      <c r="B20" s="143" t="s">
        <v>27</v>
      </c>
    </row>
    <row r="21" spans="1:2">
      <c r="A21" s="103">
        <v>11</v>
      </c>
      <c r="B21" s="144" t="s">
        <v>215</v>
      </c>
    </row>
    <row r="22" spans="1:2">
      <c r="A22" s="103">
        <v>12</v>
      </c>
      <c r="B22" s="144" t="s">
        <v>28</v>
      </c>
    </row>
    <row r="23" spans="1:2">
      <c r="A23" s="245">
        <v>13</v>
      </c>
      <c r="B23" s="246" t="s">
        <v>216</v>
      </c>
    </row>
    <row r="24" spans="1:2">
      <c r="A24" s="245">
        <v>14</v>
      </c>
      <c r="B24" s="247" t="s">
        <v>241</v>
      </c>
    </row>
    <row r="25" spans="1:2">
      <c r="A25" s="245">
        <v>15</v>
      </c>
      <c r="B25" s="248" t="s">
        <v>29</v>
      </c>
    </row>
    <row r="26" spans="1:2">
      <c r="A26" s="245">
        <v>15.1</v>
      </c>
      <c r="B26" s="249" t="s">
        <v>297</v>
      </c>
    </row>
    <row r="27" spans="1:2">
      <c r="A27" s="535">
        <v>15.2</v>
      </c>
      <c r="B27" s="533" t="s">
        <v>716</v>
      </c>
    </row>
    <row r="28" spans="1:2">
      <c r="A28" s="245">
        <v>16</v>
      </c>
      <c r="B28" s="249" t="s">
        <v>338</v>
      </c>
    </row>
    <row r="29" spans="1:2">
      <c r="A29" s="245">
        <v>17</v>
      </c>
      <c r="B29" s="249" t="s">
        <v>379</v>
      </c>
    </row>
    <row r="30" spans="1:2">
      <c r="A30" s="245">
        <v>18</v>
      </c>
      <c r="B30" s="249" t="s">
        <v>666</v>
      </c>
    </row>
    <row r="31" spans="1:2">
      <c r="A31" s="245">
        <v>19</v>
      </c>
      <c r="B31" s="249" t="s">
        <v>667</v>
      </c>
    </row>
    <row r="32" spans="1:2">
      <c r="A32" s="245">
        <v>20</v>
      </c>
      <c r="B32" s="312" t="s">
        <v>668</v>
      </c>
    </row>
    <row r="33" spans="1:2">
      <c r="A33" s="245">
        <v>21</v>
      </c>
      <c r="B33" s="249" t="s">
        <v>495</v>
      </c>
    </row>
    <row r="34" spans="1:2">
      <c r="A34" s="245">
        <v>22</v>
      </c>
      <c r="B34" s="249" t="s">
        <v>669</v>
      </c>
    </row>
    <row r="35" spans="1:2">
      <c r="A35" s="245">
        <v>23</v>
      </c>
      <c r="B35" s="249" t="s">
        <v>670</v>
      </c>
    </row>
    <row r="36" spans="1:2">
      <c r="A36" s="245">
        <v>24</v>
      </c>
      <c r="B36" s="249" t="s">
        <v>671</v>
      </c>
    </row>
    <row r="37" spans="1:2">
      <c r="A37" s="245">
        <v>25</v>
      </c>
      <c r="B37" s="249" t="s">
        <v>380</v>
      </c>
    </row>
    <row r="38" spans="1:2">
      <c r="A38" s="245">
        <v>26</v>
      </c>
      <c r="B38" s="249" t="s">
        <v>517</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 ref="C5" r:id="rId1" xr:uid="{BF9FD137-4A01-4F74-B264-A01D9EB65233}"/>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39" activePane="bottomRight" state="frozen"/>
      <selection activeCell="B19" sqref="B19"/>
      <selection pane="topRight" activeCell="B19" sqref="B19"/>
      <selection pane="bottomLeft" activeCell="B19" sqref="B19"/>
      <selection pane="bottomRight" activeCell="C45" sqref="C45"/>
    </sheetView>
  </sheetViews>
  <sheetFormatPr defaultColWidth="9.21875" defaultRowHeight="13.2"/>
  <cols>
    <col min="1" max="1" width="9.5546875" style="4" bestFit="1" customWidth="1"/>
    <col min="2" max="2" width="132.44140625" style="4" customWidth="1"/>
    <col min="3" max="3" width="18.44140625" style="4" customWidth="1"/>
    <col min="4" max="16384" width="9.21875" style="4"/>
  </cols>
  <sheetData>
    <row r="1" spans="1:3">
      <c r="A1" s="2" t="s">
        <v>31</v>
      </c>
      <c r="B1" s="3" t="str">
        <f>'Info '!C2</f>
        <v>JSC "CREDOBANK"</v>
      </c>
    </row>
    <row r="2" spans="1:3" s="2" customFormat="1" ht="15.75" customHeight="1">
      <c r="A2" s="2" t="s">
        <v>32</v>
      </c>
      <c r="B2" s="265">
        <f>'1. key ratios '!B2</f>
        <v>45838</v>
      </c>
    </row>
    <row r="3" spans="1:3" s="2" customFormat="1" ht="15.75" customHeight="1"/>
    <row r="4" spans="1:3" ht="13.8" thickBot="1">
      <c r="A4" s="4" t="s">
        <v>144</v>
      </c>
      <c r="B4" s="85" t="s">
        <v>143</v>
      </c>
    </row>
    <row r="5" spans="1:3">
      <c r="A5" s="45" t="s">
        <v>7</v>
      </c>
      <c r="B5" s="46"/>
      <c r="C5" s="47" t="s">
        <v>36</v>
      </c>
    </row>
    <row r="6" spans="1:3">
      <c r="A6" s="48">
        <v>1</v>
      </c>
      <c r="B6" s="49" t="s">
        <v>142</v>
      </c>
      <c r="C6" s="50">
        <f>SUM(C7:C11)</f>
        <v>421240024.48000002</v>
      </c>
    </row>
    <row r="7" spans="1:3" ht="13.8">
      <c r="A7" s="48">
        <v>2</v>
      </c>
      <c r="B7" s="51" t="s">
        <v>141</v>
      </c>
      <c r="C7" s="707">
        <v>5270620</v>
      </c>
    </row>
    <row r="8" spans="1:3" ht="13.8">
      <c r="A8" s="48">
        <v>3</v>
      </c>
      <c r="B8" s="52" t="s">
        <v>140</v>
      </c>
      <c r="C8" s="707">
        <v>41797125.479999997</v>
      </c>
    </row>
    <row r="9" spans="1:3" ht="13.8">
      <c r="A9" s="48">
        <v>4</v>
      </c>
      <c r="B9" s="52" t="s">
        <v>139</v>
      </c>
      <c r="C9" s="707"/>
    </row>
    <row r="10" spans="1:3" ht="13.8">
      <c r="A10" s="48">
        <v>5</v>
      </c>
      <c r="B10" s="52" t="s">
        <v>138</v>
      </c>
      <c r="C10" s="707"/>
    </row>
    <row r="11" spans="1:3" ht="13.8">
      <c r="A11" s="48">
        <v>6</v>
      </c>
      <c r="B11" s="53" t="s">
        <v>137</v>
      </c>
      <c r="C11" s="707">
        <v>374172279</v>
      </c>
    </row>
    <row r="12" spans="1:3" s="29" customFormat="1">
      <c r="A12" s="48">
        <v>7</v>
      </c>
      <c r="B12" s="49" t="s">
        <v>136</v>
      </c>
      <c r="C12" s="54">
        <f>SUM(C13:C28)</f>
        <v>33263478</v>
      </c>
    </row>
    <row r="13" spans="1:3" s="29" customFormat="1">
      <c r="A13" s="48">
        <v>8</v>
      </c>
      <c r="B13" s="55" t="s">
        <v>135</v>
      </c>
      <c r="C13" s="56"/>
    </row>
    <row r="14" spans="1:3" s="29" customFormat="1" ht="26.4">
      <c r="A14" s="48">
        <v>9</v>
      </c>
      <c r="B14" s="57" t="s">
        <v>134</v>
      </c>
      <c r="C14" s="56"/>
    </row>
    <row r="15" spans="1:3" s="29" customFormat="1" ht="14.4">
      <c r="A15" s="48">
        <v>10</v>
      </c>
      <c r="B15" s="58" t="s">
        <v>133</v>
      </c>
      <c r="C15" s="708">
        <v>33263478</v>
      </c>
    </row>
    <row r="16" spans="1:3" s="29" customFormat="1">
      <c r="A16" s="48">
        <v>11</v>
      </c>
      <c r="B16" s="59" t="s">
        <v>132</v>
      </c>
      <c r="C16" s="56"/>
    </row>
    <row r="17" spans="1:3" s="29" customFormat="1">
      <c r="A17" s="48">
        <v>12</v>
      </c>
      <c r="B17" s="58" t="s">
        <v>131</v>
      </c>
      <c r="C17" s="56"/>
    </row>
    <row r="18" spans="1:3" s="29" customFormat="1">
      <c r="A18" s="48">
        <v>13</v>
      </c>
      <c r="B18" s="58" t="s">
        <v>130</v>
      </c>
      <c r="C18" s="56"/>
    </row>
    <row r="19" spans="1:3" s="29" customFormat="1">
      <c r="A19" s="48">
        <v>14</v>
      </c>
      <c r="B19" s="58" t="s">
        <v>129</v>
      </c>
      <c r="C19" s="56"/>
    </row>
    <row r="20" spans="1:3" s="29" customFormat="1">
      <c r="A20" s="48">
        <v>15</v>
      </c>
      <c r="B20" s="58" t="s">
        <v>128</v>
      </c>
      <c r="C20" s="56"/>
    </row>
    <row r="21" spans="1:3" s="29" customFormat="1" ht="26.4">
      <c r="A21" s="48">
        <v>16</v>
      </c>
      <c r="B21" s="57" t="s">
        <v>127</v>
      </c>
      <c r="C21" s="56"/>
    </row>
    <row r="22" spans="1:3" s="29" customFormat="1">
      <c r="A22" s="48">
        <v>17</v>
      </c>
      <c r="B22" s="60" t="s">
        <v>126</v>
      </c>
      <c r="C22" s="56"/>
    </row>
    <row r="23" spans="1:3" s="29" customFormat="1">
      <c r="A23" s="48">
        <v>18</v>
      </c>
      <c r="B23" s="60" t="s">
        <v>518</v>
      </c>
      <c r="C23" s="314"/>
    </row>
    <row r="24" spans="1:3" s="29" customFormat="1">
      <c r="A24" s="48">
        <v>19</v>
      </c>
      <c r="B24" s="57" t="s">
        <v>125</v>
      </c>
      <c r="C24" s="56"/>
    </row>
    <row r="25" spans="1:3" s="29" customFormat="1" ht="26.4">
      <c r="A25" s="48">
        <v>20</v>
      </c>
      <c r="B25" s="57" t="s">
        <v>102</v>
      </c>
      <c r="C25" s="56"/>
    </row>
    <row r="26" spans="1:3" s="29" customFormat="1">
      <c r="A26" s="48">
        <v>21</v>
      </c>
      <c r="B26" s="59" t="s">
        <v>124</v>
      </c>
      <c r="C26" s="56"/>
    </row>
    <row r="27" spans="1:3" s="29" customFormat="1">
      <c r="A27" s="48">
        <v>22</v>
      </c>
      <c r="B27" s="59" t="s">
        <v>123</v>
      </c>
      <c r="C27" s="56"/>
    </row>
    <row r="28" spans="1:3" s="29" customFormat="1">
      <c r="A28" s="48">
        <v>23</v>
      </c>
      <c r="B28" s="59" t="s">
        <v>122</v>
      </c>
      <c r="C28" s="56"/>
    </row>
    <row r="29" spans="1:3" s="29" customFormat="1">
      <c r="A29" s="48">
        <v>24</v>
      </c>
      <c r="B29" s="61" t="s">
        <v>121</v>
      </c>
      <c r="C29" s="54">
        <f>C6-C12</f>
        <v>387976546.48000002</v>
      </c>
    </row>
    <row r="30" spans="1:3" s="29" customFormat="1">
      <c r="A30" s="62"/>
      <c r="B30" s="63"/>
      <c r="C30" s="56"/>
    </row>
    <row r="31" spans="1:3" s="29" customFormat="1">
      <c r="A31" s="62">
        <v>25</v>
      </c>
      <c r="B31" s="61" t="s">
        <v>120</v>
      </c>
      <c r="C31" s="54">
        <f>C32+C35</f>
        <v>13617999.999999998</v>
      </c>
    </row>
    <row r="32" spans="1:3" s="29" customFormat="1">
      <c r="A32" s="62">
        <v>26</v>
      </c>
      <c r="B32" s="52" t="s">
        <v>119</v>
      </c>
      <c r="C32" s="64">
        <f>C33+C34</f>
        <v>13617999.999999998</v>
      </c>
    </row>
    <row r="33" spans="1:3" s="29" customFormat="1">
      <c r="A33" s="62">
        <v>27</v>
      </c>
      <c r="B33" s="65" t="s">
        <v>180</v>
      </c>
      <c r="C33" s="56"/>
    </row>
    <row r="34" spans="1:3" s="29" customFormat="1" ht="13.8">
      <c r="A34" s="62">
        <v>28</v>
      </c>
      <c r="B34" s="65" t="s">
        <v>118</v>
      </c>
      <c r="C34" s="709">
        <v>13617999.999999998</v>
      </c>
    </row>
    <row r="35" spans="1:3" s="29" customFormat="1">
      <c r="A35" s="62">
        <v>29</v>
      </c>
      <c r="B35" s="52" t="s">
        <v>117</v>
      </c>
      <c r="C35" s="56"/>
    </row>
    <row r="36" spans="1:3" s="29" customFormat="1">
      <c r="A36" s="62">
        <v>30</v>
      </c>
      <c r="B36" s="61" t="s">
        <v>116</v>
      </c>
      <c r="C36" s="54">
        <f>SUM(C37:C41)</f>
        <v>0</v>
      </c>
    </row>
    <row r="37" spans="1:3" s="29" customFormat="1">
      <c r="A37" s="62">
        <v>31</v>
      </c>
      <c r="B37" s="57" t="s">
        <v>115</v>
      </c>
      <c r="C37" s="56"/>
    </row>
    <row r="38" spans="1:3" s="29" customFormat="1">
      <c r="A38" s="62">
        <v>32</v>
      </c>
      <c r="B38" s="58" t="s">
        <v>114</v>
      </c>
      <c r="C38" s="56"/>
    </row>
    <row r="39" spans="1:3" s="29" customFormat="1">
      <c r="A39" s="62">
        <v>33</v>
      </c>
      <c r="B39" s="57" t="s">
        <v>113</v>
      </c>
      <c r="C39" s="56"/>
    </row>
    <row r="40" spans="1:3" s="29" customFormat="1" ht="26.4">
      <c r="A40" s="62">
        <v>34</v>
      </c>
      <c r="B40" s="57" t="s">
        <v>102</v>
      </c>
      <c r="C40" s="56"/>
    </row>
    <row r="41" spans="1:3" s="29" customFormat="1">
      <c r="A41" s="62">
        <v>35</v>
      </c>
      <c r="B41" s="59" t="s">
        <v>112</v>
      </c>
      <c r="C41" s="56"/>
    </row>
    <row r="42" spans="1:3" s="29" customFormat="1">
      <c r="A42" s="62">
        <v>36</v>
      </c>
      <c r="B42" s="61" t="s">
        <v>111</v>
      </c>
      <c r="C42" s="54">
        <f>C31-C36</f>
        <v>13617999.999999998</v>
      </c>
    </row>
    <row r="43" spans="1:3" s="29" customFormat="1">
      <c r="A43" s="62"/>
      <c r="B43" s="63"/>
      <c r="C43" s="56"/>
    </row>
    <row r="44" spans="1:3" s="29" customFormat="1">
      <c r="A44" s="62">
        <v>37</v>
      </c>
      <c r="B44" s="66" t="s">
        <v>110</v>
      </c>
      <c r="C44" s="54">
        <f>SUM(C45:C47)</f>
        <v>96200328.719999999</v>
      </c>
    </row>
    <row r="45" spans="1:3" s="29" customFormat="1" ht="13.8">
      <c r="A45" s="62">
        <v>38</v>
      </c>
      <c r="B45" s="52" t="s">
        <v>109</v>
      </c>
      <c r="C45" s="709">
        <v>96200328.719999999</v>
      </c>
    </row>
    <row r="46" spans="1:3" s="29" customFormat="1">
      <c r="A46" s="62">
        <v>39</v>
      </c>
      <c r="B46" s="52" t="s">
        <v>108</v>
      </c>
      <c r="C46" s="56"/>
    </row>
    <row r="47" spans="1:3" s="29" customFormat="1">
      <c r="A47" s="62">
        <v>40</v>
      </c>
      <c r="B47" s="52" t="s">
        <v>107</v>
      </c>
      <c r="C47" s="56"/>
    </row>
    <row r="48" spans="1:3" s="29" customFormat="1">
      <c r="A48" s="62">
        <v>41</v>
      </c>
      <c r="B48" s="66" t="s">
        <v>106</v>
      </c>
      <c r="C48" s="54">
        <f>SUM(C49:C52)</f>
        <v>0</v>
      </c>
    </row>
    <row r="49" spans="1:3" s="29" customFormat="1">
      <c r="A49" s="62">
        <v>42</v>
      </c>
      <c r="B49" s="57" t="s">
        <v>105</v>
      </c>
      <c r="C49" s="56"/>
    </row>
    <row r="50" spans="1:3" s="29" customFormat="1">
      <c r="A50" s="62">
        <v>43</v>
      </c>
      <c r="B50" s="58" t="s">
        <v>104</v>
      </c>
      <c r="C50" s="56"/>
    </row>
    <row r="51" spans="1:3" s="29" customFormat="1">
      <c r="A51" s="62">
        <v>44</v>
      </c>
      <c r="B51" s="57" t="s">
        <v>103</v>
      </c>
      <c r="C51" s="56"/>
    </row>
    <row r="52" spans="1:3" s="29" customFormat="1" ht="26.4">
      <c r="A52" s="62">
        <v>45</v>
      </c>
      <c r="B52" s="57" t="s">
        <v>102</v>
      </c>
      <c r="C52" s="56"/>
    </row>
    <row r="53" spans="1:3" s="29" customFormat="1" ht="13.8" thickBot="1">
      <c r="A53" s="62">
        <v>46</v>
      </c>
      <c r="B53" s="67" t="s">
        <v>101</v>
      </c>
      <c r="C53" s="68">
        <f>C44-C48</f>
        <v>96200328.719999999</v>
      </c>
    </row>
    <row r="56" spans="1:3">
      <c r="B56" s="4" t="s">
        <v>8</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C15" sqref="C15:C17"/>
    </sheetView>
  </sheetViews>
  <sheetFormatPr defaultColWidth="9.21875" defaultRowHeight="13.8"/>
  <cols>
    <col min="1" max="1" width="9.44140625" style="134" bestFit="1" customWidth="1"/>
    <col min="2" max="2" width="59" style="134" customWidth="1"/>
    <col min="3" max="3" width="16.77734375" style="134" bestFit="1" customWidth="1"/>
    <col min="4" max="4" width="14.33203125" style="134" bestFit="1" customWidth="1"/>
    <col min="5" max="16384" width="9.21875" style="134"/>
  </cols>
  <sheetData>
    <row r="1" spans="1:4">
      <c r="A1" s="132" t="s">
        <v>31</v>
      </c>
      <c r="B1" s="3" t="str">
        <f>'Info '!C2</f>
        <v>JSC "CREDOBANK"</v>
      </c>
    </row>
    <row r="2" spans="1:4" s="132" customFormat="1" ht="15.75" customHeight="1">
      <c r="A2" s="132" t="s">
        <v>32</v>
      </c>
      <c r="B2" s="265">
        <f>'1. key ratios '!B2</f>
        <v>45838</v>
      </c>
    </row>
    <row r="3" spans="1:4" s="132" customFormat="1" ht="15.75" customHeight="1"/>
    <row r="4" spans="1:4" ht="14.4" thickBot="1">
      <c r="A4" s="134" t="s">
        <v>269</v>
      </c>
      <c r="B4" s="211" t="s">
        <v>270</v>
      </c>
    </row>
    <row r="5" spans="1:4" s="139" customFormat="1" ht="12.75" customHeight="1">
      <c r="A5" s="243"/>
      <c r="B5" s="244" t="s">
        <v>273</v>
      </c>
      <c r="C5" s="204" t="s">
        <v>271</v>
      </c>
      <c r="D5" s="205" t="s">
        <v>272</v>
      </c>
    </row>
    <row r="6" spans="1:4" s="212" customFormat="1">
      <c r="A6" s="206">
        <v>1</v>
      </c>
      <c r="B6" s="236" t="s">
        <v>274</v>
      </c>
      <c r="C6" s="236"/>
      <c r="D6" s="207"/>
    </row>
    <row r="7" spans="1:4" s="212" customFormat="1">
      <c r="A7" s="208" t="s">
        <v>260</v>
      </c>
      <c r="B7" s="237" t="s">
        <v>275</v>
      </c>
      <c r="C7" s="229">
        <v>4.4999999999999998E-2</v>
      </c>
      <c r="D7" s="627">
        <f>C7*'5. RWA '!$C$13</f>
        <v>127876559.83344753</v>
      </c>
    </row>
    <row r="8" spans="1:4" s="212" customFormat="1">
      <c r="A8" s="208" t="s">
        <v>261</v>
      </c>
      <c r="B8" s="237" t="s">
        <v>276</v>
      </c>
      <c r="C8" s="230">
        <v>0.06</v>
      </c>
      <c r="D8" s="627">
        <f>C8*'5. RWA '!$C$13</f>
        <v>170502079.77793002</v>
      </c>
    </row>
    <row r="9" spans="1:4" s="212" customFormat="1">
      <c r="A9" s="208" t="s">
        <v>262</v>
      </c>
      <c r="B9" s="237" t="s">
        <v>277</v>
      </c>
      <c r="C9" s="230">
        <v>0.08</v>
      </c>
      <c r="D9" s="627">
        <f>C9*'5. RWA '!$C$13</f>
        <v>227336106.3705734</v>
      </c>
    </row>
    <row r="10" spans="1:4" s="212" customFormat="1">
      <c r="A10" s="206" t="s">
        <v>263</v>
      </c>
      <c r="B10" s="236" t="s">
        <v>278</v>
      </c>
      <c r="C10" s="231"/>
      <c r="D10" s="238"/>
    </row>
    <row r="11" spans="1:4" s="213" customFormat="1">
      <c r="A11" s="209" t="s">
        <v>264</v>
      </c>
      <c r="B11" s="228" t="s">
        <v>747</v>
      </c>
      <c r="C11" s="232">
        <v>2.5000000000000001E-2</v>
      </c>
      <c r="D11" s="627">
        <f>C11*'5. RWA '!$C$13</f>
        <v>71042533.240804181</v>
      </c>
    </row>
    <row r="12" spans="1:4" s="213" customFormat="1">
      <c r="A12" s="209" t="s">
        <v>265</v>
      </c>
      <c r="B12" s="228" t="s">
        <v>279</v>
      </c>
      <c r="C12" s="232">
        <v>5.0000000000000001E-3</v>
      </c>
      <c r="D12" s="627">
        <f>C12*'5. RWA '!$C$13</f>
        <v>14208506.648160838</v>
      </c>
    </row>
    <row r="13" spans="1:4" s="213" customFormat="1">
      <c r="A13" s="209" t="s">
        <v>266</v>
      </c>
      <c r="B13" s="228" t="s">
        <v>280</v>
      </c>
      <c r="C13" s="232"/>
      <c r="D13" s="627">
        <f>C13*'5. RWA '!$C$13</f>
        <v>0</v>
      </c>
    </row>
    <row r="14" spans="1:4" s="213" customFormat="1">
      <c r="A14" s="206" t="s">
        <v>267</v>
      </c>
      <c r="B14" s="236" t="s">
        <v>327</v>
      </c>
      <c r="C14" s="233"/>
      <c r="D14" s="239"/>
    </row>
    <row r="15" spans="1:4" s="213" customFormat="1">
      <c r="A15" s="209">
        <v>3.1</v>
      </c>
      <c r="B15" s="228" t="s">
        <v>285</v>
      </c>
      <c r="C15" s="710">
        <v>4.0082673511069714E-2</v>
      </c>
      <c r="D15" s="627">
        <f>C15*'5. RWA '!$C$13</f>
        <v>113902986.61161886</v>
      </c>
    </row>
    <row r="16" spans="1:4" s="213" customFormat="1">
      <c r="A16" s="209">
        <v>3.2</v>
      </c>
      <c r="B16" s="228" t="s">
        <v>286</v>
      </c>
      <c r="C16" s="710">
        <v>4.6020205738896564E-2</v>
      </c>
      <c r="D16" s="627">
        <f>C16*'5. RWA '!$C$13</f>
        <v>130775679.83816826</v>
      </c>
    </row>
    <row r="17" spans="1:4" s="212" customFormat="1">
      <c r="A17" s="209">
        <v>3.3</v>
      </c>
      <c r="B17" s="228" t="s">
        <v>287</v>
      </c>
      <c r="C17" s="710">
        <v>5.3832748143931894E-2</v>
      </c>
      <c r="D17" s="627">
        <f>C17*'5. RWA '!$C$13</f>
        <v>152976591.97836486</v>
      </c>
    </row>
    <row r="18" spans="1:4" s="139" customFormat="1" ht="12.75" customHeight="1">
      <c r="A18" s="241"/>
      <c r="B18" s="242" t="s">
        <v>326</v>
      </c>
      <c r="C18" s="234" t="s">
        <v>271</v>
      </c>
      <c r="D18" s="240" t="s">
        <v>272</v>
      </c>
    </row>
    <row r="19" spans="1:4" s="212" customFormat="1">
      <c r="A19" s="210">
        <v>4</v>
      </c>
      <c r="B19" s="228" t="s">
        <v>281</v>
      </c>
      <c r="C19" s="232">
        <f>C7+C11+C12+C13+C15</f>
        <v>0.11508267351106972</v>
      </c>
      <c r="D19" s="627">
        <f>C19*'5. RWA '!$C$13</f>
        <v>327030586.33403146</v>
      </c>
    </row>
    <row r="20" spans="1:4" s="212" customFormat="1">
      <c r="A20" s="210">
        <v>5</v>
      </c>
      <c r="B20" s="228" t="s">
        <v>91</v>
      </c>
      <c r="C20" s="232">
        <f>C8+C11+C12+C13+C16</f>
        <v>0.13602020573889656</v>
      </c>
      <c r="D20" s="627">
        <f>C20*'5. RWA '!$C$13</f>
        <v>386528799.5050633</v>
      </c>
    </row>
    <row r="21" spans="1:4" s="212" customFormat="1" ht="14.4" thickBot="1">
      <c r="A21" s="214" t="s">
        <v>268</v>
      </c>
      <c r="B21" s="215" t="s">
        <v>282</v>
      </c>
      <c r="C21" s="235">
        <f>C9+C11+C12+C13+C17</f>
        <v>0.16383274814393189</v>
      </c>
      <c r="D21" s="628">
        <f>C21*'5. RWA '!$C$13</f>
        <v>465563738.23790324</v>
      </c>
    </row>
    <row r="23" spans="1:4">
      <c r="B23" s="174"/>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topLeftCell="A4" zoomScaleNormal="100" workbookViewId="0">
      <selection activeCell="B19" sqref="B19"/>
    </sheetView>
  </sheetViews>
  <sheetFormatPr defaultRowHeight="14.4"/>
  <cols>
    <col min="1" max="1" width="107.109375" bestFit="1" customWidth="1"/>
    <col min="2" max="2" width="50.88671875" bestFit="1" customWidth="1"/>
    <col min="3" max="3" width="28.109375" bestFit="1" customWidth="1"/>
    <col min="4" max="4" width="28.21875" customWidth="1"/>
    <col min="5" max="7" width="28.109375" customWidth="1"/>
  </cols>
  <sheetData>
    <row r="1" spans="1:3">
      <c r="A1" s="455" t="str">
        <f>'9.1. Capital Requirements'!A1</f>
        <v>Bank:</v>
      </c>
      <c r="B1" s="456">
        <v>0</v>
      </c>
    </row>
    <row r="2" spans="1:3">
      <c r="A2" s="455" t="str">
        <f>'9.1. Capital Requirements'!A2</f>
        <v>Date:</v>
      </c>
      <c r="B2" s="457">
        <v>45107</v>
      </c>
    </row>
    <row r="3" spans="1:3">
      <c r="A3" s="458" t="s">
        <v>675</v>
      </c>
      <c r="B3" s="459" t="s">
        <v>676</v>
      </c>
    </row>
    <row r="4" spans="1:3" ht="15" thickBot="1"/>
    <row r="5" spans="1:3">
      <c r="A5" s="460"/>
      <c r="B5" s="461" t="s">
        <v>677</v>
      </c>
      <c r="C5" s="492"/>
    </row>
    <row r="6" spans="1:3">
      <c r="A6" s="462" t="s">
        <v>697</v>
      </c>
      <c r="B6" s="463">
        <f>SUM(B7,B11)</f>
        <v>497794875.20000005</v>
      </c>
      <c r="C6" s="492"/>
    </row>
    <row r="7" spans="1:3" ht="15.6">
      <c r="A7" s="462" t="s">
        <v>683</v>
      </c>
      <c r="B7" s="463">
        <f>SUM(B8:B10)</f>
        <v>497794875.20000005</v>
      </c>
      <c r="C7" s="492"/>
    </row>
    <row r="8" spans="1:3">
      <c r="A8" s="464" t="s">
        <v>678</v>
      </c>
      <c r="B8" s="465">
        <f>'9.Capital'!C29</f>
        <v>387976546.48000002</v>
      </c>
      <c r="C8" s="492"/>
    </row>
    <row r="9" spans="1:3">
      <c r="A9" s="464" t="s">
        <v>679</v>
      </c>
      <c r="B9" s="465">
        <f>'9.Capital'!C42</f>
        <v>13617999.999999998</v>
      </c>
      <c r="C9" s="492"/>
    </row>
    <row r="10" spans="1:3">
      <c r="A10" s="464" t="s">
        <v>680</v>
      </c>
      <c r="B10" s="465">
        <f>'9.Capital'!C53</f>
        <v>96200328.719999999</v>
      </c>
      <c r="C10" s="492"/>
    </row>
    <row r="11" spans="1:3">
      <c r="A11" s="462" t="s">
        <v>684</v>
      </c>
      <c r="B11" s="463">
        <f>SUM(B12:B13)</f>
        <v>0</v>
      </c>
      <c r="C11" s="492"/>
    </row>
    <row r="12" spans="1:3" ht="15.6">
      <c r="A12" s="464" t="s">
        <v>703</v>
      </c>
      <c r="B12" s="465"/>
      <c r="C12" s="492"/>
    </row>
    <row r="13" spans="1:3" ht="15.6">
      <c r="A13" s="464" t="s">
        <v>685</v>
      </c>
      <c r="B13" s="465"/>
      <c r="C13" s="492"/>
    </row>
    <row r="14" spans="1:3">
      <c r="A14" s="462" t="s">
        <v>686</v>
      </c>
      <c r="B14" s="463">
        <f>SUM(B15:B16)</f>
        <v>497794875.20000005</v>
      </c>
      <c r="C14" s="492"/>
    </row>
    <row r="15" spans="1:3">
      <c r="A15" s="466" t="s">
        <v>687</v>
      </c>
      <c r="B15" s="465"/>
      <c r="C15" s="492"/>
    </row>
    <row r="16" spans="1:3">
      <c r="A16" s="466" t="s">
        <v>688</v>
      </c>
      <c r="B16" s="465">
        <f>B7</f>
        <v>497794875.20000005</v>
      </c>
      <c r="C16" s="492"/>
    </row>
    <row r="17" spans="1:5">
      <c r="A17" s="462" t="s">
        <v>691</v>
      </c>
      <c r="B17" s="463"/>
      <c r="C17" s="492"/>
    </row>
    <row r="18" spans="1:5">
      <c r="A18" s="466" t="s">
        <v>689</v>
      </c>
      <c r="B18" s="465">
        <f>'5. RWA '!C13</f>
        <v>2841701329.6321673</v>
      </c>
      <c r="C18" s="492"/>
    </row>
    <row r="19" spans="1:5">
      <c r="A19" s="466" t="s">
        <v>690</v>
      </c>
      <c r="B19" s="465">
        <f>'15.1 LR'!C32</f>
        <v>3500561070.9323459</v>
      </c>
      <c r="C19" s="492"/>
    </row>
    <row r="20" spans="1:5">
      <c r="A20" s="462" t="s">
        <v>705</v>
      </c>
      <c r="B20" s="463"/>
      <c r="C20" s="492"/>
    </row>
    <row r="21" spans="1:5">
      <c r="A21" s="467" t="s">
        <v>692</v>
      </c>
      <c r="B21" s="468">
        <f>IFERROR(B6/B18,0)</f>
        <v>0.17517494537838538</v>
      </c>
      <c r="C21" s="492"/>
    </row>
    <row r="22" spans="1:5">
      <c r="A22" s="467" t="s">
        <v>709</v>
      </c>
      <c r="B22" s="468">
        <f>IFERROR(B6/B19,0)</f>
        <v>0.14220431099846986</v>
      </c>
      <c r="C22" s="492"/>
    </row>
    <row r="23" spans="1:5" ht="15" thickBot="1">
      <c r="A23" s="469" t="s">
        <v>693</v>
      </c>
      <c r="B23" s="470">
        <f>IFERROR(B6/B14,0)</f>
        <v>1</v>
      </c>
    </row>
    <row r="24" spans="1:5" ht="16.5" customHeight="1">
      <c r="A24" s="471" t="s">
        <v>681</v>
      </c>
      <c r="B24" s="472"/>
      <c r="C24" s="472"/>
      <c r="D24" s="472"/>
      <c r="E24" s="472"/>
    </row>
    <row r="25" spans="1:5" ht="25.5" customHeight="1">
      <c r="A25" s="471" t="s">
        <v>702</v>
      </c>
    </row>
    <row r="26" spans="1:5" ht="42.45" customHeight="1">
      <c r="A26" s="471" t="s">
        <v>704</v>
      </c>
      <c r="B26" s="134"/>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3" sqref="B3"/>
    </sheetView>
  </sheetViews>
  <sheetFormatPr defaultRowHeight="14.4"/>
  <cols>
    <col min="1" max="1" width="56.77734375" customWidth="1"/>
    <col min="2" max="2" width="28.109375" bestFit="1" customWidth="1"/>
    <col min="3" max="3" width="28.21875" customWidth="1"/>
    <col min="4" max="6" width="28.109375" customWidth="1"/>
  </cols>
  <sheetData>
    <row r="1" spans="1:7">
      <c r="A1" s="455" t="s">
        <v>31</v>
      </c>
      <c r="B1" s="456">
        <v>0</v>
      </c>
      <c r="C1" s="134"/>
    </row>
    <row r="2" spans="1:7">
      <c r="A2" s="455" t="s">
        <v>32</v>
      </c>
      <c r="B2" s="457">
        <v>45107</v>
      </c>
      <c r="C2" s="134"/>
    </row>
    <row r="3" spans="1:7">
      <c r="A3" s="458" t="s">
        <v>682</v>
      </c>
      <c r="B3" s="459" t="s">
        <v>676</v>
      </c>
      <c r="C3" s="134"/>
    </row>
    <row r="5" spans="1:7">
      <c r="A5" s="473"/>
    </row>
    <row r="6" spans="1:7" ht="15" thickBot="1">
      <c r="A6" s="474"/>
      <c r="B6" s="474"/>
      <c r="C6" s="474"/>
      <c r="D6" s="474"/>
      <c r="E6" s="474"/>
      <c r="F6" s="474"/>
    </row>
    <row r="7" spans="1:7">
      <c r="A7" s="782"/>
      <c r="B7" s="784" t="s">
        <v>708</v>
      </c>
      <c r="C7" s="784"/>
      <c r="D7" s="784"/>
      <c r="E7" s="784"/>
      <c r="F7" s="785" t="s">
        <v>65</v>
      </c>
    </row>
    <row r="8" spans="1:7">
      <c r="A8" s="783"/>
      <c r="B8" s="475" t="s">
        <v>694</v>
      </c>
      <c r="C8" s="475" t="s">
        <v>695</v>
      </c>
      <c r="D8" s="475" t="s">
        <v>696</v>
      </c>
      <c r="E8" s="475" t="s">
        <v>706</v>
      </c>
      <c r="F8" s="786"/>
    </row>
    <row r="9" spans="1:7">
      <c r="A9" s="476" t="s">
        <v>697</v>
      </c>
      <c r="B9" s="477">
        <f>B13+B17</f>
        <v>0</v>
      </c>
      <c r="C9" s="477">
        <f t="shared" ref="C9:E9" si="0">C13+C17</f>
        <v>0</v>
      </c>
      <c r="D9" s="477">
        <f t="shared" si="0"/>
        <v>0</v>
      </c>
      <c r="E9" s="477">
        <f t="shared" si="0"/>
        <v>0</v>
      </c>
      <c r="F9" s="478">
        <f>F13+F17</f>
        <v>0</v>
      </c>
    </row>
    <row r="10" spans="1:7">
      <c r="A10" s="479" t="s">
        <v>699</v>
      </c>
      <c r="B10" s="480">
        <f t="shared" ref="B10:E12" si="1">B14+B18</f>
        <v>0</v>
      </c>
      <c r="C10" s="480">
        <f t="shared" si="1"/>
        <v>0</v>
      </c>
      <c r="D10" s="480">
        <f t="shared" si="1"/>
        <v>0</v>
      </c>
      <c r="E10" s="480">
        <f t="shared" si="1"/>
        <v>0</v>
      </c>
      <c r="F10" s="478">
        <f>SUM(B10:E10)</f>
        <v>0</v>
      </c>
      <c r="G10" s="492"/>
    </row>
    <row r="11" spans="1:7">
      <c r="A11" s="479" t="s">
        <v>707</v>
      </c>
      <c r="B11" s="480">
        <f t="shared" si="1"/>
        <v>0</v>
      </c>
      <c r="C11" s="480">
        <f t="shared" si="1"/>
        <v>0</v>
      </c>
      <c r="D11" s="480">
        <f t="shared" si="1"/>
        <v>0</v>
      </c>
      <c r="E11" s="480">
        <f t="shared" si="1"/>
        <v>0</v>
      </c>
      <c r="F11" s="478">
        <f t="shared" ref="F11:F12" si="2">SUM(B11:E11)</f>
        <v>0</v>
      </c>
      <c r="G11" s="492"/>
    </row>
    <row r="12" spans="1:7">
      <c r="A12" s="481" t="s">
        <v>698</v>
      </c>
      <c r="B12" s="480">
        <f t="shared" si="1"/>
        <v>0</v>
      </c>
      <c r="C12" s="480">
        <f t="shared" si="1"/>
        <v>0</v>
      </c>
      <c r="D12" s="480">
        <f t="shared" si="1"/>
        <v>0</v>
      </c>
      <c r="E12" s="480">
        <f t="shared" si="1"/>
        <v>0</v>
      </c>
      <c r="F12" s="478">
        <f t="shared" si="2"/>
        <v>0</v>
      </c>
      <c r="G12" s="492"/>
    </row>
    <row r="13" spans="1:7">
      <c r="A13" s="482" t="s">
        <v>688</v>
      </c>
      <c r="B13" s="483"/>
      <c r="C13" s="483"/>
      <c r="D13" s="483"/>
      <c r="E13" s="483"/>
      <c r="F13" s="484"/>
    </row>
    <row r="14" spans="1:7">
      <c r="A14" s="479" t="s">
        <v>699</v>
      </c>
      <c r="B14" s="485"/>
      <c r="C14" s="485"/>
      <c r="D14" s="485"/>
      <c r="E14" s="485"/>
      <c r="F14" s="486"/>
    </row>
    <row r="15" spans="1:7">
      <c r="A15" s="479" t="s">
        <v>707</v>
      </c>
      <c r="B15" s="485"/>
      <c r="C15" s="485"/>
      <c r="D15" s="485"/>
      <c r="E15" s="485"/>
      <c r="F15" s="486"/>
    </row>
    <row r="16" spans="1:7">
      <c r="A16" s="481" t="s">
        <v>698</v>
      </c>
      <c r="B16" s="485"/>
      <c r="C16" s="485"/>
      <c r="D16" s="485"/>
      <c r="E16" s="485"/>
      <c r="F16" s="486"/>
    </row>
    <row r="17" spans="1:6">
      <c r="A17" s="482" t="s">
        <v>684</v>
      </c>
      <c r="B17" s="483"/>
      <c r="C17" s="483"/>
      <c r="D17" s="483"/>
      <c r="E17" s="483"/>
      <c r="F17" s="486"/>
    </row>
    <row r="18" spans="1:6">
      <c r="A18" s="479" t="s">
        <v>699</v>
      </c>
      <c r="B18" s="485"/>
      <c r="C18" s="485"/>
      <c r="D18" s="485"/>
      <c r="E18" s="485"/>
      <c r="F18" s="486"/>
    </row>
    <row r="19" spans="1:6">
      <c r="A19" s="479" t="s">
        <v>707</v>
      </c>
      <c r="B19" s="485"/>
      <c r="C19" s="485"/>
      <c r="D19" s="485"/>
      <c r="E19" s="485"/>
      <c r="F19" s="486"/>
    </row>
    <row r="20" spans="1:6" ht="15" thickBot="1">
      <c r="A20" s="481" t="s">
        <v>698</v>
      </c>
      <c r="B20" s="487"/>
      <c r="C20" s="487"/>
      <c r="D20" s="487"/>
      <c r="E20" s="487"/>
      <c r="F20" s="488"/>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37" activePane="bottomRight" state="frozen"/>
      <selection activeCell="B19" sqref="B19"/>
      <selection pane="topRight" activeCell="B19" sqref="B19"/>
      <selection pane="bottomLeft" activeCell="B19" sqref="B19"/>
      <selection pane="bottomRight" activeCell="D50" sqref="D50"/>
    </sheetView>
  </sheetViews>
  <sheetFormatPr defaultColWidth="9.21875" defaultRowHeight="13.8"/>
  <cols>
    <col min="1" max="1" width="10.77734375" style="4" customWidth="1"/>
    <col min="2" max="2" width="91.77734375" style="4" customWidth="1"/>
    <col min="3" max="3" width="53.21875" style="4" customWidth="1"/>
    <col min="4" max="4" width="32.21875" style="4" customWidth="1"/>
    <col min="5" max="5" width="9.44140625" style="5" customWidth="1"/>
    <col min="6" max="16384" width="9.21875" style="5"/>
  </cols>
  <sheetData>
    <row r="1" spans="1:6">
      <c r="A1" s="2" t="s">
        <v>31</v>
      </c>
      <c r="B1" s="3" t="str">
        <f>'Info '!C2</f>
        <v>JSC "CREDOBANK"</v>
      </c>
      <c r="E1" s="4"/>
      <c r="F1" s="4"/>
    </row>
    <row r="2" spans="1:6" s="2" customFormat="1" ht="15.75" customHeight="1">
      <c r="A2" s="2" t="s">
        <v>32</v>
      </c>
      <c r="B2" s="265">
        <f>'1. key ratios '!B2</f>
        <v>45838</v>
      </c>
    </row>
    <row r="3" spans="1:6" s="2" customFormat="1" ht="15.75" customHeight="1">
      <c r="A3" s="69"/>
    </row>
    <row r="4" spans="1:6" s="2" customFormat="1" ht="15.75" customHeight="1" thickBot="1">
      <c r="A4" s="2" t="s">
        <v>48</v>
      </c>
      <c r="B4" s="128" t="s">
        <v>166</v>
      </c>
      <c r="D4" s="20" t="s">
        <v>36</v>
      </c>
    </row>
    <row r="5" spans="1:6" ht="26.4">
      <c r="A5" s="70" t="s">
        <v>7</v>
      </c>
      <c r="B5" s="146" t="s">
        <v>206</v>
      </c>
      <c r="C5" s="71" t="s">
        <v>625</v>
      </c>
      <c r="D5" s="72" t="s">
        <v>50</v>
      </c>
    </row>
    <row r="6" spans="1:6" ht="14.4">
      <c r="A6" s="315">
        <v>1</v>
      </c>
      <c r="B6" s="316" t="s">
        <v>526</v>
      </c>
      <c r="C6" s="629">
        <f>SUM(C7:C9)</f>
        <v>491148885.90338242</v>
      </c>
      <c r="D6" s="73"/>
      <c r="E6" s="74"/>
    </row>
    <row r="7" spans="1:6" ht="14.4">
      <c r="A7" s="315">
        <v>1.1000000000000001</v>
      </c>
      <c r="B7" s="317" t="s">
        <v>527</v>
      </c>
      <c r="C7" s="630">
        <v>104906069.83</v>
      </c>
      <c r="D7" s="75"/>
      <c r="E7" s="74"/>
    </row>
    <row r="8" spans="1:6" ht="14.4">
      <c r="A8" s="315">
        <v>1.2</v>
      </c>
      <c r="B8" s="317" t="s">
        <v>528</v>
      </c>
      <c r="C8" s="630">
        <v>296997573.04999995</v>
      </c>
      <c r="D8" s="75"/>
      <c r="E8" s="74"/>
    </row>
    <row r="9" spans="1:6" ht="14.4">
      <c r="A9" s="315">
        <v>1.3</v>
      </c>
      <c r="B9" s="317" t="s">
        <v>529</v>
      </c>
      <c r="C9" s="630">
        <v>89245243.023382485</v>
      </c>
      <c r="D9" s="75"/>
      <c r="E9" s="74"/>
    </row>
    <row r="10" spans="1:6" ht="14.4">
      <c r="A10" s="315">
        <v>2</v>
      </c>
      <c r="B10" s="318" t="s">
        <v>530</v>
      </c>
      <c r="C10" s="631">
        <v>2958401.69</v>
      </c>
      <c r="D10" s="75"/>
      <c r="E10" s="74"/>
    </row>
    <row r="11" spans="1:6" ht="14.4">
      <c r="A11" s="315">
        <v>2.1</v>
      </c>
      <c r="B11" s="319" t="s">
        <v>531</v>
      </c>
      <c r="C11" s="632">
        <v>2958401.69</v>
      </c>
      <c r="D11" s="366"/>
      <c r="E11" s="76"/>
    </row>
    <row r="12" spans="1:6" ht="14.4">
      <c r="A12" s="315">
        <v>3</v>
      </c>
      <c r="B12" s="320" t="s">
        <v>532</v>
      </c>
      <c r="C12" s="633"/>
      <c r="D12" s="366"/>
      <c r="E12" s="76"/>
    </row>
    <row r="13" spans="1:6" ht="14.4">
      <c r="A13" s="315">
        <v>4</v>
      </c>
      <c r="B13" s="321" t="s">
        <v>533</v>
      </c>
      <c r="C13" s="633"/>
      <c r="D13" s="366"/>
      <c r="E13" s="76"/>
    </row>
    <row r="14" spans="1:6" ht="14.4">
      <c r="A14" s="315">
        <v>5</v>
      </c>
      <c r="B14" s="322" t="s">
        <v>534</v>
      </c>
      <c r="C14" s="633">
        <f>SUM(C15:C17)</f>
        <v>0</v>
      </c>
      <c r="D14" s="366"/>
      <c r="E14" s="76"/>
    </row>
    <row r="15" spans="1:6" ht="14.4">
      <c r="A15" s="315">
        <v>5.0999999999999996</v>
      </c>
      <c r="B15" s="323" t="s">
        <v>535</v>
      </c>
      <c r="C15" s="630"/>
      <c r="D15" s="366"/>
      <c r="E15" s="74"/>
    </row>
    <row r="16" spans="1:6" ht="14.4">
      <c r="A16" s="315">
        <v>5.2</v>
      </c>
      <c r="B16" s="323" t="s">
        <v>536</v>
      </c>
      <c r="C16" s="630"/>
      <c r="D16" s="75"/>
      <c r="E16" s="74"/>
    </row>
    <row r="17" spans="1:5" ht="14.4">
      <c r="A17" s="315">
        <v>5.3</v>
      </c>
      <c r="B17" s="324" t="s">
        <v>537</v>
      </c>
      <c r="C17" s="630"/>
      <c r="D17" s="75"/>
      <c r="E17" s="74"/>
    </row>
    <row r="18" spans="1:5" ht="14.4">
      <c r="A18" s="315">
        <v>6</v>
      </c>
      <c r="B18" s="320" t="s">
        <v>538</v>
      </c>
      <c r="C18" s="631">
        <f>SUM(C19:C20)</f>
        <v>2781684951.8897529</v>
      </c>
      <c r="D18" s="75"/>
      <c r="E18" s="74"/>
    </row>
    <row r="19" spans="1:5" ht="14.4">
      <c r="A19" s="315">
        <v>6.1</v>
      </c>
      <c r="B19" s="323" t="s">
        <v>536</v>
      </c>
      <c r="C19" s="632">
        <v>73312067.549999997</v>
      </c>
      <c r="D19" s="75"/>
      <c r="E19" s="74"/>
    </row>
    <row r="20" spans="1:5" ht="14.4">
      <c r="A20" s="315">
        <v>6.2</v>
      </c>
      <c r="B20" s="324" t="s">
        <v>537</v>
      </c>
      <c r="C20" s="632">
        <v>2708372884.3397527</v>
      </c>
      <c r="D20" s="75"/>
      <c r="E20" s="74"/>
    </row>
    <row r="21" spans="1:5" ht="14.4">
      <c r="A21" s="315">
        <v>7</v>
      </c>
      <c r="B21" s="318" t="s">
        <v>539</v>
      </c>
      <c r="C21" s="633">
        <v>2202413.5</v>
      </c>
      <c r="D21" s="75"/>
      <c r="E21" s="74"/>
    </row>
    <row r="22" spans="1:5" ht="14.4">
      <c r="A22" s="315">
        <v>8</v>
      </c>
      <c r="B22" s="325" t="s">
        <v>540</v>
      </c>
      <c r="C22" s="631"/>
      <c r="D22" s="75"/>
      <c r="E22" s="74"/>
    </row>
    <row r="23" spans="1:5" ht="14.4">
      <c r="A23" s="315">
        <v>9</v>
      </c>
      <c r="B23" s="321" t="s">
        <v>541</v>
      </c>
      <c r="C23" s="631">
        <f>SUM(C24:C25)</f>
        <v>53619535.339999974</v>
      </c>
      <c r="D23" s="367"/>
      <c r="E23" s="74"/>
    </row>
    <row r="24" spans="1:5" ht="14.4">
      <c r="A24" s="315">
        <v>9.1</v>
      </c>
      <c r="B24" s="323" t="s">
        <v>542</v>
      </c>
      <c r="C24" s="634">
        <v>53619535.339999974</v>
      </c>
      <c r="D24" s="77"/>
      <c r="E24" s="74"/>
    </row>
    <row r="25" spans="1:5" ht="14.4">
      <c r="A25" s="315">
        <v>9.1999999999999993</v>
      </c>
      <c r="B25" s="323" t="s">
        <v>543</v>
      </c>
      <c r="C25" s="711"/>
      <c r="D25" s="365"/>
      <c r="E25" s="78"/>
    </row>
    <row r="26" spans="1:5" ht="14.4">
      <c r="A26" s="315">
        <v>10</v>
      </c>
      <c r="B26" s="321" t="s">
        <v>544</v>
      </c>
      <c r="C26" s="635">
        <f>SUM(C27:C28)</f>
        <v>33263478.05999998</v>
      </c>
      <c r="D26" s="454" t="s">
        <v>785</v>
      </c>
      <c r="E26" s="74"/>
    </row>
    <row r="27" spans="1:5" ht="14.4">
      <c r="A27" s="315">
        <v>10.1</v>
      </c>
      <c r="B27" s="323" t="s">
        <v>545</v>
      </c>
      <c r="C27" s="630"/>
      <c r="D27" s="637"/>
      <c r="E27" s="74"/>
    </row>
    <row r="28" spans="1:5" ht="14.4">
      <c r="A28" s="315">
        <v>10.199999999999999</v>
      </c>
      <c r="B28" s="323" t="s">
        <v>546</v>
      </c>
      <c r="C28" s="630">
        <v>33263478.05999998</v>
      </c>
      <c r="D28" s="637"/>
      <c r="E28" s="74"/>
    </row>
    <row r="29" spans="1:5" ht="14.4">
      <c r="A29" s="315">
        <v>11</v>
      </c>
      <c r="B29" s="321" t="s">
        <v>547</v>
      </c>
      <c r="C29" s="631">
        <f>SUM(C30:C31)</f>
        <v>0</v>
      </c>
      <c r="D29" s="637"/>
      <c r="E29" s="74"/>
    </row>
    <row r="30" spans="1:5" ht="14.4">
      <c r="A30" s="315">
        <v>11.1</v>
      </c>
      <c r="B30" s="323" t="s">
        <v>548</v>
      </c>
      <c r="C30" s="630"/>
      <c r="D30" s="637"/>
      <c r="E30" s="74"/>
    </row>
    <row r="31" spans="1:5" ht="14.4">
      <c r="A31" s="315">
        <v>11.2</v>
      </c>
      <c r="B31" s="323" t="s">
        <v>549</v>
      </c>
      <c r="C31" s="630"/>
      <c r="D31" s="637"/>
      <c r="E31" s="74"/>
    </row>
    <row r="32" spans="1:5" ht="14.4">
      <c r="A32" s="315">
        <v>13</v>
      </c>
      <c r="B32" s="321" t="s">
        <v>550</v>
      </c>
      <c r="C32" s="631">
        <v>59929540.920000009</v>
      </c>
      <c r="D32" s="637"/>
      <c r="E32" s="74"/>
    </row>
    <row r="33" spans="1:5" ht="14.4">
      <c r="A33" s="315">
        <v>13.1</v>
      </c>
      <c r="B33" s="326" t="s">
        <v>551</v>
      </c>
      <c r="C33" s="630">
        <v>26038814.609999999</v>
      </c>
      <c r="D33" s="637"/>
      <c r="E33" s="74"/>
    </row>
    <row r="34" spans="1:5" ht="14.4">
      <c r="A34" s="315">
        <v>13.2</v>
      </c>
      <c r="B34" s="326" t="s">
        <v>552</v>
      </c>
      <c r="C34" s="634"/>
      <c r="D34" s="638"/>
      <c r="E34" s="74"/>
    </row>
    <row r="35" spans="1:5" ht="14.4">
      <c r="A35" s="315">
        <v>14</v>
      </c>
      <c r="B35" s="327" t="s">
        <v>553</v>
      </c>
      <c r="C35" s="636">
        <f>SUM(C6,C10,C12,C13,C14,C18,C21,C22,C23,C26,C29,C32)</f>
        <v>3424807207.3031354</v>
      </c>
      <c r="D35" s="718"/>
      <c r="E35" s="74"/>
    </row>
    <row r="36" spans="1:5" ht="14.4">
      <c r="A36" s="315"/>
      <c r="B36" s="328" t="s">
        <v>554</v>
      </c>
      <c r="C36" s="79"/>
      <c r="D36" s="639"/>
      <c r="E36" s="74"/>
    </row>
    <row r="37" spans="1:5" ht="14.4">
      <c r="A37" s="315">
        <v>15</v>
      </c>
      <c r="B37" s="329" t="s">
        <v>555</v>
      </c>
      <c r="C37" s="711">
        <v>3962499.94</v>
      </c>
      <c r="D37" s="640"/>
      <c r="E37" s="78"/>
    </row>
    <row r="38" spans="1:5" ht="14.4">
      <c r="A38" s="330">
        <v>15.1</v>
      </c>
      <c r="B38" s="331" t="s">
        <v>531</v>
      </c>
      <c r="C38" s="630">
        <v>3962499.94</v>
      </c>
      <c r="D38" s="637"/>
      <c r="E38" s="74"/>
    </row>
    <row r="39" spans="1:5" ht="14.4">
      <c r="A39" s="330">
        <v>16</v>
      </c>
      <c r="B39" s="318" t="s">
        <v>556</v>
      </c>
      <c r="C39" s="631"/>
      <c r="D39" s="637"/>
      <c r="E39" s="74"/>
    </row>
    <row r="40" spans="1:5" ht="14.4">
      <c r="A40" s="330">
        <v>17</v>
      </c>
      <c r="B40" s="318" t="s">
        <v>557</v>
      </c>
      <c r="C40" s="631">
        <f>SUM(C41:C44)</f>
        <v>2766704533.4571967</v>
      </c>
      <c r="D40" s="637"/>
      <c r="E40" s="74"/>
    </row>
    <row r="41" spans="1:5" ht="14.4">
      <c r="A41" s="330">
        <v>17.100000000000001</v>
      </c>
      <c r="B41" s="332" t="s">
        <v>558</v>
      </c>
      <c r="C41" s="630">
        <v>1401596724.9671969</v>
      </c>
      <c r="D41" s="637"/>
      <c r="E41" s="74"/>
    </row>
    <row r="42" spans="1:5" ht="14.4">
      <c r="A42" s="330">
        <v>17.2</v>
      </c>
      <c r="B42" s="333" t="s">
        <v>559</v>
      </c>
      <c r="C42" s="634">
        <v>1341848481.9699998</v>
      </c>
      <c r="D42" s="638"/>
      <c r="E42" s="74"/>
    </row>
    <row r="43" spans="1:5" ht="14.4">
      <c r="A43" s="330">
        <v>17.3</v>
      </c>
      <c r="B43" s="359" t="s">
        <v>560</v>
      </c>
      <c r="C43" s="712">
        <v>0</v>
      </c>
      <c r="D43" s="641"/>
      <c r="E43" s="74"/>
    </row>
    <row r="44" spans="1:5" ht="14.4">
      <c r="A44" s="330">
        <v>17.399999999999999</v>
      </c>
      <c r="B44" s="360" t="s">
        <v>561</v>
      </c>
      <c r="C44" s="712">
        <v>23259326.52</v>
      </c>
      <c r="D44" s="641"/>
      <c r="E44" s="74"/>
    </row>
    <row r="45" spans="1:5" ht="14.4">
      <c r="A45" s="330">
        <v>18</v>
      </c>
      <c r="B45" s="338" t="s">
        <v>562</v>
      </c>
      <c r="C45" s="713">
        <v>1768709.2000000002</v>
      </c>
      <c r="D45" s="641"/>
      <c r="E45" s="78"/>
    </row>
    <row r="46" spans="1:5" ht="14.4">
      <c r="A46" s="330">
        <v>19</v>
      </c>
      <c r="B46" s="338" t="s">
        <v>563</v>
      </c>
      <c r="C46" s="713">
        <f>SUM(C47:C48)</f>
        <v>9217250.7799999937</v>
      </c>
      <c r="D46" s="642"/>
    </row>
    <row r="47" spans="1:5" ht="14.4">
      <c r="A47" s="330">
        <v>19.100000000000001</v>
      </c>
      <c r="B47" s="361" t="s">
        <v>564</v>
      </c>
      <c r="C47" s="712">
        <v>3651432.5699999947</v>
      </c>
      <c r="D47" s="642"/>
    </row>
    <row r="48" spans="1:5" ht="14.4">
      <c r="A48" s="330">
        <v>19.2</v>
      </c>
      <c r="B48" s="361" t="s">
        <v>565</v>
      </c>
      <c r="C48" s="712">
        <v>5565818.21</v>
      </c>
      <c r="D48" s="642"/>
    </row>
    <row r="49" spans="1:4" ht="14.4">
      <c r="A49" s="330">
        <v>20</v>
      </c>
      <c r="B49" s="334" t="s">
        <v>566</v>
      </c>
      <c r="C49" s="713">
        <v>170976919.25</v>
      </c>
      <c r="D49" s="454" t="s">
        <v>791</v>
      </c>
    </row>
    <row r="50" spans="1:4" ht="14.4">
      <c r="A50" s="330">
        <v>21</v>
      </c>
      <c r="B50" s="362" t="s">
        <v>567</v>
      </c>
      <c r="C50" s="713">
        <v>50937270.93999999</v>
      </c>
      <c r="D50" s="642"/>
    </row>
    <row r="51" spans="1:4" ht="14.4">
      <c r="A51" s="330">
        <v>21.1</v>
      </c>
      <c r="B51" s="333" t="s">
        <v>568</v>
      </c>
      <c r="C51" s="714"/>
      <c r="D51" s="642"/>
    </row>
    <row r="52" spans="1:4" ht="14.4">
      <c r="A52" s="330">
        <v>22</v>
      </c>
      <c r="B52" s="335" t="s">
        <v>569</v>
      </c>
      <c r="C52" s="713">
        <f>SUM(C37,C39,C40,C45,C46,C49,C50)</f>
        <v>3003567183.5671968</v>
      </c>
      <c r="D52" s="642"/>
    </row>
    <row r="53" spans="1:4" ht="14.4">
      <c r="A53" s="330"/>
      <c r="B53" s="336" t="s">
        <v>570</v>
      </c>
      <c r="C53" s="715"/>
      <c r="D53" s="642"/>
    </row>
    <row r="54" spans="1:4" ht="14.4">
      <c r="A54" s="330">
        <v>23</v>
      </c>
      <c r="B54" s="334" t="s">
        <v>571</v>
      </c>
      <c r="C54" s="713">
        <v>5270620</v>
      </c>
      <c r="D54" s="454" t="s">
        <v>786</v>
      </c>
    </row>
    <row r="55" spans="1:4" ht="14.4">
      <c r="A55" s="330">
        <v>24</v>
      </c>
      <c r="B55" s="334" t="s">
        <v>572</v>
      </c>
      <c r="C55" s="716"/>
      <c r="D55" s="642"/>
    </row>
    <row r="56" spans="1:4" ht="14.4">
      <c r="A56" s="330">
        <v>25</v>
      </c>
      <c r="B56" s="338" t="s">
        <v>573</v>
      </c>
      <c r="C56" s="713">
        <v>41797125.18</v>
      </c>
      <c r="D56" s="454" t="s">
        <v>787</v>
      </c>
    </row>
    <row r="57" spans="1:4" ht="14.4">
      <c r="A57" s="330">
        <v>26</v>
      </c>
      <c r="B57" s="338" t="s">
        <v>574</v>
      </c>
      <c r="C57" s="716"/>
      <c r="D57" s="642"/>
    </row>
    <row r="58" spans="1:4" ht="14.4">
      <c r="A58" s="330">
        <v>27</v>
      </c>
      <c r="B58" s="338" t="s">
        <v>575</v>
      </c>
      <c r="C58" s="716">
        <f>SUM(C59:C60)</f>
        <v>0</v>
      </c>
      <c r="D58" s="642"/>
    </row>
    <row r="59" spans="1:4" ht="14.4">
      <c r="A59" s="330">
        <v>27.1</v>
      </c>
      <c r="B59" s="360" t="s">
        <v>576</v>
      </c>
      <c r="C59" s="717"/>
      <c r="D59" s="642"/>
    </row>
    <row r="60" spans="1:4" ht="14.4">
      <c r="A60" s="330">
        <v>27.2</v>
      </c>
      <c r="B60" s="360" t="s">
        <v>577</v>
      </c>
      <c r="C60" s="717"/>
      <c r="D60" s="642"/>
    </row>
    <row r="61" spans="1:4" ht="14.4">
      <c r="A61" s="330">
        <v>28</v>
      </c>
      <c r="B61" s="337" t="s">
        <v>578</v>
      </c>
      <c r="C61" s="716"/>
      <c r="D61" s="642"/>
    </row>
    <row r="62" spans="1:4" ht="14.4">
      <c r="A62" s="330">
        <v>29</v>
      </c>
      <c r="B62" s="338" t="s">
        <v>579</v>
      </c>
      <c r="C62" s="716">
        <f>SUM(C63:C65)</f>
        <v>0</v>
      </c>
      <c r="D62" s="642"/>
    </row>
    <row r="63" spans="1:4" ht="14.4">
      <c r="A63" s="330">
        <v>29.1</v>
      </c>
      <c r="B63" s="363" t="s">
        <v>580</v>
      </c>
      <c r="C63" s="717"/>
      <c r="D63" s="642"/>
    </row>
    <row r="64" spans="1:4" ht="14.4">
      <c r="A64" s="330">
        <v>29.2</v>
      </c>
      <c r="B64" s="361" t="s">
        <v>581</v>
      </c>
      <c r="C64" s="717"/>
      <c r="D64" s="642"/>
    </row>
    <row r="65" spans="1:4" ht="14.4">
      <c r="A65" s="330">
        <v>29.3</v>
      </c>
      <c r="B65" s="361" t="s">
        <v>582</v>
      </c>
      <c r="C65" s="717"/>
      <c r="D65" s="642"/>
    </row>
    <row r="66" spans="1:4" ht="14.4">
      <c r="A66" s="330">
        <v>30</v>
      </c>
      <c r="B66" s="338" t="s">
        <v>583</v>
      </c>
      <c r="C66" s="713">
        <v>374172278.06696802</v>
      </c>
      <c r="D66" s="454" t="s">
        <v>788</v>
      </c>
    </row>
    <row r="67" spans="1:4" ht="14.4">
      <c r="A67" s="330">
        <v>31</v>
      </c>
      <c r="B67" s="364" t="s">
        <v>584</v>
      </c>
      <c r="C67" s="713">
        <f>SUM(C54,C55,C56,C57,C58,C61,C62,C66)</f>
        <v>421240023.24696803</v>
      </c>
      <c r="D67" s="642"/>
    </row>
    <row r="68" spans="1:4" ht="14.4">
      <c r="A68" s="330">
        <v>32</v>
      </c>
      <c r="B68" s="338" t="s">
        <v>585</v>
      </c>
      <c r="C68" s="713">
        <f>SUM(C52,C67)</f>
        <v>3424807206.8141651</v>
      </c>
      <c r="D68" s="642"/>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6" activePane="bottomRight" state="frozen"/>
      <selection activeCell="B19" sqref="B19"/>
      <selection pane="topRight" activeCell="B19" sqref="B19"/>
      <selection pane="bottomLeft" activeCell="B19" sqref="B19"/>
      <selection pane="bottomRight" activeCell="D15" sqref="D15"/>
    </sheetView>
  </sheetViews>
  <sheetFormatPr defaultColWidth="9.2187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21875" style="4" bestFit="1" customWidth="1"/>
    <col min="9" max="9" width="13" style="4" bestFit="1" customWidth="1"/>
    <col min="10" max="10" width="13.21875" style="4" bestFit="1" customWidth="1"/>
    <col min="11" max="11" width="13" style="4" bestFit="1" customWidth="1"/>
    <col min="12" max="16" width="13" style="19" bestFit="1" customWidth="1"/>
    <col min="17" max="17" width="14.77734375" style="19" customWidth="1"/>
    <col min="18" max="18" width="13" style="19" bestFit="1" customWidth="1"/>
    <col min="19" max="19" width="34.77734375" style="19" customWidth="1"/>
    <col min="20" max="16384" width="9.21875" style="19"/>
  </cols>
  <sheetData>
    <row r="1" spans="1:19">
      <c r="A1" s="2" t="s">
        <v>31</v>
      </c>
      <c r="B1" s="3" t="str">
        <f>'Info '!C2</f>
        <v>JSC "CREDOBANK"</v>
      </c>
    </row>
    <row r="2" spans="1:19">
      <c r="A2" s="2" t="s">
        <v>32</v>
      </c>
      <c r="B2" s="265">
        <f>'1. key ratios '!B2</f>
        <v>45838</v>
      </c>
    </row>
    <row r="4" spans="1:19" ht="27" thickBot="1">
      <c r="A4" s="4" t="s">
        <v>147</v>
      </c>
      <c r="B4" s="165" t="s">
        <v>239</v>
      </c>
    </row>
    <row r="5" spans="1:19" s="153" customFormat="1" ht="13.8">
      <c r="A5" s="148"/>
      <c r="B5" s="149"/>
      <c r="C5" s="150" t="s">
        <v>0</v>
      </c>
      <c r="D5" s="150" t="s">
        <v>1</v>
      </c>
      <c r="E5" s="150" t="s">
        <v>2</v>
      </c>
      <c r="F5" s="150" t="s">
        <v>3</v>
      </c>
      <c r="G5" s="150" t="s">
        <v>4</v>
      </c>
      <c r="H5" s="150" t="s">
        <v>6</v>
      </c>
      <c r="I5" s="150" t="s">
        <v>9</v>
      </c>
      <c r="J5" s="150" t="s">
        <v>10</v>
      </c>
      <c r="K5" s="150" t="s">
        <v>11</v>
      </c>
      <c r="L5" s="150" t="s">
        <v>12</v>
      </c>
      <c r="M5" s="150" t="s">
        <v>13</v>
      </c>
      <c r="N5" s="150" t="s">
        <v>14</v>
      </c>
      <c r="O5" s="150" t="s">
        <v>223</v>
      </c>
      <c r="P5" s="150" t="s">
        <v>224</v>
      </c>
      <c r="Q5" s="150" t="s">
        <v>225</v>
      </c>
      <c r="R5" s="151" t="s">
        <v>226</v>
      </c>
      <c r="S5" s="152" t="s">
        <v>227</v>
      </c>
    </row>
    <row r="6" spans="1:19" s="153" customFormat="1" ht="99" customHeight="1">
      <c r="A6" s="154"/>
      <c r="B6" s="791" t="s">
        <v>228</v>
      </c>
      <c r="C6" s="787">
        <v>0</v>
      </c>
      <c r="D6" s="788"/>
      <c r="E6" s="787">
        <v>0.2</v>
      </c>
      <c r="F6" s="788"/>
      <c r="G6" s="787">
        <v>0.35</v>
      </c>
      <c r="H6" s="788"/>
      <c r="I6" s="787">
        <v>0.5</v>
      </c>
      <c r="J6" s="788"/>
      <c r="K6" s="787">
        <v>0.75</v>
      </c>
      <c r="L6" s="788"/>
      <c r="M6" s="787">
        <v>1</v>
      </c>
      <c r="N6" s="788"/>
      <c r="O6" s="787">
        <v>1.5</v>
      </c>
      <c r="P6" s="788"/>
      <c r="Q6" s="787">
        <v>2.5</v>
      </c>
      <c r="R6" s="788"/>
      <c r="S6" s="789" t="s">
        <v>146</v>
      </c>
    </row>
    <row r="7" spans="1:19" s="153" customFormat="1" ht="30.75" customHeight="1">
      <c r="A7" s="154"/>
      <c r="B7" s="792"/>
      <c r="C7" s="145" t="s">
        <v>149</v>
      </c>
      <c r="D7" s="145" t="s">
        <v>148</v>
      </c>
      <c r="E7" s="145" t="s">
        <v>149</v>
      </c>
      <c r="F7" s="145" t="s">
        <v>148</v>
      </c>
      <c r="G7" s="145" t="s">
        <v>149</v>
      </c>
      <c r="H7" s="145" t="s">
        <v>148</v>
      </c>
      <c r="I7" s="145" t="s">
        <v>149</v>
      </c>
      <c r="J7" s="145" t="s">
        <v>148</v>
      </c>
      <c r="K7" s="145" t="s">
        <v>149</v>
      </c>
      <c r="L7" s="145" t="s">
        <v>148</v>
      </c>
      <c r="M7" s="145" t="s">
        <v>149</v>
      </c>
      <c r="N7" s="145" t="s">
        <v>148</v>
      </c>
      <c r="O7" s="145" t="s">
        <v>149</v>
      </c>
      <c r="P7" s="145" t="s">
        <v>148</v>
      </c>
      <c r="Q7" s="145" t="s">
        <v>149</v>
      </c>
      <c r="R7" s="145" t="s">
        <v>148</v>
      </c>
      <c r="S7" s="790"/>
    </row>
    <row r="8" spans="1:19">
      <c r="A8" s="80">
        <v>1</v>
      </c>
      <c r="B8" s="1" t="s">
        <v>52</v>
      </c>
      <c r="C8" s="81">
        <v>304881886.04406643</v>
      </c>
      <c r="D8" s="81"/>
      <c r="E8" s="81"/>
      <c r="F8" s="81"/>
      <c r="G8" s="81"/>
      <c r="H8" s="81"/>
      <c r="I8" s="81"/>
      <c r="J8" s="81"/>
      <c r="K8" s="81"/>
      <c r="L8" s="81"/>
      <c r="M8" s="81">
        <v>65427754.55526901</v>
      </c>
      <c r="N8" s="81"/>
      <c r="O8" s="81"/>
      <c r="P8" s="81"/>
      <c r="Q8" s="81"/>
      <c r="R8" s="81"/>
      <c r="S8" s="166">
        <f>$C$6*SUM(C8:D8)+$E$6*SUM(E8:F8)+$G$6*SUM(G8:H8)+$I$6*SUM(I8:J8)+$K$6*SUM(K8:L8)+$M$6*SUM(M8:N8)+$O$6*SUM(O8:P8)+$Q$6*SUM(Q8:R8)</f>
        <v>65427754.55526901</v>
      </c>
    </row>
    <row r="9" spans="1:19">
      <c r="A9" s="80">
        <v>2</v>
      </c>
      <c r="B9" s="1" t="s">
        <v>53</v>
      </c>
      <c r="C9" s="81"/>
      <c r="D9" s="81"/>
      <c r="E9" s="81"/>
      <c r="F9" s="81"/>
      <c r="G9" s="81"/>
      <c r="H9" s="81"/>
      <c r="I9" s="81"/>
      <c r="J9" s="81"/>
      <c r="K9" s="81"/>
      <c r="L9" s="81"/>
      <c r="M9" s="81"/>
      <c r="N9" s="81"/>
      <c r="O9" s="81"/>
      <c r="P9" s="81"/>
      <c r="Q9" s="81"/>
      <c r="R9" s="81"/>
      <c r="S9" s="166">
        <f t="shared" ref="S9:S21" si="0">$C$6*SUM(C9:D9)+$E$6*SUM(E9:F9)+$G$6*SUM(G9:H9)+$I$6*SUM(I9:J9)+$K$6*SUM(K9:L9)+$M$6*SUM(M9:N9)+$O$6*SUM(O9:P9)+$Q$6*SUM(Q9:R9)</f>
        <v>0</v>
      </c>
    </row>
    <row r="10" spans="1:19">
      <c r="A10" s="80">
        <v>3</v>
      </c>
      <c r="B10" s="1" t="s">
        <v>153</v>
      </c>
      <c r="C10" s="81"/>
      <c r="D10" s="81"/>
      <c r="E10" s="81"/>
      <c r="F10" s="81"/>
      <c r="G10" s="81"/>
      <c r="H10" s="81"/>
      <c r="I10" s="81"/>
      <c r="J10" s="81"/>
      <c r="K10" s="81"/>
      <c r="L10" s="81"/>
      <c r="M10" s="81"/>
      <c r="N10" s="81"/>
      <c r="O10" s="81"/>
      <c r="P10" s="81"/>
      <c r="Q10" s="81"/>
      <c r="R10" s="81"/>
      <c r="S10" s="166">
        <f t="shared" si="0"/>
        <v>0</v>
      </c>
    </row>
    <row r="11" spans="1:19">
      <c r="A11" s="80">
        <v>4</v>
      </c>
      <c r="B11" s="1" t="s">
        <v>54</v>
      </c>
      <c r="C11" s="81"/>
      <c r="D11" s="81"/>
      <c r="E11" s="81"/>
      <c r="F11" s="81"/>
      <c r="G11" s="81"/>
      <c r="H11" s="81"/>
      <c r="I11" s="81"/>
      <c r="J11" s="81"/>
      <c r="K11" s="81"/>
      <c r="L11" s="81"/>
      <c r="M11" s="81"/>
      <c r="N11" s="81"/>
      <c r="O11" s="81"/>
      <c r="P11" s="81"/>
      <c r="Q11" s="81"/>
      <c r="R11" s="81"/>
      <c r="S11" s="166">
        <f t="shared" si="0"/>
        <v>0</v>
      </c>
    </row>
    <row r="12" spans="1:19">
      <c r="A12" s="80">
        <v>5</v>
      </c>
      <c r="B12" s="1" t="s">
        <v>55</v>
      </c>
      <c r="C12" s="81"/>
      <c r="D12" s="81"/>
      <c r="E12" s="81"/>
      <c r="F12" s="81"/>
      <c r="G12" s="81"/>
      <c r="H12" s="81"/>
      <c r="I12" s="81"/>
      <c r="J12" s="81"/>
      <c r="K12" s="81"/>
      <c r="L12" s="81"/>
      <c r="M12" s="81"/>
      <c r="N12" s="81"/>
      <c r="O12" s="81"/>
      <c r="P12" s="81"/>
      <c r="Q12" s="81"/>
      <c r="R12" s="81"/>
      <c r="S12" s="166">
        <f t="shared" si="0"/>
        <v>0</v>
      </c>
    </row>
    <row r="13" spans="1:19">
      <c r="A13" s="80">
        <v>6</v>
      </c>
      <c r="B13" s="1" t="s">
        <v>56</v>
      </c>
      <c r="C13" s="81"/>
      <c r="D13" s="81"/>
      <c r="E13" s="81">
        <v>72845583.518263176</v>
      </c>
      <c r="F13" s="81"/>
      <c r="G13" s="81"/>
      <c r="H13" s="81"/>
      <c r="I13" s="81">
        <v>16220467.740835134</v>
      </c>
      <c r="J13" s="81"/>
      <c r="K13" s="81"/>
      <c r="L13" s="81"/>
      <c r="M13" s="81">
        <v>165913.6881978552</v>
      </c>
      <c r="N13" s="81"/>
      <c r="O13" s="81">
        <v>13277.395413608419</v>
      </c>
      <c r="P13" s="81"/>
      <c r="Q13" s="81"/>
      <c r="R13" s="81"/>
      <c r="S13" s="166">
        <f t="shared" si="0"/>
        <v>22865180.355388466</v>
      </c>
    </row>
    <row r="14" spans="1:19">
      <c r="A14" s="80">
        <v>7</v>
      </c>
      <c r="B14" s="1" t="s">
        <v>57</v>
      </c>
      <c r="C14" s="81"/>
      <c r="D14" s="81"/>
      <c r="E14" s="81"/>
      <c r="F14" s="81"/>
      <c r="G14" s="81"/>
      <c r="H14" s="81"/>
      <c r="I14" s="81"/>
      <c r="J14" s="81"/>
      <c r="K14" s="81"/>
      <c r="L14" s="81"/>
      <c r="M14" s="81">
        <v>81481985.298495144</v>
      </c>
      <c r="N14" s="81">
        <v>9991505.5</v>
      </c>
      <c r="O14" s="81"/>
      <c r="P14" s="81"/>
      <c r="Q14" s="81"/>
      <c r="R14" s="81"/>
      <c r="S14" s="166">
        <f t="shared" si="0"/>
        <v>91473490.798495144</v>
      </c>
    </row>
    <row r="15" spans="1:19">
      <c r="A15" s="80">
        <v>8</v>
      </c>
      <c r="B15" s="1" t="s">
        <v>58</v>
      </c>
      <c r="C15" s="81"/>
      <c r="D15" s="81"/>
      <c r="E15" s="81"/>
      <c r="F15" s="81"/>
      <c r="G15" s="81"/>
      <c r="H15" s="81"/>
      <c r="I15" s="81" t="s">
        <v>5</v>
      </c>
      <c r="J15" s="81"/>
      <c r="K15" s="81">
        <v>2473405340.9546461</v>
      </c>
      <c r="L15" s="81">
        <v>90110430.5</v>
      </c>
      <c r="M15" s="81"/>
      <c r="N15" s="81"/>
      <c r="O15" s="81"/>
      <c r="P15" s="81"/>
      <c r="Q15" s="81"/>
      <c r="R15" s="81"/>
      <c r="S15" s="166">
        <f t="shared" si="0"/>
        <v>1922636828.5909846</v>
      </c>
    </row>
    <row r="16" spans="1:19">
      <c r="A16" s="80">
        <v>9</v>
      </c>
      <c r="B16" s="1" t="s">
        <v>59</v>
      </c>
      <c r="C16" s="81"/>
      <c r="D16" s="81"/>
      <c r="E16" s="81"/>
      <c r="F16" s="81"/>
      <c r="G16" s="81">
        <v>148142297.72909498</v>
      </c>
      <c r="H16" s="81"/>
      <c r="I16" s="81"/>
      <c r="J16" s="81"/>
      <c r="K16" s="81"/>
      <c r="L16" s="81"/>
      <c r="M16" s="81"/>
      <c r="N16" s="81"/>
      <c r="O16" s="81"/>
      <c r="P16" s="81"/>
      <c r="Q16" s="81"/>
      <c r="R16" s="81"/>
      <c r="S16" s="166">
        <f t="shared" si="0"/>
        <v>51849804.205183238</v>
      </c>
    </row>
    <row r="17" spans="1:19">
      <c r="A17" s="80">
        <v>10</v>
      </c>
      <c r="B17" s="1" t="s">
        <v>60</v>
      </c>
      <c r="C17" s="81"/>
      <c r="D17" s="81"/>
      <c r="E17" s="81"/>
      <c r="F17" s="81"/>
      <c r="G17" s="81"/>
      <c r="H17" s="81"/>
      <c r="I17" s="81">
        <v>174971.9514109529</v>
      </c>
      <c r="J17" s="81"/>
      <c r="K17" s="81"/>
      <c r="L17" s="81"/>
      <c r="M17" s="81">
        <v>5168288.4388712049</v>
      </c>
      <c r="N17" s="81"/>
      <c r="O17" s="81"/>
      <c r="P17" s="81"/>
      <c r="Q17" s="81"/>
      <c r="R17" s="81"/>
      <c r="S17" s="166">
        <f t="shared" si="0"/>
        <v>5255774.4145766813</v>
      </c>
    </row>
    <row r="18" spans="1:19">
      <c r="A18" s="80">
        <v>11</v>
      </c>
      <c r="B18" s="1" t="s">
        <v>61</v>
      </c>
      <c r="C18" s="81"/>
      <c r="D18" s="81"/>
      <c r="E18" s="81"/>
      <c r="F18" s="81"/>
      <c r="G18" s="81"/>
      <c r="H18" s="81"/>
      <c r="I18" s="81"/>
      <c r="J18" s="81"/>
      <c r="K18" s="81"/>
      <c r="L18" s="81"/>
      <c r="M18" s="81"/>
      <c r="N18" s="81"/>
      <c r="O18" s="81"/>
      <c r="P18" s="81"/>
      <c r="Q18" s="81"/>
      <c r="R18" s="81"/>
      <c r="S18" s="166">
        <f t="shared" si="0"/>
        <v>0</v>
      </c>
    </row>
    <row r="19" spans="1:19">
      <c r="A19" s="80">
        <v>12</v>
      </c>
      <c r="B19" s="1" t="s">
        <v>62</v>
      </c>
      <c r="C19" s="81"/>
      <c r="D19" s="81"/>
      <c r="E19" s="81"/>
      <c r="F19" s="81"/>
      <c r="G19" s="81"/>
      <c r="H19" s="81"/>
      <c r="I19" s="81"/>
      <c r="J19" s="81"/>
      <c r="K19" s="81"/>
      <c r="L19" s="81"/>
      <c r="M19" s="81"/>
      <c r="N19" s="81"/>
      <c r="O19" s="81"/>
      <c r="P19" s="81"/>
      <c r="Q19" s="81"/>
      <c r="R19" s="81"/>
      <c r="S19" s="166">
        <f t="shared" si="0"/>
        <v>0</v>
      </c>
    </row>
    <row r="20" spans="1:19">
      <c r="A20" s="80">
        <v>13</v>
      </c>
      <c r="B20" s="1" t="s">
        <v>145</v>
      </c>
      <c r="C20" s="81"/>
      <c r="D20" s="81"/>
      <c r="E20" s="81"/>
      <c r="F20" s="81"/>
      <c r="G20" s="81"/>
      <c r="H20" s="81"/>
      <c r="I20" s="81"/>
      <c r="J20" s="81"/>
      <c r="K20" s="81"/>
      <c r="L20" s="81"/>
      <c r="M20" s="81"/>
      <c r="N20" s="81"/>
      <c r="O20" s="81"/>
      <c r="P20" s="81"/>
      <c r="Q20" s="81"/>
      <c r="R20" s="81"/>
      <c r="S20" s="166">
        <f t="shared" si="0"/>
        <v>0</v>
      </c>
    </row>
    <row r="21" spans="1:19">
      <c r="A21" s="80">
        <v>14</v>
      </c>
      <c r="B21" s="1" t="s">
        <v>64</v>
      </c>
      <c r="C21" s="81">
        <v>104906069.83</v>
      </c>
      <c r="D21" s="81"/>
      <c r="E21" s="81"/>
      <c r="F21" s="81"/>
      <c r="G21" s="81"/>
      <c r="H21" s="81"/>
      <c r="I21" s="81"/>
      <c r="J21" s="81"/>
      <c r="K21" s="81"/>
      <c r="L21" s="81"/>
      <c r="M21" s="81">
        <v>116507477.94999999</v>
      </c>
      <c r="N21" s="81"/>
      <c r="O21" s="81"/>
      <c r="P21" s="81"/>
      <c r="Q21" s="81">
        <v>2202413.5</v>
      </c>
      <c r="R21" s="81"/>
      <c r="S21" s="166">
        <f t="shared" si="0"/>
        <v>122013511.69999999</v>
      </c>
    </row>
    <row r="22" spans="1:19" ht="13.8" thickBot="1">
      <c r="A22" s="82"/>
      <c r="B22" s="83" t="s">
        <v>65</v>
      </c>
      <c r="C22" s="84">
        <f>SUM(C8:C21)</f>
        <v>409787955.87406641</v>
      </c>
      <c r="D22" s="84">
        <f t="shared" ref="D22:J22" si="1">SUM(D8:D21)</f>
        <v>0</v>
      </c>
      <c r="E22" s="84">
        <f t="shared" si="1"/>
        <v>72845583.518263176</v>
      </c>
      <c r="F22" s="84">
        <f t="shared" si="1"/>
        <v>0</v>
      </c>
      <c r="G22" s="84">
        <f t="shared" si="1"/>
        <v>148142297.72909498</v>
      </c>
      <c r="H22" s="84">
        <f t="shared" si="1"/>
        <v>0</v>
      </c>
      <c r="I22" s="84">
        <f t="shared" si="1"/>
        <v>16395439.692246087</v>
      </c>
      <c r="J22" s="84">
        <f t="shared" si="1"/>
        <v>0</v>
      </c>
      <c r="K22" s="84">
        <f t="shared" ref="K22:S22" si="2">SUM(K8:K21)</f>
        <v>2473405340.9546461</v>
      </c>
      <c r="L22" s="84">
        <f t="shared" si="2"/>
        <v>90110430.5</v>
      </c>
      <c r="M22" s="84">
        <f t="shared" si="2"/>
        <v>268751419.93083322</v>
      </c>
      <c r="N22" s="84">
        <f t="shared" si="2"/>
        <v>9991505.5</v>
      </c>
      <c r="O22" s="84">
        <f t="shared" si="2"/>
        <v>13277.395413608419</v>
      </c>
      <c r="P22" s="84">
        <f t="shared" si="2"/>
        <v>0</v>
      </c>
      <c r="Q22" s="84">
        <f t="shared" si="2"/>
        <v>2202413.5</v>
      </c>
      <c r="R22" s="84">
        <f t="shared" si="2"/>
        <v>0</v>
      </c>
      <c r="S22" s="167">
        <f t="shared" si="2"/>
        <v>2281522344.6198969</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D14" sqref="D14"/>
    </sheetView>
  </sheetViews>
  <sheetFormatPr defaultColWidth="9.21875" defaultRowHeight="13.2"/>
  <cols>
    <col min="1" max="1" width="10.5546875" style="4" bestFit="1" customWidth="1"/>
    <col min="2" max="2" width="63.77734375" style="4" bestFit="1" customWidth="1"/>
    <col min="3" max="3" width="19" style="4" customWidth="1"/>
    <col min="4" max="4" width="19.5546875" style="4" customWidth="1"/>
    <col min="5" max="5" width="31.21875" style="4" customWidth="1"/>
    <col min="6" max="6" width="29.21875" style="4" customWidth="1"/>
    <col min="7" max="7" width="28.5546875" style="4" customWidth="1"/>
    <col min="8" max="8" width="26.44140625" style="4" customWidth="1"/>
    <col min="9" max="9" width="23.77734375" style="4" customWidth="1"/>
    <col min="10" max="10" width="21.5546875" style="4" customWidth="1"/>
    <col min="11" max="11" width="15.77734375" style="4" customWidth="1"/>
    <col min="12" max="12" width="13.21875" style="4" customWidth="1"/>
    <col min="13" max="13" width="20.77734375" style="4" customWidth="1"/>
    <col min="14" max="14" width="19.21875" style="4" customWidth="1"/>
    <col min="15" max="15" width="18.44140625" style="4" customWidth="1"/>
    <col min="16" max="16" width="19" style="4" customWidth="1"/>
    <col min="17" max="17" width="20.21875" style="4" customWidth="1"/>
    <col min="18" max="18" width="18" style="4" customWidth="1"/>
    <col min="19" max="19" width="36" style="4" customWidth="1"/>
    <col min="20" max="20" width="26.21875" style="4" customWidth="1"/>
    <col min="21" max="21" width="24.77734375" style="4" customWidth="1"/>
    <col min="22" max="22" width="20" style="4" customWidth="1"/>
    <col min="23" max="16384" width="9.21875" style="19"/>
  </cols>
  <sheetData>
    <row r="1" spans="1:22">
      <c r="A1" s="2" t="s">
        <v>31</v>
      </c>
      <c r="B1" s="3" t="str">
        <f>'Info '!C2</f>
        <v>JSC "CREDOBANK"</v>
      </c>
    </row>
    <row r="2" spans="1:22">
      <c r="A2" s="2" t="s">
        <v>32</v>
      </c>
      <c r="B2" s="265">
        <f>'1. key ratios '!B2</f>
        <v>45838</v>
      </c>
    </row>
    <row r="4" spans="1:22" ht="13.8" thickBot="1">
      <c r="A4" s="4" t="s">
        <v>231</v>
      </c>
      <c r="B4" s="85" t="s">
        <v>51</v>
      </c>
      <c r="V4" s="20" t="s">
        <v>36</v>
      </c>
    </row>
    <row r="5" spans="1:22" ht="12.75" customHeight="1">
      <c r="A5" s="86"/>
      <c r="B5" s="87"/>
      <c r="C5" s="793" t="s">
        <v>157</v>
      </c>
      <c r="D5" s="794"/>
      <c r="E5" s="794"/>
      <c r="F5" s="794"/>
      <c r="G5" s="794"/>
      <c r="H5" s="794"/>
      <c r="I5" s="794"/>
      <c r="J5" s="794"/>
      <c r="K5" s="794"/>
      <c r="L5" s="795"/>
      <c r="M5" s="796" t="s">
        <v>158</v>
      </c>
      <c r="N5" s="797"/>
      <c r="O5" s="797"/>
      <c r="P5" s="797"/>
      <c r="Q5" s="797"/>
      <c r="R5" s="797"/>
      <c r="S5" s="798"/>
      <c r="T5" s="801" t="s">
        <v>229</v>
      </c>
      <c r="U5" s="801" t="s">
        <v>230</v>
      </c>
      <c r="V5" s="799" t="s">
        <v>77</v>
      </c>
    </row>
    <row r="6" spans="1:22" s="44" customFormat="1" ht="105.6">
      <c r="A6" s="42"/>
      <c r="B6" s="88"/>
      <c r="C6" s="89" t="s">
        <v>66</v>
      </c>
      <c r="D6" s="129" t="s">
        <v>67</v>
      </c>
      <c r="E6" s="107" t="s">
        <v>160</v>
      </c>
      <c r="F6" s="107" t="s">
        <v>161</v>
      </c>
      <c r="G6" s="129" t="s">
        <v>164</v>
      </c>
      <c r="H6" s="129" t="s">
        <v>159</v>
      </c>
      <c r="I6" s="129" t="s">
        <v>68</v>
      </c>
      <c r="J6" s="129" t="s">
        <v>69</v>
      </c>
      <c r="K6" s="90" t="s">
        <v>70</v>
      </c>
      <c r="L6" s="91" t="s">
        <v>71</v>
      </c>
      <c r="M6" s="89" t="s">
        <v>162</v>
      </c>
      <c r="N6" s="90" t="s">
        <v>72</v>
      </c>
      <c r="O6" s="90" t="s">
        <v>73</v>
      </c>
      <c r="P6" s="90" t="s">
        <v>74</v>
      </c>
      <c r="Q6" s="90" t="s">
        <v>75</v>
      </c>
      <c r="R6" s="90" t="s">
        <v>76</v>
      </c>
      <c r="S6" s="147" t="s">
        <v>163</v>
      </c>
      <c r="T6" s="802"/>
      <c r="U6" s="802"/>
      <c r="V6" s="800"/>
    </row>
    <row r="7" spans="1:22">
      <c r="A7" s="92">
        <v>1</v>
      </c>
      <c r="B7" s="1" t="s">
        <v>52</v>
      </c>
      <c r="C7" s="93"/>
      <c r="D7" s="81"/>
      <c r="E7" s="81"/>
      <c r="F7" s="81"/>
      <c r="G7" s="81"/>
      <c r="H7" s="81"/>
      <c r="I7" s="81"/>
      <c r="J7" s="81"/>
      <c r="K7" s="81"/>
      <c r="L7" s="94"/>
      <c r="M7" s="93"/>
      <c r="N7" s="81"/>
      <c r="O7" s="81"/>
      <c r="P7" s="81"/>
      <c r="Q7" s="81"/>
      <c r="R7" s="81"/>
      <c r="S7" s="94"/>
      <c r="T7" s="155"/>
      <c r="U7" s="155"/>
      <c r="V7" s="95">
        <f>SUM(C7:S7)</f>
        <v>0</v>
      </c>
    </row>
    <row r="8" spans="1:22">
      <c r="A8" s="92">
        <v>2</v>
      </c>
      <c r="B8" s="1" t="s">
        <v>53</v>
      </c>
      <c r="C8" s="93"/>
      <c r="D8" s="81"/>
      <c r="E8" s="81"/>
      <c r="F8" s="81"/>
      <c r="G8" s="81"/>
      <c r="H8" s="81"/>
      <c r="I8" s="81"/>
      <c r="J8" s="81"/>
      <c r="K8" s="81"/>
      <c r="L8" s="94"/>
      <c r="M8" s="93"/>
      <c r="N8" s="81"/>
      <c r="O8" s="81"/>
      <c r="P8" s="81"/>
      <c r="Q8" s="81"/>
      <c r="R8" s="81"/>
      <c r="S8" s="94"/>
      <c r="T8" s="155"/>
      <c r="U8" s="155"/>
      <c r="V8" s="95">
        <f t="shared" ref="V8:V20" si="0">SUM(C8:S8)</f>
        <v>0</v>
      </c>
    </row>
    <row r="9" spans="1:22">
      <c r="A9" s="92">
        <v>3</v>
      </c>
      <c r="B9" s="1" t="s">
        <v>154</v>
      </c>
      <c r="C9" s="93"/>
      <c r="D9" s="81"/>
      <c r="E9" s="81"/>
      <c r="F9" s="81"/>
      <c r="G9" s="81"/>
      <c r="H9" s="81"/>
      <c r="I9" s="81"/>
      <c r="J9" s="81"/>
      <c r="K9" s="81"/>
      <c r="L9" s="94"/>
      <c r="M9" s="93"/>
      <c r="N9" s="81"/>
      <c r="O9" s="81"/>
      <c r="P9" s="81"/>
      <c r="Q9" s="81"/>
      <c r="R9" s="81"/>
      <c r="S9" s="94"/>
      <c r="T9" s="155"/>
      <c r="U9" s="155"/>
      <c r="V9" s="95">
        <f t="shared" si="0"/>
        <v>0</v>
      </c>
    </row>
    <row r="10" spans="1:22">
      <c r="A10" s="92">
        <v>4</v>
      </c>
      <c r="B10" s="1" t="s">
        <v>54</v>
      </c>
      <c r="C10" s="93"/>
      <c r="D10" s="81"/>
      <c r="E10" s="81"/>
      <c r="F10" s="81"/>
      <c r="G10" s="81"/>
      <c r="H10" s="81"/>
      <c r="I10" s="81"/>
      <c r="J10" s="81"/>
      <c r="K10" s="81"/>
      <c r="L10" s="94"/>
      <c r="M10" s="93"/>
      <c r="N10" s="81"/>
      <c r="O10" s="81"/>
      <c r="P10" s="81"/>
      <c r="Q10" s="81"/>
      <c r="R10" s="81"/>
      <c r="S10" s="94"/>
      <c r="T10" s="155"/>
      <c r="U10" s="155"/>
      <c r="V10" s="95">
        <f t="shared" si="0"/>
        <v>0</v>
      </c>
    </row>
    <row r="11" spans="1:22">
      <c r="A11" s="92">
        <v>5</v>
      </c>
      <c r="B11" s="1" t="s">
        <v>55</v>
      </c>
      <c r="C11" s="93"/>
      <c r="D11" s="81"/>
      <c r="E11" s="81"/>
      <c r="F11" s="81"/>
      <c r="G11" s="81"/>
      <c r="H11" s="81"/>
      <c r="I11" s="81"/>
      <c r="J11" s="81"/>
      <c r="K11" s="81"/>
      <c r="L11" s="94"/>
      <c r="M11" s="93"/>
      <c r="N11" s="81"/>
      <c r="O11" s="81"/>
      <c r="P11" s="81"/>
      <c r="Q11" s="81"/>
      <c r="R11" s="81"/>
      <c r="S11" s="94"/>
      <c r="T11" s="155"/>
      <c r="U11" s="155"/>
      <c r="V11" s="95">
        <f t="shared" si="0"/>
        <v>0</v>
      </c>
    </row>
    <row r="12" spans="1:22">
      <c r="A12" s="92">
        <v>6</v>
      </c>
      <c r="B12" s="1" t="s">
        <v>56</v>
      </c>
      <c r="C12" s="93"/>
      <c r="D12" s="81"/>
      <c r="E12" s="81"/>
      <c r="F12" s="81"/>
      <c r="G12" s="81"/>
      <c r="H12" s="81"/>
      <c r="I12" s="81"/>
      <c r="J12" s="81"/>
      <c r="K12" s="81"/>
      <c r="L12" s="94"/>
      <c r="M12" s="93"/>
      <c r="N12" s="81"/>
      <c r="O12" s="81"/>
      <c r="P12" s="81"/>
      <c r="Q12" s="81"/>
      <c r="R12" s="81"/>
      <c r="S12" s="94"/>
      <c r="T12" s="155"/>
      <c r="U12" s="155"/>
      <c r="V12" s="95">
        <f t="shared" si="0"/>
        <v>0</v>
      </c>
    </row>
    <row r="13" spans="1:22">
      <c r="A13" s="92">
        <v>7</v>
      </c>
      <c r="B13" s="1" t="s">
        <v>57</v>
      </c>
      <c r="C13" s="93"/>
      <c r="D13" s="81"/>
      <c r="E13" s="81"/>
      <c r="F13" s="81"/>
      <c r="G13" s="81"/>
      <c r="H13" s="81"/>
      <c r="I13" s="81"/>
      <c r="J13" s="81"/>
      <c r="K13" s="81"/>
      <c r="L13" s="94"/>
      <c r="M13" s="93"/>
      <c r="N13" s="81"/>
      <c r="O13" s="81"/>
      <c r="P13" s="81"/>
      <c r="Q13" s="81"/>
      <c r="R13" s="81"/>
      <c r="S13" s="94"/>
      <c r="T13" s="155"/>
      <c r="U13" s="155"/>
      <c r="V13" s="95">
        <f t="shared" si="0"/>
        <v>0</v>
      </c>
    </row>
    <row r="14" spans="1:22">
      <c r="A14" s="92">
        <v>8</v>
      </c>
      <c r="B14" s="1" t="s">
        <v>58</v>
      </c>
      <c r="C14" s="93"/>
      <c r="D14" s="81">
        <v>5682700.9230000013</v>
      </c>
      <c r="E14" s="81"/>
      <c r="F14" s="81"/>
      <c r="G14" s="81"/>
      <c r="H14" s="81"/>
      <c r="I14" s="81"/>
      <c r="J14" s="81"/>
      <c r="K14" s="81"/>
      <c r="L14" s="94"/>
      <c r="M14" s="93"/>
      <c r="N14" s="81"/>
      <c r="O14" s="81"/>
      <c r="P14" s="81"/>
      <c r="Q14" s="81"/>
      <c r="R14" s="81"/>
      <c r="S14" s="94"/>
      <c r="T14" s="155"/>
      <c r="U14" s="155"/>
      <c r="V14" s="95">
        <f t="shared" si="0"/>
        <v>5682700.9230000013</v>
      </c>
    </row>
    <row r="15" spans="1:22">
      <c r="A15" s="92">
        <v>9</v>
      </c>
      <c r="B15" s="1" t="s">
        <v>59</v>
      </c>
      <c r="C15" s="93"/>
      <c r="D15" s="81"/>
      <c r="E15" s="81"/>
      <c r="F15" s="81"/>
      <c r="G15" s="81"/>
      <c r="H15" s="81"/>
      <c r="I15" s="81"/>
      <c r="J15" s="81"/>
      <c r="K15" s="81"/>
      <c r="L15" s="94"/>
      <c r="M15" s="93"/>
      <c r="N15" s="81"/>
      <c r="O15" s="81"/>
      <c r="P15" s="81"/>
      <c r="Q15" s="81"/>
      <c r="R15" s="81"/>
      <c r="S15" s="94"/>
      <c r="T15" s="155"/>
      <c r="U15" s="155"/>
      <c r="V15" s="95">
        <f t="shared" si="0"/>
        <v>0</v>
      </c>
    </row>
    <row r="16" spans="1:22">
      <c r="A16" s="92">
        <v>10</v>
      </c>
      <c r="B16" s="1" t="s">
        <v>60</v>
      </c>
      <c r="C16" s="93"/>
      <c r="D16" s="81"/>
      <c r="E16" s="81"/>
      <c r="F16" s="81"/>
      <c r="G16" s="81"/>
      <c r="H16" s="81"/>
      <c r="I16" s="81"/>
      <c r="J16" s="81"/>
      <c r="K16" s="81"/>
      <c r="L16" s="94"/>
      <c r="M16" s="93"/>
      <c r="N16" s="81"/>
      <c r="O16" s="81"/>
      <c r="P16" s="81"/>
      <c r="Q16" s="81"/>
      <c r="R16" s="81"/>
      <c r="S16" s="94"/>
      <c r="T16" s="155"/>
      <c r="U16" s="155"/>
      <c r="V16" s="95">
        <f t="shared" si="0"/>
        <v>0</v>
      </c>
    </row>
    <row r="17" spans="1:22">
      <c r="A17" s="92">
        <v>11</v>
      </c>
      <c r="B17" s="1" t="s">
        <v>61</v>
      </c>
      <c r="C17" s="93"/>
      <c r="D17" s="81"/>
      <c r="E17" s="81"/>
      <c r="F17" s="81"/>
      <c r="G17" s="81"/>
      <c r="H17" s="81"/>
      <c r="I17" s="81"/>
      <c r="J17" s="81"/>
      <c r="K17" s="81"/>
      <c r="L17" s="94"/>
      <c r="M17" s="93"/>
      <c r="N17" s="81"/>
      <c r="O17" s="81"/>
      <c r="P17" s="81"/>
      <c r="Q17" s="81"/>
      <c r="R17" s="81"/>
      <c r="S17" s="94"/>
      <c r="T17" s="155"/>
      <c r="U17" s="155"/>
      <c r="V17" s="95">
        <f t="shared" si="0"/>
        <v>0</v>
      </c>
    </row>
    <row r="18" spans="1:22">
      <c r="A18" s="92">
        <v>12</v>
      </c>
      <c r="B18" s="1" t="s">
        <v>62</v>
      </c>
      <c r="C18" s="93"/>
      <c r="D18" s="81"/>
      <c r="E18" s="81"/>
      <c r="F18" s="81"/>
      <c r="G18" s="81"/>
      <c r="H18" s="81"/>
      <c r="I18" s="81"/>
      <c r="J18" s="81"/>
      <c r="K18" s="81"/>
      <c r="L18" s="94"/>
      <c r="M18" s="93"/>
      <c r="N18" s="81"/>
      <c r="O18" s="81"/>
      <c r="P18" s="81"/>
      <c r="Q18" s="81"/>
      <c r="R18" s="81"/>
      <c r="S18" s="94"/>
      <c r="T18" s="155"/>
      <c r="U18" s="155"/>
      <c r="V18" s="95">
        <f t="shared" si="0"/>
        <v>0</v>
      </c>
    </row>
    <row r="19" spans="1:22">
      <c r="A19" s="92">
        <v>13</v>
      </c>
      <c r="B19" s="1" t="s">
        <v>63</v>
      </c>
      <c r="C19" s="93"/>
      <c r="D19" s="81"/>
      <c r="E19" s="81"/>
      <c r="F19" s="81"/>
      <c r="G19" s="81"/>
      <c r="H19" s="81"/>
      <c r="I19" s="81"/>
      <c r="J19" s="81"/>
      <c r="K19" s="81"/>
      <c r="L19" s="94"/>
      <c r="M19" s="93"/>
      <c r="N19" s="81"/>
      <c r="O19" s="81"/>
      <c r="P19" s="81"/>
      <c r="Q19" s="81"/>
      <c r="R19" s="81"/>
      <c r="S19" s="94"/>
      <c r="T19" s="155"/>
      <c r="U19" s="155"/>
      <c r="V19" s="95">
        <f t="shared" si="0"/>
        <v>0</v>
      </c>
    </row>
    <row r="20" spans="1:22">
      <c r="A20" s="92">
        <v>14</v>
      </c>
      <c r="B20" s="1" t="s">
        <v>64</v>
      </c>
      <c r="C20" s="93"/>
      <c r="D20" s="81"/>
      <c r="E20" s="81"/>
      <c r="F20" s="81"/>
      <c r="G20" s="81"/>
      <c r="H20" s="81"/>
      <c r="I20" s="81"/>
      <c r="J20" s="81"/>
      <c r="K20" s="81"/>
      <c r="L20" s="94"/>
      <c r="M20" s="93"/>
      <c r="N20" s="81"/>
      <c r="O20" s="81"/>
      <c r="P20" s="81"/>
      <c r="Q20" s="81"/>
      <c r="R20" s="81"/>
      <c r="S20" s="94"/>
      <c r="T20" s="155"/>
      <c r="U20" s="155"/>
      <c r="V20" s="95">
        <f t="shared" si="0"/>
        <v>0</v>
      </c>
    </row>
    <row r="21" spans="1:22" ht="13.8" thickBot="1">
      <c r="A21" s="82"/>
      <c r="B21" s="96" t="s">
        <v>65</v>
      </c>
      <c r="C21" s="97">
        <f>SUM(C7:C20)</f>
        <v>0</v>
      </c>
      <c r="D21" s="84">
        <f t="shared" ref="D21:V21" si="1">SUM(D7:D20)</f>
        <v>5682700.9230000013</v>
      </c>
      <c r="E21" s="84">
        <f t="shared" si="1"/>
        <v>0</v>
      </c>
      <c r="F21" s="84">
        <f t="shared" si="1"/>
        <v>0</v>
      </c>
      <c r="G21" s="84">
        <f t="shared" si="1"/>
        <v>0</v>
      </c>
      <c r="H21" s="84">
        <f t="shared" si="1"/>
        <v>0</v>
      </c>
      <c r="I21" s="84">
        <f t="shared" si="1"/>
        <v>0</v>
      </c>
      <c r="J21" s="84">
        <f t="shared" si="1"/>
        <v>0</v>
      </c>
      <c r="K21" s="84">
        <f t="shared" si="1"/>
        <v>0</v>
      </c>
      <c r="L21" s="98">
        <f t="shared" si="1"/>
        <v>0</v>
      </c>
      <c r="M21" s="97">
        <f t="shared" si="1"/>
        <v>0</v>
      </c>
      <c r="N21" s="84">
        <f t="shared" si="1"/>
        <v>0</v>
      </c>
      <c r="O21" s="84">
        <f t="shared" si="1"/>
        <v>0</v>
      </c>
      <c r="P21" s="84">
        <f t="shared" si="1"/>
        <v>0</v>
      </c>
      <c r="Q21" s="84">
        <f t="shared" si="1"/>
        <v>0</v>
      </c>
      <c r="R21" s="84">
        <f t="shared" si="1"/>
        <v>0</v>
      </c>
      <c r="S21" s="98">
        <f>SUM(S7:S20)</f>
        <v>0</v>
      </c>
      <c r="T21" s="98">
        <f>SUM(T7:T20)</f>
        <v>0</v>
      </c>
      <c r="U21" s="98">
        <f t="shared" ref="U21" si="2">SUM(U7:U20)</f>
        <v>0</v>
      </c>
      <c r="V21" s="99">
        <f t="shared" si="1"/>
        <v>5682700.9230000013</v>
      </c>
    </row>
    <row r="24" spans="1:22">
      <c r="C24" s="27"/>
      <c r="D24" s="27"/>
      <c r="E24" s="27"/>
    </row>
    <row r="25" spans="1:22">
      <c r="A25" s="41"/>
      <c r="B25" s="41"/>
      <c r="D25" s="27"/>
      <c r="E25" s="27"/>
    </row>
    <row r="26" spans="1:22">
      <c r="A26" s="41"/>
      <c r="B26" s="28"/>
      <c r="D26" s="27"/>
      <c r="E26" s="27"/>
    </row>
    <row r="27" spans="1:22">
      <c r="A27" s="41"/>
      <c r="B27" s="41"/>
      <c r="D27" s="27"/>
      <c r="E27" s="27"/>
    </row>
    <row r="28" spans="1:22">
      <c r="A28" s="41"/>
      <c r="B28" s="28"/>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C8" sqref="C8:G21"/>
    </sheetView>
  </sheetViews>
  <sheetFormatPr defaultColWidth="9.21875" defaultRowHeight="13.8"/>
  <cols>
    <col min="1" max="1" width="10.5546875" style="4" bestFit="1" customWidth="1"/>
    <col min="2" max="2" width="101.77734375" style="4" customWidth="1"/>
    <col min="3" max="3" width="13.77734375" style="134" customWidth="1"/>
    <col min="4" max="4" width="14.77734375" style="134" bestFit="1" customWidth="1"/>
    <col min="5" max="5" width="17.77734375" style="134" customWidth="1"/>
    <col min="6" max="6" width="15.77734375" style="134" customWidth="1"/>
    <col min="7" max="7" width="17.44140625" style="134" customWidth="1"/>
    <col min="8" max="8" width="15.21875" style="134" customWidth="1"/>
    <col min="9" max="16384" width="9.21875" style="19"/>
  </cols>
  <sheetData>
    <row r="1" spans="1:9">
      <c r="A1" s="2" t="s">
        <v>31</v>
      </c>
      <c r="B1" s="4" t="str">
        <f>'Info '!C2</f>
        <v>JSC "CREDOBANK"</v>
      </c>
      <c r="C1" s="3"/>
    </row>
    <row r="2" spans="1:9">
      <c r="A2" s="2" t="s">
        <v>32</v>
      </c>
      <c r="B2" s="265">
        <f>'1. key ratios '!B2</f>
        <v>45838</v>
      </c>
      <c r="C2" s="265"/>
    </row>
    <row r="4" spans="1:9" ht="14.4" thickBot="1">
      <c r="A4" s="2" t="s">
        <v>151</v>
      </c>
      <c r="B4" s="85" t="s">
        <v>240</v>
      </c>
    </row>
    <row r="5" spans="1:9">
      <c r="A5" s="86"/>
      <c r="B5" s="100"/>
      <c r="C5" s="156" t="s">
        <v>0</v>
      </c>
      <c r="D5" s="156" t="s">
        <v>1</v>
      </c>
      <c r="E5" s="156" t="s">
        <v>2</v>
      </c>
      <c r="F5" s="156" t="s">
        <v>3</v>
      </c>
      <c r="G5" s="157" t="s">
        <v>4</v>
      </c>
      <c r="H5" s="158" t="s">
        <v>6</v>
      </c>
      <c r="I5" s="101"/>
    </row>
    <row r="6" spans="1:9" s="101" customFormat="1" ht="12.75" customHeight="1">
      <c r="A6" s="102"/>
      <c r="B6" s="805" t="s">
        <v>150</v>
      </c>
      <c r="C6" s="791" t="s">
        <v>233</v>
      </c>
      <c r="D6" s="807" t="s">
        <v>232</v>
      </c>
      <c r="E6" s="808"/>
      <c r="F6" s="791" t="s">
        <v>237</v>
      </c>
      <c r="G6" s="791" t="s">
        <v>238</v>
      </c>
      <c r="H6" s="803" t="s">
        <v>236</v>
      </c>
    </row>
    <row r="7" spans="1:9" ht="41.4">
      <c r="A7" s="104"/>
      <c r="B7" s="806"/>
      <c r="C7" s="792"/>
      <c r="D7" s="159" t="s">
        <v>235</v>
      </c>
      <c r="E7" s="159" t="s">
        <v>234</v>
      </c>
      <c r="F7" s="792"/>
      <c r="G7" s="792"/>
      <c r="H7" s="804"/>
      <c r="I7" s="101"/>
    </row>
    <row r="8" spans="1:9">
      <c r="A8" s="102">
        <v>1</v>
      </c>
      <c r="B8" s="1" t="s">
        <v>52</v>
      </c>
      <c r="C8" s="160">
        <v>370309641</v>
      </c>
      <c r="D8" s="160"/>
      <c r="E8" s="160"/>
      <c r="F8" s="160">
        <v>65427754.55526901</v>
      </c>
      <c r="G8" s="161">
        <v>65427754.55526901</v>
      </c>
      <c r="H8" s="163">
        <f>IFERROR(G8/(C8+E8),"")</f>
        <v>0.17668390803594825</v>
      </c>
    </row>
    <row r="9" spans="1:9" ht="15" customHeight="1">
      <c r="A9" s="102">
        <v>2</v>
      </c>
      <c r="B9" s="1" t="s">
        <v>53</v>
      </c>
      <c r="C9" s="160"/>
      <c r="D9" s="160"/>
      <c r="E9" s="160"/>
      <c r="F9" s="160"/>
      <c r="G9" s="161"/>
      <c r="H9" s="163" t="str">
        <f t="shared" ref="H9:H21" si="0">IFERROR(G9/(C9+E9),"")</f>
        <v/>
      </c>
    </row>
    <row r="10" spans="1:9">
      <c r="A10" s="102">
        <v>3</v>
      </c>
      <c r="B10" s="1" t="s">
        <v>154</v>
      </c>
      <c r="C10" s="160"/>
      <c r="D10" s="160"/>
      <c r="E10" s="160"/>
      <c r="F10" s="160"/>
      <c r="G10" s="161"/>
      <c r="H10" s="163" t="str">
        <f t="shared" si="0"/>
        <v/>
      </c>
    </row>
    <row r="11" spans="1:9">
      <c r="A11" s="102">
        <v>4</v>
      </c>
      <c r="B11" s="1" t="s">
        <v>54</v>
      </c>
      <c r="C11" s="160"/>
      <c r="D11" s="160"/>
      <c r="E11" s="160"/>
      <c r="F11" s="160"/>
      <c r="G11" s="161"/>
      <c r="H11" s="163" t="str">
        <f t="shared" si="0"/>
        <v/>
      </c>
    </row>
    <row r="12" spans="1:9">
      <c r="A12" s="102">
        <v>5</v>
      </c>
      <c r="B12" s="1" t="s">
        <v>55</v>
      </c>
      <c r="C12" s="160"/>
      <c r="D12" s="160"/>
      <c r="E12" s="160"/>
      <c r="F12" s="160"/>
      <c r="G12" s="161"/>
      <c r="H12" s="163" t="str">
        <f t="shared" si="0"/>
        <v/>
      </c>
    </row>
    <row r="13" spans="1:9">
      <c r="A13" s="102">
        <v>6</v>
      </c>
      <c r="B13" s="1" t="s">
        <v>56</v>
      </c>
      <c r="C13" s="160">
        <v>89245242</v>
      </c>
      <c r="D13" s="160"/>
      <c r="E13" s="160"/>
      <c r="F13" s="160">
        <v>22865180.355388466</v>
      </c>
      <c r="G13" s="161">
        <v>22865180.355388466</v>
      </c>
      <c r="H13" s="163">
        <f t="shared" si="0"/>
        <v>0.25620615556612492</v>
      </c>
    </row>
    <row r="14" spans="1:9">
      <c r="A14" s="102">
        <v>7</v>
      </c>
      <c r="B14" s="1" t="s">
        <v>57</v>
      </c>
      <c r="C14" s="160">
        <v>81481985.298495144</v>
      </c>
      <c r="D14" s="160">
        <v>19983011</v>
      </c>
      <c r="E14" s="160">
        <v>9991505.5</v>
      </c>
      <c r="F14" s="160">
        <v>91473491</v>
      </c>
      <c r="G14" s="161">
        <v>91473491</v>
      </c>
      <c r="H14" s="163">
        <f t="shared" si="0"/>
        <v>1.000000002202877</v>
      </c>
    </row>
    <row r="15" spans="1:9">
      <c r="A15" s="102">
        <v>8</v>
      </c>
      <c r="B15" s="1" t="s">
        <v>58</v>
      </c>
      <c r="C15" s="160">
        <v>2473405340.9546461</v>
      </c>
      <c r="D15" s="160">
        <v>363523244</v>
      </c>
      <c r="E15" s="160">
        <v>90110430.5</v>
      </c>
      <c r="F15" s="160">
        <v>1922636828.5909846</v>
      </c>
      <c r="G15" s="161">
        <v>1916954127.6679845</v>
      </c>
      <c r="H15" s="163">
        <f t="shared" si="0"/>
        <v>0.74778323933627466</v>
      </c>
    </row>
    <row r="16" spans="1:9">
      <c r="A16" s="102">
        <v>9</v>
      </c>
      <c r="B16" s="1" t="s">
        <v>59</v>
      </c>
      <c r="C16" s="160">
        <v>148142297.72909498</v>
      </c>
      <c r="D16" s="160"/>
      <c r="E16" s="160"/>
      <c r="F16" s="160">
        <v>51849804.205183238</v>
      </c>
      <c r="G16" s="161">
        <v>51849804.205183238</v>
      </c>
      <c r="H16" s="163">
        <f t="shared" si="0"/>
        <v>0.35</v>
      </c>
    </row>
    <row r="17" spans="1:8">
      <c r="A17" s="102">
        <v>10</v>
      </c>
      <c r="B17" s="1" t="s">
        <v>60</v>
      </c>
      <c r="C17" s="160">
        <v>5343260</v>
      </c>
      <c r="D17" s="160"/>
      <c r="E17" s="160"/>
      <c r="F17" s="160">
        <v>5255774.4145766813</v>
      </c>
      <c r="G17" s="161">
        <v>5255774.4145766813</v>
      </c>
      <c r="H17" s="163">
        <f t="shared" si="0"/>
        <v>0.98362692711503485</v>
      </c>
    </row>
    <row r="18" spans="1:8">
      <c r="A18" s="102">
        <v>11</v>
      </c>
      <c r="B18" s="1" t="s">
        <v>61</v>
      </c>
      <c r="C18" s="160"/>
      <c r="D18" s="160"/>
      <c r="E18" s="160"/>
      <c r="F18" s="160"/>
      <c r="G18" s="161"/>
      <c r="H18" s="163" t="str">
        <f t="shared" si="0"/>
        <v/>
      </c>
    </row>
    <row r="19" spans="1:8">
      <c r="A19" s="102">
        <v>12</v>
      </c>
      <c r="B19" s="1" t="s">
        <v>62</v>
      </c>
      <c r="C19" s="160"/>
      <c r="D19" s="160"/>
      <c r="E19" s="160"/>
      <c r="F19" s="160"/>
      <c r="G19" s="161"/>
      <c r="H19" s="163" t="str">
        <f t="shared" si="0"/>
        <v/>
      </c>
    </row>
    <row r="20" spans="1:8">
      <c r="A20" s="102">
        <v>13</v>
      </c>
      <c r="B20" s="1" t="s">
        <v>145</v>
      </c>
      <c r="C20" s="160"/>
      <c r="D20" s="160"/>
      <c r="E20" s="160"/>
      <c r="F20" s="160"/>
      <c r="G20" s="161"/>
      <c r="H20" s="163" t="str">
        <f t="shared" si="0"/>
        <v/>
      </c>
    </row>
    <row r="21" spans="1:8">
      <c r="A21" s="102">
        <v>14</v>
      </c>
      <c r="B21" s="1" t="s">
        <v>64</v>
      </c>
      <c r="C21" s="160">
        <v>223615961</v>
      </c>
      <c r="D21" s="160"/>
      <c r="E21" s="160"/>
      <c r="F21" s="160">
        <v>122013511.69999999</v>
      </c>
      <c r="G21" s="161">
        <v>122013511.69999999</v>
      </c>
      <c r="H21" s="163">
        <f t="shared" si="0"/>
        <v>0.54563865277935142</v>
      </c>
    </row>
    <row r="22" spans="1:8" ht="14.4" thickBot="1">
      <c r="A22" s="105"/>
      <c r="B22" s="106" t="s">
        <v>65</v>
      </c>
      <c r="C22" s="162">
        <f>SUM(C8:C21)</f>
        <v>3391543727.9822364</v>
      </c>
      <c r="D22" s="162">
        <f>SUM(D8:D21)</f>
        <v>383506255</v>
      </c>
      <c r="E22" s="162">
        <f>SUM(E8:E21)</f>
        <v>100101936</v>
      </c>
      <c r="F22" s="162">
        <f>SUM(F8:F21)</f>
        <v>2281522344.8214016</v>
      </c>
      <c r="G22" s="162">
        <f>SUM(G8:G21)</f>
        <v>2275839643.8984013</v>
      </c>
      <c r="H22" s="164">
        <f>G22/(C22+E22)</f>
        <v>0.6517957040643112</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I19" sqref="I19:J20"/>
    </sheetView>
  </sheetViews>
  <sheetFormatPr defaultColWidth="9.21875" defaultRowHeight="13.8"/>
  <cols>
    <col min="1" max="1" width="10.5546875" style="134" bestFit="1" customWidth="1"/>
    <col min="2" max="2" width="104.21875" style="134" customWidth="1"/>
    <col min="3" max="11" width="12.77734375" style="134" customWidth="1"/>
    <col min="12" max="16384" width="9.21875" style="134"/>
  </cols>
  <sheetData>
    <row r="1" spans="1:11">
      <c r="A1" s="134" t="s">
        <v>31</v>
      </c>
      <c r="B1" s="3" t="str">
        <f>'Info '!C2</f>
        <v>JSC "CREDOBANK"</v>
      </c>
    </row>
    <row r="2" spans="1:11">
      <c r="A2" s="134" t="s">
        <v>32</v>
      </c>
      <c r="B2" s="265">
        <f>'1. key ratios '!B2</f>
        <v>45838</v>
      </c>
    </row>
    <row r="4" spans="1:11" ht="14.4" thickBot="1">
      <c r="A4" s="134" t="s">
        <v>147</v>
      </c>
      <c r="B4" s="201" t="s">
        <v>241</v>
      </c>
    </row>
    <row r="5" spans="1:11" ht="30" customHeight="1">
      <c r="A5" s="809"/>
      <c r="B5" s="810"/>
      <c r="C5" s="811" t="s">
        <v>293</v>
      </c>
      <c r="D5" s="811"/>
      <c r="E5" s="811"/>
      <c r="F5" s="811" t="s">
        <v>294</v>
      </c>
      <c r="G5" s="811"/>
      <c r="H5" s="811"/>
      <c r="I5" s="811" t="s">
        <v>295</v>
      </c>
      <c r="J5" s="811"/>
      <c r="K5" s="812"/>
    </row>
    <row r="6" spans="1:11">
      <c r="A6" s="175"/>
      <c r="B6" s="176"/>
      <c r="C6" s="21" t="s">
        <v>33</v>
      </c>
      <c r="D6" s="21" t="s">
        <v>34</v>
      </c>
      <c r="E6" s="21" t="s">
        <v>35</v>
      </c>
      <c r="F6" s="21" t="s">
        <v>33</v>
      </c>
      <c r="G6" s="21" t="s">
        <v>34</v>
      </c>
      <c r="H6" s="21" t="s">
        <v>35</v>
      </c>
      <c r="I6" s="21" t="s">
        <v>33</v>
      </c>
      <c r="J6" s="21" t="s">
        <v>34</v>
      </c>
      <c r="K6" s="21" t="s">
        <v>35</v>
      </c>
    </row>
    <row r="7" spans="1:11">
      <c r="A7" s="177" t="s">
        <v>244</v>
      </c>
      <c r="B7" s="178"/>
      <c r="C7" s="178"/>
      <c r="D7" s="178"/>
      <c r="E7" s="178"/>
      <c r="F7" s="178"/>
      <c r="G7" s="178"/>
      <c r="H7" s="178"/>
      <c r="I7" s="178"/>
      <c r="J7" s="178"/>
      <c r="K7" s="179"/>
    </row>
    <row r="8" spans="1:11">
      <c r="A8" s="180">
        <v>1</v>
      </c>
      <c r="B8" s="181" t="s">
        <v>242</v>
      </c>
      <c r="C8" s="182"/>
      <c r="D8" s="182"/>
      <c r="E8" s="182"/>
      <c r="F8" s="652">
        <v>223738963.76230773</v>
      </c>
      <c r="G8" s="652">
        <v>200929725.01956031</v>
      </c>
      <c r="H8" s="645">
        <f>F8+G8</f>
        <v>424668688.78186804</v>
      </c>
      <c r="I8" s="652">
        <v>127829636.54626372</v>
      </c>
      <c r="J8" s="652">
        <v>108738098.26208794</v>
      </c>
      <c r="K8" s="646">
        <f>I8+J8</f>
        <v>236567734.80835167</v>
      </c>
    </row>
    <row r="9" spans="1:11">
      <c r="A9" s="177" t="s">
        <v>245</v>
      </c>
      <c r="B9" s="178"/>
      <c r="C9" s="178"/>
      <c r="D9" s="178"/>
      <c r="E9" s="178"/>
      <c r="F9" s="178"/>
      <c r="G9" s="178"/>
      <c r="H9" s="178"/>
      <c r="I9" s="178"/>
      <c r="J9" s="178"/>
      <c r="K9" s="179"/>
    </row>
    <row r="10" spans="1:11">
      <c r="A10" s="183">
        <v>2</v>
      </c>
      <c r="B10" s="184" t="s">
        <v>253</v>
      </c>
      <c r="C10" s="624">
        <v>455425976.60904455</v>
      </c>
      <c r="D10" s="643">
        <v>393476580.40852135</v>
      </c>
      <c r="E10" s="644">
        <f>C10+D10</f>
        <v>848902557.01756597</v>
      </c>
      <c r="F10" s="643">
        <v>79849257.520689011</v>
      </c>
      <c r="G10" s="643">
        <v>115043775.27900165</v>
      </c>
      <c r="H10" s="645">
        <f t="shared" ref="H10:H16" si="0">F10+G10</f>
        <v>194893032.79969066</v>
      </c>
      <c r="I10" s="643">
        <v>23383925.234339558</v>
      </c>
      <c r="J10" s="643">
        <v>33609464.472727194</v>
      </c>
      <c r="K10" s="646">
        <f t="shared" ref="K10:K16" si="1">I10+J10</f>
        <v>56993389.707066752</v>
      </c>
    </row>
    <row r="11" spans="1:11">
      <c r="A11" s="183">
        <v>3</v>
      </c>
      <c r="B11" s="184" t="s">
        <v>247</v>
      </c>
      <c r="C11" s="624">
        <v>1587653005.2178435</v>
      </c>
      <c r="D11" s="643">
        <v>702333799.32524383</v>
      </c>
      <c r="E11" s="644">
        <f t="shared" ref="E11:E21" si="2">C11+D11</f>
        <v>2289986804.5430875</v>
      </c>
      <c r="F11" s="643">
        <v>82756539.338506043</v>
      </c>
      <c r="G11" s="643">
        <v>19880839.472622357</v>
      </c>
      <c r="H11" s="645">
        <f t="shared" si="0"/>
        <v>102637378.81112841</v>
      </c>
      <c r="I11" s="643">
        <v>76305154.305419788</v>
      </c>
      <c r="J11" s="643">
        <v>19617231.562049448</v>
      </c>
      <c r="K11" s="646">
        <f t="shared" si="1"/>
        <v>95922385.867469236</v>
      </c>
    </row>
    <row r="12" spans="1:11">
      <c r="A12" s="183">
        <v>4</v>
      </c>
      <c r="B12" s="184" t="s">
        <v>248</v>
      </c>
      <c r="C12" s="624">
        <v>52935555.555555552</v>
      </c>
      <c r="D12" s="643">
        <v>0</v>
      </c>
      <c r="E12" s="644">
        <f t="shared" si="2"/>
        <v>52935555.555555552</v>
      </c>
      <c r="F12" s="643"/>
      <c r="G12" s="643"/>
      <c r="H12" s="645">
        <f t="shared" si="0"/>
        <v>0</v>
      </c>
      <c r="I12" s="643"/>
      <c r="J12" s="643"/>
      <c r="K12" s="646">
        <f t="shared" si="1"/>
        <v>0</v>
      </c>
    </row>
    <row r="13" spans="1:11">
      <c r="A13" s="183">
        <v>5</v>
      </c>
      <c r="B13" s="184" t="s">
        <v>256</v>
      </c>
      <c r="C13" s="624">
        <v>352562964.87933338</v>
      </c>
      <c r="D13" s="643">
        <v>37702278.147111133</v>
      </c>
      <c r="E13" s="644">
        <f t="shared" si="2"/>
        <v>390265243.02644449</v>
      </c>
      <c r="F13" s="643">
        <v>56578661.579884633</v>
      </c>
      <c r="G13" s="643">
        <v>5908765.6735593434</v>
      </c>
      <c r="H13" s="645">
        <f t="shared" si="0"/>
        <v>62487427.253443979</v>
      </c>
      <c r="I13" s="643">
        <v>17627853.239686813</v>
      </c>
      <c r="J13" s="643">
        <v>2124148.7049120874</v>
      </c>
      <c r="K13" s="646">
        <f t="shared" si="1"/>
        <v>19752001.944598902</v>
      </c>
    </row>
    <row r="14" spans="1:11">
      <c r="A14" s="183">
        <v>6</v>
      </c>
      <c r="B14" s="184" t="s">
        <v>288</v>
      </c>
      <c r="C14" s="624"/>
      <c r="D14" s="643"/>
      <c r="E14" s="644">
        <f t="shared" si="2"/>
        <v>0</v>
      </c>
      <c r="F14" s="643"/>
      <c r="G14" s="643"/>
      <c r="H14" s="645">
        <f t="shared" si="0"/>
        <v>0</v>
      </c>
      <c r="I14" s="643"/>
      <c r="J14" s="643"/>
      <c r="K14" s="646">
        <f t="shared" si="1"/>
        <v>0</v>
      </c>
    </row>
    <row r="15" spans="1:11">
      <c r="A15" s="183">
        <v>7</v>
      </c>
      <c r="B15" s="184" t="s">
        <v>289</v>
      </c>
      <c r="C15" s="624">
        <v>10057275.383111112</v>
      </c>
      <c r="D15" s="643">
        <v>2417940.5725555555</v>
      </c>
      <c r="E15" s="644">
        <f t="shared" si="2"/>
        <v>12475215.955666667</v>
      </c>
      <c r="F15" s="643">
        <v>10085209.895384615</v>
      </c>
      <c r="G15" s="643">
        <v>2408039.4692307692</v>
      </c>
      <c r="H15" s="645">
        <f t="shared" si="0"/>
        <v>12493249.364615384</v>
      </c>
      <c r="I15" s="643">
        <v>10085209.895384615</v>
      </c>
      <c r="J15" s="643">
        <v>2408039.4692307692</v>
      </c>
      <c r="K15" s="646">
        <f t="shared" si="1"/>
        <v>12493249.364615384</v>
      </c>
    </row>
    <row r="16" spans="1:11">
      <c r="A16" s="183">
        <v>8</v>
      </c>
      <c r="B16" s="185" t="s">
        <v>249</v>
      </c>
      <c r="C16" s="626">
        <f>SUM(C10:C15)</f>
        <v>2458634777.6448879</v>
      </c>
      <c r="D16" s="626">
        <f>SUM(D10:D15)</f>
        <v>1135930598.4534318</v>
      </c>
      <c r="E16" s="644">
        <f t="shared" si="2"/>
        <v>3594565376.09832</v>
      </c>
      <c r="F16" s="644">
        <f>SUM(F10:F15)</f>
        <v>229269668.33446431</v>
      </c>
      <c r="G16" s="644">
        <f>SUM(G10:G15)</f>
        <v>143241419.89441413</v>
      </c>
      <c r="H16" s="645">
        <f t="shared" si="0"/>
        <v>372511088.22887844</v>
      </c>
      <c r="I16" s="644">
        <f>SUM(I10:I15)</f>
        <v>127402142.67483076</v>
      </c>
      <c r="J16" s="644">
        <f>SUM(J10:J15)</f>
        <v>57758884.208919503</v>
      </c>
      <c r="K16" s="646">
        <f t="shared" si="1"/>
        <v>185161026.88375026</v>
      </c>
    </row>
    <row r="17" spans="1:11">
      <c r="A17" s="177" t="s">
        <v>246</v>
      </c>
      <c r="B17" s="178"/>
      <c r="C17" s="647"/>
      <c r="D17" s="647"/>
      <c r="E17" s="647"/>
      <c r="F17" s="647"/>
      <c r="G17" s="647"/>
      <c r="H17" s="647"/>
      <c r="I17" s="647"/>
      <c r="J17" s="647"/>
      <c r="K17" s="648"/>
    </row>
    <row r="18" spans="1:11">
      <c r="A18" s="183">
        <v>9</v>
      </c>
      <c r="B18" s="184" t="s">
        <v>252</v>
      </c>
      <c r="C18" s="624"/>
      <c r="D18" s="643"/>
      <c r="E18" s="643">
        <f t="shared" si="2"/>
        <v>0</v>
      </c>
      <c r="F18" s="643"/>
      <c r="G18" s="643"/>
      <c r="H18" s="643"/>
      <c r="I18" s="643"/>
      <c r="J18" s="643"/>
      <c r="K18" s="649"/>
    </row>
    <row r="19" spans="1:11">
      <c r="A19" s="183">
        <v>10</v>
      </c>
      <c r="B19" s="184" t="s">
        <v>290</v>
      </c>
      <c r="C19" s="624">
        <v>2254386869.9837356</v>
      </c>
      <c r="D19" s="643">
        <v>263616908.13130337</v>
      </c>
      <c r="E19" s="644">
        <f t="shared" si="2"/>
        <v>2518003778.1150389</v>
      </c>
      <c r="F19" s="643">
        <v>49577121.637407146</v>
      </c>
      <c r="G19" s="643">
        <v>1990925.9500507468</v>
      </c>
      <c r="H19" s="645">
        <f t="shared" ref="H19:H21" si="3">F19+G19</f>
        <v>51568047.587457895</v>
      </c>
      <c r="I19" s="643">
        <v>145486448.85345116</v>
      </c>
      <c r="J19" s="643">
        <v>94353348.254446372</v>
      </c>
      <c r="K19" s="646">
        <f t="shared" ref="K19:K21" si="4">I19+J19</f>
        <v>239839797.10789752</v>
      </c>
    </row>
    <row r="20" spans="1:11">
      <c r="A20" s="183">
        <v>11</v>
      </c>
      <c r="B20" s="184" t="s">
        <v>251</v>
      </c>
      <c r="C20" s="624">
        <v>2115418.35</v>
      </c>
      <c r="D20" s="643">
        <v>0</v>
      </c>
      <c r="E20" s="644">
        <f t="shared" si="2"/>
        <v>2115418.35</v>
      </c>
      <c r="F20" s="643">
        <v>905384.67582417582</v>
      </c>
      <c r="G20" s="643">
        <v>0</v>
      </c>
      <c r="H20" s="645">
        <f t="shared" si="3"/>
        <v>905384.67582417582</v>
      </c>
      <c r="I20" s="643">
        <v>905384.67582417582</v>
      </c>
      <c r="J20" s="643">
        <v>0</v>
      </c>
      <c r="K20" s="646">
        <f t="shared" si="4"/>
        <v>905384.67582417582</v>
      </c>
    </row>
    <row r="21" spans="1:11" ht="14.4" thickBot="1">
      <c r="A21" s="186">
        <v>12</v>
      </c>
      <c r="B21" s="187" t="s">
        <v>250</v>
      </c>
      <c r="C21" s="650">
        <f>SUM(C18:C20)</f>
        <v>2256502288.3337355</v>
      </c>
      <c r="D21" s="650">
        <f>SUM(D18:D20)</f>
        <v>263616908.13130337</v>
      </c>
      <c r="E21" s="644">
        <f t="shared" si="2"/>
        <v>2520119196.4650388</v>
      </c>
      <c r="F21" s="651">
        <f>SUM(F18:F20)</f>
        <v>50482506.313231319</v>
      </c>
      <c r="G21" s="651">
        <f>SUM(G18:G20)</f>
        <v>1990925.9500507468</v>
      </c>
      <c r="H21" s="645">
        <f t="shared" si="3"/>
        <v>52473432.263282068</v>
      </c>
      <c r="I21" s="651">
        <f>SUM(I19:I20)</f>
        <v>146391833.52927533</v>
      </c>
      <c r="J21" s="651">
        <f>SUM(J19:J20)</f>
        <v>94353348.254446372</v>
      </c>
      <c r="K21" s="646">
        <f t="shared" si="4"/>
        <v>240745181.78372169</v>
      </c>
    </row>
    <row r="22" spans="1:11" ht="38.25" customHeight="1" thickBot="1">
      <c r="A22" s="188"/>
      <c r="B22" s="189"/>
      <c r="C22" s="189"/>
      <c r="D22" s="189"/>
      <c r="E22" s="189"/>
      <c r="F22" s="813" t="s">
        <v>292</v>
      </c>
      <c r="G22" s="811"/>
      <c r="H22" s="811"/>
      <c r="I22" s="813" t="s">
        <v>257</v>
      </c>
      <c r="J22" s="811"/>
      <c r="K22" s="812"/>
    </row>
    <row r="23" spans="1:11">
      <c r="A23" s="190">
        <v>13</v>
      </c>
      <c r="B23" s="191" t="s">
        <v>242</v>
      </c>
      <c r="C23" s="192"/>
      <c r="D23" s="192"/>
      <c r="E23" s="192"/>
      <c r="F23" s="658">
        <f>F8</f>
        <v>223738963.76230773</v>
      </c>
      <c r="G23" s="658">
        <f>G8</f>
        <v>200929725.01956031</v>
      </c>
      <c r="H23" s="659">
        <f>F23+G23</f>
        <v>424668688.78186804</v>
      </c>
      <c r="I23" s="658">
        <f>I8</f>
        <v>127829636.54626372</v>
      </c>
      <c r="J23" s="658">
        <f>J8</f>
        <v>108738098.26208794</v>
      </c>
      <c r="K23" s="653">
        <f>I23+J23</f>
        <v>236567734.80835167</v>
      </c>
    </row>
    <row r="24" spans="1:11" ht="14.4" thickBot="1">
      <c r="A24" s="193">
        <v>14</v>
      </c>
      <c r="B24" s="194" t="s">
        <v>254</v>
      </c>
      <c r="C24" s="195"/>
      <c r="D24" s="196"/>
      <c r="E24" s="197"/>
      <c r="F24" s="654">
        <f>MAX(F16-F21,F16*0.25)</f>
        <v>178787162.02123299</v>
      </c>
      <c r="G24" s="654">
        <f t="shared" ref="G24:H24" si="5">MAX(G16-G21,G16*0.25)</f>
        <v>141250493.94436339</v>
      </c>
      <c r="H24" s="654">
        <f t="shared" si="5"/>
        <v>320037655.96559638</v>
      </c>
      <c r="I24" s="654">
        <f>MAX(I16-I21,I16*0.25)</f>
        <v>31850535.668707691</v>
      </c>
      <c r="J24" s="654">
        <f t="shared" ref="J24:K24" si="6">MAX(J16-J21,J16*0.25)</f>
        <v>14439721.052229876</v>
      </c>
      <c r="K24" s="655">
        <f t="shared" si="6"/>
        <v>46290256.720937565</v>
      </c>
    </row>
    <row r="25" spans="1:11" ht="14.4" thickBot="1">
      <c r="A25" s="198">
        <v>15</v>
      </c>
      <c r="B25" s="199" t="s">
        <v>255</v>
      </c>
      <c r="C25" s="200"/>
      <c r="D25" s="200"/>
      <c r="E25" s="200"/>
      <c r="F25" s="656">
        <f t="shared" ref="F25:K25" si="7">F23/F24</f>
        <v>1.2514263397488026</v>
      </c>
      <c r="G25" s="656">
        <f t="shared" si="7"/>
        <v>1.4225063531367454</v>
      </c>
      <c r="H25" s="656">
        <f t="shared" si="7"/>
        <v>1.3269335056857163</v>
      </c>
      <c r="I25" s="656">
        <f t="shared" si="7"/>
        <v>4.0134218738384657</v>
      </c>
      <c r="J25" s="656">
        <f t="shared" si="7"/>
        <v>7.5304846865650426</v>
      </c>
      <c r="K25" s="657">
        <f t="shared" si="7"/>
        <v>5.1105297651406119</v>
      </c>
    </row>
    <row r="27" spans="1:11" ht="27">
      <c r="B27" s="174" t="s">
        <v>291</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C4" activePane="bottomRight" state="frozen"/>
      <selection activeCell="B19" sqref="B19"/>
      <selection pane="topRight" activeCell="B19" sqref="B19"/>
      <selection pane="bottomLeft" activeCell="B19" sqref="B19"/>
      <selection pane="bottomRight" activeCell="N6" sqref="N6"/>
    </sheetView>
  </sheetViews>
  <sheetFormatPr defaultColWidth="9.21875" defaultRowHeight="13.2"/>
  <cols>
    <col min="1" max="1" width="10.5546875" style="4" bestFit="1" customWidth="1"/>
    <col min="2" max="2" width="95" style="4" customWidth="1"/>
    <col min="3" max="3" width="12.5546875" style="4" bestFit="1" customWidth="1"/>
    <col min="4" max="4" width="11.44140625" style="4" customWidth="1"/>
    <col min="5" max="5" width="18.21875" style="4" bestFit="1" customWidth="1"/>
    <col min="6" max="13" width="12.77734375" style="4" customWidth="1"/>
    <col min="14" max="14" width="31" style="4" bestFit="1" customWidth="1"/>
    <col min="15" max="15" width="13.88671875" style="19" bestFit="1" customWidth="1"/>
    <col min="16" max="16" width="9.21875" style="19"/>
    <col min="17" max="17" width="44.21875" style="19" customWidth="1"/>
    <col min="18" max="16384" width="9.21875" style="19"/>
  </cols>
  <sheetData>
    <row r="1" spans="1:17" ht="13.8">
      <c r="A1" s="456" t="s">
        <v>717</v>
      </c>
      <c r="B1" s="494" t="str">
        <f>'Info '!C2</f>
        <v>JSC "CREDOBANK"</v>
      </c>
      <c r="C1" s="494"/>
      <c r="D1" s="494"/>
      <c r="E1" s="494"/>
      <c r="F1" s="494"/>
      <c r="G1" s="494"/>
      <c r="H1" s="494"/>
      <c r="I1" s="494"/>
      <c r="J1" s="494"/>
      <c r="K1" s="494"/>
      <c r="L1" s="494"/>
      <c r="M1" s="494"/>
      <c r="N1" s="494"/>
      <c r="O1" s="153"/>
      <c r="P1" s="153"/>
      <c r="Q1" s="153"/>
    </row>
    <row r="2" spans="1:17" ht="14.25" customHeight="1">
      <c r="A2" s="494" t="s">
        <v>718</v>
      </c>
      <c r="B2" s="457">
        <f>'1. key ratios '!B2</f>
        <v>45838</v>
      </c>
      <c r="C2" s="494"/>
      <c r="D2" s="494"/>
      <c r="E2" s="494"/>
      <c r="F2" s="494"/>
      <c r="G2" s="494"/>
      <c r="H2" s="494"/>
      <c r="I2" s="494"/>
      <c r="J2" s="494"/>
      <c r="K2" s="494"/>
      <c r="L2" s="494"/>
      <c r="M2" s="494"/>
      <c r="N2" s="494"/>
      <c r="O2" s="153"/>
      <c r="P2" s="153"/>
      <c r="Q2" s="153"/>
    </row>
    <row r="3" spans="1:17" ht="14.25" customHeight="1">
      <c r="A3" s="494"/>
      <c r="B3" s="153"/>
      <c r="C3" s="153"/>
      <c r="D3" s="153"/>
      <c r="E3" s="153"/>
      <c r="F3" s="153"/>
      <c r="G3" s="153"/>
      <c r="H3" s="153"/>
      <c r="I3" s="153"/>
      <c r="J3" s="153"/>
      <c r="K3" s="153"/>
      <c r="L3" s="153"/>
      <c r="M3" s="153"/>
      <c r="N3" s="153"/>
      <c r="O3" s="153"/>
      <c r="P3" s="153"/>
      <c r="Q3" s="153"/>
    </row>
    <row r="4" spans="1:17" ht="14.4">
      <c r="A4" s="494"/>
      <c r="B4" s="536" t="s">
        <v>719</v>
      </c>
      <c r="C4" s="153"/>
      <c r="D4" s="153"/>
      <c r="E4" s="153"/>
      <c r="F4" s="153"/>
      <c r="G4" s="153"/>
      <c r="H4" s="153"/>
      <c r="I4" s="153"/>
      <c r="J4" s="153"/>
      <c r="K4" s="153"/>
      <c r="L4" s="153"/>
      <c r="M4" s="153"/>
      <c r="N4" s="153"/>
      <c r="O4" s="153"/>
      <c r="P4" s="153"/>
      <c r="Q4" s="153"/>
    </row>
    <row r="5" spans="1:17" ht="57.6">
      <c r="A5" s="494"/>
      <c r="B5" s="537" t="s">
        <v>720</v>
      </c>
      <c r="C5" s="538" t="s">
        <v>721</v>
      </c>
      <c r="D5" s="538" t="s">
        <v>722</v>
      </c>
      <c r="E5" s="538" t="s">
        <v>723</v>
      </c>
      <c r="F5" s="538" t="s">
        <v>724</v>
      </c>
      <c r="G5" s="538" t="s">
        <v>725</v>
      </c>
      <c r="H5" s="538" t="s">
        <v>726</v>
      </c>
      <c r="I5" s="539" t="s">
        <v>727</v>
      </c>
      <c r="J5" s="540">
        <v>0.02</v>
      </c>
      <c r="K5" s="540">
        <v>0.2</v>
      </c>
      <c r="L5" s="540">
        <v>0.35</v>
      </c>
      <c r="M5" s="540">
        <v>0.5</v>
      </c>
      <c r="N5" s="540">
        <v>0.75</v>
      </c>
      <c r="O5" s="540">
        <v>1</v>
      </c>
      <c r="P5" s="540">
        <v>1.5</v>
      </c>
      <c r="Q5" s="541" t="s">
        <v>728</v>
      </c>
    </row>
    <row r="6" spans="1:17" ht="14.4">
      <c r="A6" s="494"/>
      <c r="B6" s="542"/>
      <c r="C6" s="543">
        <f>IF(C7&gt;0,C7,IF(C8&gt;0,C8,IF(C9&gt;0,C9)))</f>
        <v>398669150</v>
      </c>
      <c r="D6" s="543">
        <f>IF(D7&gt;0,D7,IF(D8&gt;0,D8,IF(D9&gt;0,D9,0)))</f>
        <v>0</v>
      </c>
      <c r="E6" s="543">
        <f>IF(E7&gt;0,E7,IF(E8&gt;0,E8,IF(E9&gt;0,E9,0)))</f>
        <v>0</v>
      </c>
      <c r="F6" s="543">
        <f t="shared" ref="F6:Q6" si="0">IF(F7&gt;0,F7,IF(F8&gt;0,F8,IF(F9&gt;0,F9)))</f>
        <v>77292.573423302732</v>
      </c>
      <c r="G6" s="543">
        <f t="shared" si="0"/>
        <v>6290854.6538491081</v>
      </c>
      <c r="H6" s="543"/>
      <c r="I6" s="543">
        <f t="shared" si="0"/>
        <v>8915406.1181813739</v>
      </c>
      <c r="J6" s="543">
        <f>IF(J7&gt;0,J7,IF(J8&gt;0,J8,IF(J9&gt;0,J9,0)))</f>
        <v>0</v>
      </c>
      <c r="K6" s="543">
        <f>IF(K7&gt;0,K7,IF(K8&gt;0,K8,IF(K9&gt;0,K9,0)))</f>
        <v>0</v>
      </c>
      <c r="L6" s="543">
        <f>IF(L7&gt;0,L7,IF(L8&gt;0,L8,IF(L9&gt;0,L9,0)))</f>
        <v>0</v>
      </c>
      <c r="M6" s="543">
        <f t="shared" si="0"/>
        <v>7436004.5496663675</v>
      </c>
      <c r="N6" s="543">
        <f>IF(N7&gt;0,N7,IF(N8&gt;0,N8,IF(N9&gt;0,N9,0)))</f>
        <v>0</v>
      </c>
      <c r="O6" s="543">
        <f>IF(O7&gt;0,O7,IF(O8&gt;0,O8,IF(O9&gt;0,O9,0)))</f>
        <v>0</v>
      </c>
      <c r="P6" s="543">
        <f>IF(P7&gt;0,P7,IF(P8&gt;0,P8,IF(P9&gt;0,P9,0)))</f>
        <v>0</v>
      </c>
      <c r="Q6" s="543">
        <f t="shared" si="0"/>
        <v>3718002.2748331837</v>
      </c>
    </row>
    <row r="7" spans="1:17" ht="14.4">
      <c r="A7" s="494"/>
      <c r="B7" s="544" t="s">
        <v>729</v>
      </c>
      <c r="C7" s="543">
        <f>C11+C15+C19+C23+C27+C31</f>
        <v>398669150</v>
      </c>
      <c r="D7" s="543"/>
      <c r="E7" s="543"/>
      <c r="F7" s="543">
        <f t="shared" ref="F7:G9" si="1">F11+F15+F19+F23+F27+F31</f>
        <v>77292.573423302732</v>
      </c>
      <c r="G7" s="543">
        <f t="shared" si="1"/>
        <v>6290854.6538491081</v>
      </c>
      <c r="H7" s="545">
        <v>1.4</v>
      </c>
      <c r="I7" s="546">
        <f t="shared" ref="I7:I33" si="2">(F7+G7)*H7</f>
        <v>8915406.1181813739</v>
      </c>
      <c r="J7" s="543">
        <f>J11+J15+J19+J23+J27+J31</f>
        <v>0</v>
      </c>
      <c r="K7" s="543">
        <f t="shared" ref="J7:Q9" si="3">K11+K15+K19+K23+K27+K31</f>
        <v>0</v>
      </c>
      <c r="L7" s="543">
        <f t="shared" si="3"/>
        <v>0</v>
      </c>
      <c r="M7" s="543">
        <f t="shared" si="3"/>
        <v>7436004.5496663675</v>
      </c>
      <c r="N7" s="543">
        <f t="shared" si="3"/>
        <v>0</v>
      </c>
      <c r="O7" s="543">
        <f t="shared" si="3"/>
        <v>0</v>
      </c>
      <c r="P7" s="543">
        <f t="shared" si="3"/>
        <v>0</v>
      </c>
      <c r="Q7" s="543">
        <f>Q11+Q15+Q19+Q23+Q27+Q31</f>
        <v>3718002.2748331837</v>
      </c>
    </row>
    <row r="8" spans="1:17" ht="14.4">
      <c r="A8" s="494"/>
      <c r="B8" s="544" t="s">
        <v>730</v>
      </c>
      <c r="C8" s="543">
        <f>C12+C16+C20+C24+C28+C32</f>
        <v>398669150</v>
      </c>
      <c r="D8" s="543"/>
      <c r="E8" s="543"/>
      <c r="F8" s="543">
        <f t="shared" si="1"/>
        <v>77292.573423302732</v>
      </c>
      <c r="G8" s="543">
        <f t="shared" si="1"/>
        <v>15946766</v>
      </c>
      <c r="H8" s="545">
        <v>1.4</v>
      </c>
      <c r="I8" s="546">
        <f t="shared" si="2"/>
        <v>22433682.002792623</v>
      </c>
      <c r="J8" s="543">
        <f t="shared" si="3"/>
        <v>0</v>
      </c>
      <c r="K8" s="543">
        <f t="shared" si="3"/>
        <v>0</v>
      </c>
      <c r="L8" s="543">
        <f t="shared" si="3"/>
        <v>0</v>
      </c>
      <c r="M8" s="543">
        <f t="shared" si="3"/>
        <v>22433682.002792623</v>
      </c>
      <c r="N8" s="543">
        <f t="shared" si="3"/>
        <v>0</v>
      </c>
      <c r="O8" s="543">
        <f t="shared" si="3"/>
        <v>0</v>
      </c>
      <c r="P8" s="543">
        <f t="shared" si="3"/>
        <v>0</v>
      </c>
      <c r="Q8" s="543">
        <f>Q12+Q16+Q20+Q24+Q28+Q32</f>
        <v>11216841.001396311</v>
      </c>
    </row>
    <row r="9" spans="1:17" ht="14.4">
      <c r="A9" s="494"/>
      <c r="B9" s="544" t="s">
        <v>737</v>
      </c>
      <c r="C9" s="543">
        <f>C13+C17+C21+C25+C29+C33</f>
        <v>398669150</v>
      </c>
      <c r="D9" s="543"/>
      <c r="E9" s="543"/>
      <c r="F9" s="543">
        <f t="shared" si="1"/>
        <v>2485908.7576126391</v>
      </c>
      <c r="G9" s="543">
        <f t="shared" si="1"/>
        <v>15946768.835000008</v>
      </c>
      <c r="H9" s="545">
        <v>1.4</v>
      </c>
      <c r="I9" s="546">
        <f t="shared" si="2"/>
        <v>25805748.629657704</v>
      </c>
      <c r="J9" s="543">
        <f t="shared" si="3"/>
        <v>0</v>
      </c>
      <c r="K9" s="543">
        <f t="shared" si="3"/>
        <v>0</v>
      </c>
      <c r="L9" s="543">
        <f t="shared" si="3"/>
        <v>0</v>
      </c>
      <c r="M9" s="543">
        <f t="shared" si="3"/>
        <v>25805744.660657693</v>
      </c>
      <c r="N9" s="543">
        <f t="shared" si="3"/>
        <v>0</v>
      </c>
      <c r="O9" s="543">
        <f t="shared" si="3"/>
        <v>0</v>
      </c>
      <c r="P9" s="543">
        <f t="shared" si="3"/>
        <v>0</v>
      </c>
      <c r="Q9" s="543">
        <f t="shared" si="3"/>
        <v>12902872.330328846</v>
      </c>
    </row>
    <row r="10" spans="1:17" ht="14.4">
      <c r="A10" s="494"/>
      <c r="B10" s="547" t="s">
        <v>731</v>
      </c>
      <c r="C10" s="548"/>
      <c r="D10" s="548"/>
      <c r="E10" s="548"/>
      <c r="F10" s="548"/>
      <c r="G10" s="548"/>
      <c r="H10" s="545">
        <v>1.4</v>
      </c>
      <c r="I10" s="546">
        <f t="shared" si="2"/>
        <v>0</v>
      </c>
      <c r="J10" s="549"/>
      <c r="K10" s="549"/>
      <c r="L10" s="549"/>
      <c r="M10" s="549"/>
      <c r="N10" s="549"/>
      <c r="O10" s="549"/>
      <c r="P10" s="549"/>
      <c r="Q10" s="543">
        <f>SUM(Q11:Q13)</f>
        <v>0</v>
      </c>
    </row>
    <row r="11" spans="1:17" ht="14.4">
      <c r="A11" s="494"/>
      <c r="B11" s="550" t="s">
        <v>729</v>
      </c>
      <c r="C11" s="548"/>
      <c r="D11" s="548"/>
      <c r="E11" s="548"/>
      <c r="F11" s="548"/>
      <c r="G11" s="548"/>
      <c r="H11" s="545">
        <v>1.4</v>
      </c>
      <c r="I11" s="546">
        <f t="shared" si="2"/>
        <v>0</v>
      </c>
      <c r="J11" s="549"/>
      <c r="K11" s="549"/>
      <c r="L11" s="549"/>
      <c r="M11" s="549"/>
      <c r="N11" s="549"/>
      <c r="O11" s="549"/>
      <c r="P11" s="549"/>
      <c r="Q11" s="543">
        <f>SUMPRODUCT($J$5:$P$5,J11:P11)</f>
        <v>0</v>
      </c>
    </row>
    <row r="12" spans="1:17" ht="14.4">
      <c r="A12" s="494"/>
      <c r="B12" s="550" t="s">
        <v>730</v>
      </c>
      <c r="C12" s="548"/>
      <c r="D12" s="548"/>
      <c r="E12" s="548"/>
      <c r="F12" s="548"/>
      <c r="G12" s="548"/>
      <c r="H12" s="545">
        <v>1.4</v>
      </c>
      <c r="I12" s="546">
        <f t="shared" si="2"/>
        <v>0</v>
      </c>
      <c r="J12" s="549"/>
      <c r="K12" s="549"/>
      <c r="L12" s="549"/>
      <c r="M12" s="549"/>
      <c r="N12" s="549"/>
      <c r="O12" s="549"/>
      <c r="P12" s="549"/>
      <c r="Q12" s="543">
        <f t="shared" ref="Q12:Q13" si="4">SUMPRODUCT($J$5:$P$5,J12:P12)</f>
        <v>0</v>
      </c>
    </row>
    <row r="13" spans="1:17" ht="14.4">
      <c r="A13" s="494"/>
      <c r="B13" s="550" t="s">
        <v>737</v>
      </c>
      <c r="C13" s="548"/>
      <c r="D13" s="548"/>
      <c r="E13" s="548"/>
      <c r="F13" s="548"/>
      <c r="G13" s="548"/>
      <c r="H13" s="545">
        <v>1.4</v>
      </c>
      <c r="I13" s="546">
        <f t="shared" si="2"/>
        <v>0</v>
      </c>
      <c r="J13" s="549"/>
      <c r="K13" s="549"/>
      <c r="L13" s="549"/>
      <c r="M13" s="549"/>
      <c r="N13" s="549"/>
      <c r="O13" s="549"/>
      <c r="P13" s="549"/>
      <c r="Q13" s="543">
        <f t="shared" si="4"/>
        <v>0</v>
      </c>
    </row>
    <row r="14" spans="1:17" ht="14.4">
      <c r="A14" s="494"/>
      <c r="B14" s="547" t="s">
        <v>732</v>
      </c>
      <c r="C14" s="548"/>
      <c r="D14" s="548"/>
      <c r="E14" s="548"/>
      <c r="F14" s="548"/>
      <c r="G14" s="548"/>
      <c r="H14" s="545">
        <v>1.4</v>
      </c>
      <c r="I14" s="546">
        <f t="shared" si="2"/>
        <v>0</v>
      </c>
      <c r="J14" s="549"/>
      <c r="K14" s="549"/>
      <c r="L14" s="549"/>
      <c r="M14" s="549"/>
      <c r="N14" s="549"/>
      <c r="O14" s="549"/>
      <c r="P14" s="549"/>
      <c r="Q14" s="543">
        <f>SUM(Q15:Q17)</f>
        <v>0</v>
      </c>
    </row>
    <row r="15" spans="1:17" ht="14.4">
      <c r="A15" s="494"/>
      <c r="B15" s="550" t="s">
        <v>729</v>
      </c>
      <c r="C15" s="548"/>
      <c r="D15" s="548"/>
      <c r="E15" s="548"/>
      <c r="F15" s="548"/>
      <c r="G15" s="548"/>
      <c r="H15" s="545">
        <v>1.4</v>
      </c>
      <c r="I15" s="546">
        <f t="shared" si="2"/>
        <v>0</v>
      </c>
      <c r="J15" s="549"/>
      <c r="K15" s="549"/>
      <c r="L15" s="549"/>
      <c r="M15" s="549"/>
      <c r="N15" s="549"/>
      <c r="O15" s="549"/>
      <c r="P15" s="549"/>
      <c r="Q15" s="543">
        <f>SUMPRODUCT($J$5:$P$5,J15:P15)</f>
        <v>0</v>
      </c>
    </row>
    <row r="16" spans="1:17" ht="14.4">
      <c r="A16" s="494"/>
      <c r="B16" s="550" t="s">
        <v>730</v>
      </c>
      <c r="C16" s="548"/>
      <c r="D16" s="548"/>
      <c r="E16" s="548"/>
      <c r="F16" s="548"/>
      <c r="G16" s="548"/>
      <c r="H16" s="545">
        <v>1.4</v>
      </c>
      <c r="I16" s="546">
        <f t="shared" si="2"/>
        <v>0</v>
      </c>
      <c r="J16" s="549"/>
      <c r="K16" s="549"/>
      <c r="L16" s="549"/>
      <c r="M16" s="549"/>
      <c r="N16" s="549"/>
      <c r="O16" s="549"/>
      <c r="P16" s="549"/>
      <c r="Q16" s="543">
        <f t="shared" ref="Q16:Q17" si="5">SUMPRODUCT($J$5:$P$5,J16:P16)</f>
        <v>0</v>
      </c>
    </row>
    <row r="17" spans="1:17" ht="14.4">
      <c r="A17" s="494"/>
      <c r="B17" s="550" t="s">
        <v>737</v>
      </c>
      <c r="C17" s="548"/>
      <c r="D17" s="548"/>
      <c r="E17" s="548"/>
      <c r="F17" s="548"/>
      <c r="G17" s="548"/>
      <c r="H17" s="545">
        <v>1.4</v>
      </c>
      <c r="I17" s="546">
        <f t="shared" si="2"/>
        <v>0</v>
      </c>
      <c r="J17" s="549"/>
      <c r="K17" s="549"/>
      <c r="L17" s="549"/>
      <c r="M17" s="549"/>
      <c r="N17" s="549"/>
      <c r="O17" s="549"/>
      <c r="P17" s="549"/>
      <c r="Q17" s="543">
        <f t="shared" si="5"/>
        <v>0</v>
      </c>
    </row>
    <row r="18" spans="1:17" ht="14.4">
      <c r="A18" s="494"/>
      <c r="B18" s="547" t="s">
        <v>733</v>
      </c>
      <c r="C18" s="548"/>
      <c r="D18" s="548"/>
      <c r="E18" s="548"/>
      <c r="F18" s="548"/>
      <c r="G18" s="548"/>
      <c r="H18" s="545">
        <v>1.4</v>
      </c>
      <c r="I18" s="546">
        <f t="shared" si="2"/>
        <v>0</v>
      </c>
      <c r="J18" s="549"/>
      <c r="K18" s="549"/>
      <c r="L18" s="549"/>
      <c r="M18" s="549"/>
      <c r="N18" s="549"/>
      <c r="O18" s="549"/>
      <c r="P18" s="549"/>
      <c r="Q18" s="543">
        <f>SUM(Q19:Q21)</f>
        <v>27837715.606558342</v>
      </c>
    </row>
    <row r="19" spans="1:17" ht="14.4">
      <c r="A19" s="494"/>
      <c r="B19" s="550" t="s">
        <v>729</v>
      </c>
      <c r="C19" s="548">
        <v>398669150</v>
      </c>
      <c r="D19" s="548">
        <v>2485908.7576126391</v>
      </c>
      <c r="E19" s="548">
        <v>0</v>
      </c>
      <c r="F19" s="548">
        <v>77292.573423302732</v>
      </c>
      <c r="G19" s="548">
        <v>6290854.6538491081</v>
      </c>
      <c r="H19" s="545">
        <v>1.4</v>
      </c>
      <c r="I19" s="546">
        <f t="shared" si="2"/>
        <v>8915406.1181813739</v>
      </c>
      <c r="J19" s="660"/>
      <c r="K19" s="660"/>
      <c r="L19" s="660"/>
      <c r="M19" s="660">
        <v>7436004.5496663675</v>
      </c>
      <c r="N19" s="660"/>
      <c r="O19" s="660"/>
      <c r="P19" s="660"/>
      <c r="Q19" s="543">
        <f>SUMPRODUCT($J$5:$P$5,J19:P19)</f>
        <v>3718002.2748331837</v>
      </c>
    </row>
    <row r="20" spans="1:17" ht="14.4">
      <c r="A20" s="494"/>
      <c r="B20" s="550" t="s">
        <v>730</v>
      </c>
      <c r="C20" s="548">
        <v>398669150</v>
      </c>
      <c r="D20" s="548">
        <v>2485908.7576126391</v>
      </c>
      <c r="E20" s="548">
        <v>0</v>
      </c>
      <c r="F20" s="548">
        <v>77292.573423302732</v>
      </c>
      <c r="G20" s="548">
        <v>15946766</v>
      </c>
      <c r="H20" s="545">
        <v>1.4</v>
      </c>
      <c r="I20" s="546">
        <f t="shared" si="2"/>
        <v>22433682.002792623</v>
      </c>
      <c r="J20" s="660"/>
      <c r="K20" s="660"/>
      <c r="L20" s="660"/>
      <c r="M20" s="660">
        <v>22433682.002792623</v>
      </c>
      <c r="N20" s="660"/>
      <c r="O20" s="660"/>
      <c r="P20" s="660"/>
      <c r="Q20" s="543">
        <f t="shared" ref="Q20:Q21" si="6">SUMPRODUCT($J$5:$P$5,J20:P20)</f>
        <v>11216841.001396311</v>
      </c>
    </row>
    <row r="21" spans="1:17" ht="14.4">
      <c r="A21" s="494"/>
      <c r="B21" s="550" t="s">
        <v>737</v>
      </c>
      <c r="C21" s="548">
        <v>398669150</v>
      </c>
      <c r="D21" s="548">
        <v>2485908.7576126391</v>
      </c>
      <c r="E21" s="548">
        <v>0</v>
      </c>
      <c r="F21" s="548">
        <v>2485908.7576126391</v>
      </c>
      <c r="G21" s="548">
        <v>15946768.835000008</v>
      </c>
      <c r="H21" s="545">
        <v>1.4</v>
      </c>
      <c r="I21" s="546">
        <f t="shared" si="2"/>
        <v>25805748.629657704</v>
      </c>
      <c r="J21" s="660"/>
      <c r="K21" s="660"/>
      <c r="L21" s="660"/>
      <c r="M21" s="660">
        <v>25805744.660657693</v>
      </c>
      <c r="N21" s="660"/>
      <c r="O21" s="660"/>
      <c r="P21" s="660"/>
      <c r="Q21" s="543">
        <f t="shared" si="6"/>
        <v>12902872.330328846</v>
      </c>
    </row>
    <row r="22" spans="1:17" ht="14.4">
      <c r="A22" s="494"/>
      <c r="B22" s="547" t="s">
        <v>734</v>
      </c>
      <c r="C22" s="548"/>
      <c r="D22" s="548"/>
      <c r="E22" s="548"/>
      <c r="F22" s="548"/>
      <c r="G22" s="548"/>
      <c r="H22" s="545">
        <v>1.4</v>
      </c>
      <c r="I22" s="546">
        <f t="shared" si="2"/>
        <v>0</v>
      </c>
      <c r="J22" s="549"/>
      <c r="K22" s="549"/>
      <c r="L22" s="549"/>
      <c r="M22" s="549"/>
      <c r="N22" s="549"/>
      <c r="O22" s="549"/>
      <c r="P22" s="549"/>
      <c r="Q22" s="543">
        <f>SUM(Q23:Q25)</f>
        <v>0</v>
      </c>
    </row>
    <row r="23" spans="1:17" ht="14.4">
      <c r="A23" s="494"/>
      <c r="B23" s="550" t="s">
        <v>729</v>
      </c>
      <c r="C23" s="548"/>
      <c r="D23" s="548"/>
      <c r="E23" s="548"/>
      <c r="F23" s="548"/>
      <c r="G23" s="548"/>
      <c r="H23" s="545">
        <v>1.4</v>
      </c>
      <c r="I23" s="546">
        <f t="shared" si="2"/>
        <v>0</v>
      </c>
      <c r="J23" s="549"/>
      <c r="K23" s="549"/>
      <c r="L23" s="549"/>
      <c r="M23" s="549"/>
      <c r="N23" s="549"/>
      <c r="O23" s="549"/>
      <c r="P23" s="549"/>
      <c r="Q23" s="543">
        <f>SUMPRODUCT($J$5:$P$5,J23:P23)</f>
        <v>0</v>
      </c>
    </row>
    <row r="24" spans="1:17" ht="14.4">
      <c r="A24" s="494"/>
      <c r="B24" s="550" t="s">
        <v>730</v>
      </c>
      <c r="C24" s="548"/>
      <c r="D24" s="548"/>
      <c r="E24" s="548"/>
      <c r="F24" s="548"/>
      <c r="G24" s="548"/>
      <c r="H24" s="545">
        <v>1.4</v>
      </c>
      <c r="I24" s="546">
        <f t="shared" si="2"/>
        <v>0</v>
      </c>
      <c r="J24" s="549"/>
      <c r="K24" s="549"/>
      <c r="L24" s="549"/>
      <c r="M24" s="549"/>
      <c r="N24" s="549"/>
      <c r="O24" s="549"/>
      <c r="P24" s="549"/>
      <c r="Q24" s="543">
        <f t="shared" ref="Q24:Q25" si="7">SUMPRODUCT($J$5:$P$5,J24:P24)</f>
        <v>0</v>
      </c>
    </row>
    <row r="25" spans="1:17" ht="14.4">
      <c r="A25" s="494"/>
      <c r="B25" s="550" t="s">
        <v>737</v>
      </c>
      <c r="C25" s="548"/>
      <c r="D25" s="548"/>
      <c r="E25" s="548"/>
      <c r="F25" s="548"/>
      <c r="G25" s="548"/>
      <c r="H25" s="545">
        <v>1.4</v>
      </c>
      <c r="I25" s="546">
        <f t="shared" si="2"/>
        <v>0</v>
      </c>
      <c r="J25" s="549"/>
      <c r="K25" s="549"/>
      <c r="L25" s="549"/>
      <c r="M25" s="549"/>
      <c r="N25" s="549"/>
      <c r="O25" s="549"/>
      <c r="P25" s="549"/>
      <c r="Q25" s="543">
        <f t="shared" si="7"/>
        <v>0</v>
      </c>
    </row>
    <row r="26" spans="1:17" ht="14.4">
      <c r="A26" s="494"/>
      <c r="B26" s="547" t="s">
        <v>735</v>
      </c>
      <c r="C26" s="548"/>
      <c r="D26" s="548"/>
      <c r="E26" s="548"/>
      <c r="F26" s="548"/>
      <c r="G26" s="548"/>
      <c r="H26" s="545">
        <v>1.4</v>
      </c>
      <c r="I26" s="546">
        <f t="shared" si="2"/>
        <v>0</v>
      </c>
      <c r="J26" s="549"/>
      <c r="K26" s="549"/>
      <c r="L26" s="549"/>
      <c r="M26" s="549"/>
      <c r="N26" s="549"/>
      <c r="O26" s="549"/>
      <c r="P26" s="549"/>
      <c r="Q26" s="543">
        <f>SUM(Q27:Q29)</f>
        <v>0</v>
      </c>
    </row>
    <row r="27" spans="1:17" ht="14.4">
      <c r="A27" s="494"/>
      <c r="B27" s="550" t="s">
        <v>729</v>
      </c>
      <c r="C27" s="548"/>
      <c r="D27" s="548"/>
      <c r="E27" s="548"/>
      <c r="F27" s="548"/>
      <c r="G27" s="548"/>
      <c r="H27" s="545">
        <v>1.4</v>
      </c>
      <c r="I27" s="546">
        <f t="shared" si="2"/>
        <v>0</v>
      </c>
      <c r="J27" s="549"/>
      <c r="K27" s="549"/>
      <c r="L27" s="549"/>
      <c r="M27" s="549"/>
      <c r="N27" s="549"/>
      <c r="O27" s="549"/>
      <c r="P27" s="549"/>
      <c r="Q27" s="543">
        <f>SUMPRODUCT($J$5:$P$5,J27:P27)</f>
        <v>0</v>
      </c>
    </row>
    <row r="28" spans="1:17" ht="14.4">
      <c r="A28" s="494"/>
      <c r="B28" s="550" t="s">
        <v>730</v>
      </c>
      <c r="C28" s="548"/>
      <c r="D28" s="548"/>
      <c r="E28" s="548"/>
      <c r="F28" s="548"/>
      <c r="G28" s="548"/>
      <c r="H28" s="545">
        <v>1.4</v>
      </c>
      <c r="I28" s="546">
        <f t="shared" si="2"/>
        <v>0</v>
      </c>
      <c r="J28" s="549"/>
      <c r="K28" s="549"/>
      <c r="L28" s="549"/>
      <c r="M28" s="549"/>
      <c r="N28" s="549"/>
      <c r="O28" s="549"/>
      <c r="P28" s="549"/>
      <c r="Q28" s="543">
        <f t="shared" ref="Q28:Q29" si="8">SUMPRODUCT($J$5:$P$5,J28:P28)</f>
        <v>0</v>
      </c>
    </row>
    <row r="29" spans="1:17" ht="14.4">
      <c r="A29" s="494"/>
      <c r="B29" s="550" t="s">
        <v>737</v>
      </c>
      <c r="C29" s="548"/>
      <c r="D29" s="548"/>
      <c r="E29" s="548"/>
      <c r="F29" s="548"/>
      <c r="G29" s="548"/>
      <c r="H29" s="545">
        <v>1.4</v>
      </c>
      <c r="I29" s="546">
        <f t="shared" si="2"/>
        <v>0</v>
      </c>
      <c r="J29" s="549"/>
      <c r="K29" s="549"/>
      <c r="L29" s="549"/>
      <c r="M29" s="549"/>
      <c r="N29" s="549"/>
      <c r="O29" s="549"/>
      <c r="P29" s="549"/>
      <c r="Q29" s="543">
        <f t="shared" si="8"/>
        <v>0</v>
      </c>
    </row>
    <row r="30" spans="1:17" ht="14.4">
      <c r="A30" s="494"/>
      <c r="B30" s="551" t="s">
        <v>736</v>
      </c>
      <c r="C30" s="548"/>
      <c r="D30" s="548"/>
      <c r="E30" s="548"/>
      <c r="F30" s="548"/>
      <c r="G30" s="548"/>
      <c r="H30" s="545">
        <v>1.4</v>
      </c>
      <c r="I30" s="546">
        <f t="shared" si="2"/>
        <v>0</v>
      </c>
      <c r="J30" s="549"/>
      <c r="K30" s="549"/>
      <c r="L30" s="549"/>
      <c r="M30" s="549"/>
      <c r="N30" s="549"/>
      <c r="O30" s="549"/>
      <c r="P30" s="549"/>
      <c r="Q30" s="543">
        <f>SUM(Q31:Q33)</f>
        <v>0</v>
      </c>
    </row>
    <row r="31" spans="1:17" ht="14.4">
      <c r="A31" s="494"/>
      <c r="B31" s="550" t="s">
        <v>729</v>
      </c>
      <c r="C31" s="548"/>
      <c r="D31" s="548"/>
      <c r="E31" s="548"/>
      <c r="F31" s="548"/>
      <c r="G31" s="548"/>
      <c r="H31" s="545">
        <v>1.4</v>
      </c>
      <c r="I31" s="546">
        <f t="shared" si="2"/>
        <v>0</v>
      </c>
      <c r="J31" s="549"/>
      <c r="K31" s="549"/>
      <c r="L31" s="549"/>
      <c r="M31" s="549"/>
      <c r="N31" s="549"/>
      <c r="O31" s="549"/>
      <c r="P31" s="549"/>
      <c r="Q31" s="543">
        <f>SUMPRODUCT($J$5:$P$5,J31:P31)</f>
        <v>0</v>
      </c>
    </row>
    <row r="32" spans="1:17" ht="14.4">
      <c r="A32" s="494"/>
      <c r="B32" s="550" t="s">
        <v>730</v>
      </c>
      <c r="C32" s="548"/>
      <c r="D32" s="548"/>
      <c r="E32" s="548"/>
      <c r="F32" s="548"/>
      <c r="G32" s="548"/>
      <c r="H32" s="545">
        <v>1.4</v>
      </c>
      <c r="I32" s="546">
        <f t="shared" si="2"/>
        <v>0</v>
      </c>
      <c r="J32" s="549"/>
      <c r="K32" s="549"/>
      <c r="L32" s="549"/>
      <c r="M32" s="549"/>
      <c r="N32" s="549"/>
      <c r="O32" s="549"/>
      <c r="P32" s="549"/>
      <c r="Q32" s="543">
        <f t="shared" ref="Q32:Q33" si="9">SUMPRODUCT($J$5:$P$5,J32:P32)</f>
        <v>0</v>
      </c>
    </row>
    <row r="33" spans="1:17" ht="14.4">
      <c r="A33" s="494"/>
      <c r="B33" s="550" t="s">
        <v>737</v>
      </c>
      <c r="C33" s="548"/>
      <c r="D33" s="548"/>
      <c r="E33" s="548"/>
      <c r="F33" s="548"/>
      <c r="G33" s="548"/>
      <c r="H33" s="545">
        <v>1.4</v>
      </c>
      <c r="I33" s="546">
        <f t="shared" si="2"/>
        <v>0</v>
      </c>
      <c r="J33" s="549"/>
      <c r="K33" s="549"/>
      <c r="L33" s="549"/>
      <c r="M33" s="549"/>
      <c r="N33" s="549"/>
      <c r="O33" s="549"/>
      <c r="P33" s="549"/>
      <c r="Q33" s="543">
        <f t="shared" si="9"/>
        <v>0</v>
      </c>
    </row>
    <row r="34" spans="1:17" ht="14.4">
      <c r="A34" s="494"/>
      <c r="B34" s="552" t="s">
        <v>65</v>
      </c>
      <c r="C34" s="553">
        <f>C6</f>
        <v>398669150</v>
      </c>
      <c r="D34" s="553">
        <f t="shared" ref="D34:G34" si="10">D6</f>
        <v>0</v>
      </c>
      <c r="E34" s="553">
        <f t="shared" si="10"/>
        <v>0</v>
      </c>
      <c r="F34" s="553">
        <f t="shared" si="10"/>
        <v>77292.573423302732</v>
      </c>
      <c r="G34" s="553">
        <f t="shared" si="10"/>
        <v>6290854.6538491081</v>
      </c>
      <c r="H34" s="545">
        <v>1.4</v>
      </c>
      <c r="I34" s="546">
        <f>(F34+G34)*H34</f>
        <v>8915406.1181813739</v>
      </c>
      <c r="J34" s="553">
        <f t="shared" ref="J34:Q34" si="11">J6</f>
        <v>0</v>
      </c>
      <c r="K34" s="553">
        <f t="shared" si="11"/>
        <v>0</v>
      </c>
      <c r="L34" s="553">
        <f t="shared" si="11"/>
        <v>0</v>
      </c>
      <c r="M34" s="553">
        <f t="shared" si="11"/>
        <v>7436004.5496663675</v>
      </c>
      <c r="N34" s="553">
        <f t="shared" si="11"/>
        <v>0</v>
      </c>
      <c r="O34" s="553">
        <f t="shared" si="11"/>
        <v>0</v>
      </c>
      <c r="P34" s="553">
        <f t="shared" si="11"/>
        <v>0</v>
      </c>
      <c r="Q34" s="553">
        <f t="shared" si="11"/>
        <v>3718002.2748331837</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31" activePane="bottomRight" state="frozen"/>
      <selection activeCell="G42" sqref="A22:G42"/>
      <selection pane="topRight" activeCell="G42" sqref="A22:G42"/>
      <selection pane="bottomLeft" activeCell="G42" sqref="A22:G42"/>
      <selection pane="bottomRight" activeCell="C46" sqref="C46"/>
    </sheetView>
  </sheetViews>
  <sheetFormatPr defaultColWidth="9.21875" defaultRowHeight="13.8"/>
  <cols>
    <col min="1" max="1" width="9.5546875" style="3" bestFit="1" customWidth="1"/>
    <col min="2" max="2" width="86" style="3" customWidth="1"/>
    <col min="3" max="3" width="12.77734375" style="3" customWidth="1"/>
    <col min="4" max="7" width="12.77734375" style="4" customWidth="1"/>
    <col min="8" max="8" width="9.21875" style="5" customWidth="1"/>
    <col min="9" max="12" width="9.21875" style="5"/>
    <col min="13" max="13" width="6.77734375" style="5" customWidth="1"/>
    <col min="14" max="16384" width="9.21875" style="5"/>
  </cols>
  <sheetData>
    <row r="1" spans="1:7">
      <c r="A1" s="2" t="s">
        <v>31</v>
      </c>
      <c r="B1" s="3" t="str">
        <f>'Info '!C2</f>
        <v>JSC "CREDOBANK"</v>
      </c>
    </row>
    <row r="2" spans="1:7">
      <c r="A2" s="2" t="s">
        <v>32</v>
      </c>
      <c r="B2" s="265">
        <v>45838</v>
      </c>
    </row>
    <row r="3" spans="1:7" ht="14.4" thickBot="1">
      <c r="A3" s="2"/>
    </row>
    <row r="4" spans="1:7" ht="15" customHeight="1" thickBot="1">
      <c r="A4" s="6" t="s">
        <v>94</v>
      </c>
      <c r="B4" s="7" t="s">
        <v>93</v>
      </c>
      <c r="C4" s="7"/>
      <c r="D4" s="749" t="s">
        <v>665</v>
      </c>
      <c r="E4" s="750"/>
      <c r="F4" s="750"/>
      <c r="G4" s="751"/>
    </row>
    <row r="5" spans="1:7">
      <c r="A5" s="8" t="s">
        <v>7</v>
      </c>
      <c r="B5" s="9"/>
      <c r="C5" s="263" t="str">
        <f>INT((MONTH($B$2))/3)&amp;"Q"&amp;"-"&amp;YEAR($B$2)</f>
        <v>2Q-2025</v>
      </c>
      <c r="D5" s="263" t="str">
        <f>IF(INT(MONTH($B$2))=3, "4"&amp;"Q"&amp;"-"&amp;YEAR($B$2)-1, IF(INT(MONTH($B$2))=6, "1"&amp;"Q"&amp;"-"&amp;YEAR($B$2), IF(INT(MONTH($B$2))=9, "2"&amp;"Q"&amp;"-"&amp;YEAR($B$2),IF(INT(MONTH($B$2))=12, "3"&amp;"Q"&amp;"-"&amp;YEAR($B$2), 0))))</f>
        <v>1Q-2025</v>
      </c>
      <c r="E5" s="263" t="str">
        <f>IF(INT(MONTH($B$2))=3, "3"&amp;"Q"&amp;"-"&amp;YEAR($B$2)-1, IF(INT(MONTH($B$2))=6, "4"&amp;"Q"&amp;"-"&amp;YEAR($B$2)-1, IF(INT(MONTH($B$2))=9, "1"&amp;"Q"&amp;"-"&amp;YEAR($B$2),IF(INT(MONTH($B$2))=12, "2"&amp;"Q"&amp;"-"&amp;YEAR($B$2), 0))))</f>
        <v>4Q-2024</v>
      </c>
      <c r="F5" s="263" t="str">
        <f>IF(INT(MONTH($B$2))=3, "2"&amp;"Q"&amp;"-"&amp;YEAR($B$2)-1, IF(INT(MONTH($B$2))=6, "3"&amp;"Q"&amp;"-"&amp;YEAR($B$2)-1, IF(INT(MONTH($B$2))=9, "4"&amp;"Q"&amp;"-"&amp;YEAR($B$2)-1,IF(INT(MONTH($B$2))=12, "1"&amp;"Q"&amp;"-"&amp;YEAR($B$2), 0))))</f>
        <v>3Q-2024</v>
      </c>
      <c r="G5" s="264" t="str">
        <f>IF(INT(MONTH($B$2))=3, "1"&amp;"Q"&amp;"-"&amp;YEAR($B$2)-1, IF(INT(MONTH($B$2))=6, "2"&amp;"Q"&amp;"-"&amp;YEAR($B$2)-1, IF(INT(MONTH($B$2))=9, "3"&amp;"Q"&amp;"-"&amp;YEAR($B$2)-1,IF(INT(MONTH($B$2))=12, "4"&amp;"Q"&amp;"-"&amp;YEAR($B$2)-1, 0))))</f>
        <v>2Q-2024</v>
      </c>
    </row>
    <row r="6" spans="1:7">
      <c r="B6" s="114" t="s">
        <v>92</v>
      </c>
      <c r="C6" s="266"/>
      <c r="D6" s="266"/>
      <c r="E6" s="266"/>
      <c r="F6" s="266"/>
      <c r="G6" s="267"/>
    </row>
    <row r="7" spans="1:7">
      <c r="A7" s="10"/>
      <c r="B7" s="115" t="s">
        <v>90</v>
      </c>
      <c r="C7" s="266"/>
      <c r="D7" s="266"/>
      <c r="E7" s="266"/>
      <c r="F7" s="266"/>
      <c r="G7" s="267"/>
    </row>
    <row r="8" spans="1:7">
      <c r="A8" s="8">
        <v>1</v>
      </c>
      <c r="B8" s="11" t="s">
        <v>328</v>
      </c>
      <c r="C8" s="12">
        <v>387976547.78696764</v>
      </c>
      <c r="D8" s="13">
        <v>367975692.77275252</v>
      </c>
      <c r="E8" s="13">
        <v>347648418</v>
      </c>
      <c r="F8" s="13">
        <v>327467119.3300088</v>
      </c>
      <c r="G8" s="14">
        <v>307510915.44</v>
      </c>
    </row>
    <row r="9" spans="1:7">
      <c r="A9" s="8">
        <v>2</v>
      </c>
      <c r="B9" s="11" t="s">
        <v>329</v>
      </c>
      <c r="C9" s="12">
        <v>401594547.78696764</v>
      </c>
      <c r="D9" s="13">
        <v>367975692.77275252</v>
      </c>
      <c r="E9" s="13">
        <v>347648418</v>
      </c>
      <c r="F9" s="13">
        <v>327467119.3300088</v>
      </c>
      <c r="G9" s="14">
        <v>307510915.44</v>
      </c>
    </row>
    <row r="10" spans="1:7">
      <c r="A10" s="8">
        <v>3</v>
      </c>
      <c r="B10" s="11" t="s">
        <v>143</v>
      </c>
      <c r="C10" s="12">
        <v>497794876.50696766</v>
      </c>
      <c r="D10" s="13">
        <v>466776392.41275251</v>
      </c>
      <c r="E10" s="13">
        <v>448625692.60000002</v>
      </c>
      <c r="F10" s="13">
        <v>406952529.3300088</v>
      </c>
      <c r="G10" s="14">
        <v>392259543.44</v>
      </c>
    </row>
    <row r="11" spans="1:7">
      <c r="A11" s="8">
        <v>4</v>
      </c>
      <c r="B11" s="11" t="s">
        <v>331</v>
      </c>
      <c r="C11" s="12">
        <v>327030586.23934674</v>
      </c>
      <c r="D11" s="13">
        <v>295817238.88254887</v>
      </c>
      <c r="E11" s="13">
        <v>280283119.22571325</v>
      </c>
      <c r="F11" s="13">
        <v>257793553.80787081</v>
      </c>
      <c r="G11" s="14">
        <v>249673088.00032899</v>
      </c>
    </row>
    <row r="12" spans="1:7">
      <c r="A12" s="8">
        <v>5</v>
      </c>
      <c r="B12" s="11" t="s">
        <v>332</v>
      </c>
      <c r="C12" s="12">
        <v>386528799.39315224</v>
      </c>
      <c r="D12" s="13">
        <v>352656781.29268879</v>
      </c>
      <c r="E12" s="13">
        <v>335073041.80542183</v>
      </c>
      <c r="F12" s="13">
        <v>308211457.7999177</v>
      </c>
      <c r="G12" s="14">
        <v>298383605.45777577</v>
      </c>
    </row>
    <row r="13" spans="1:7">
      <c r="A13" s="8">
        <v>6</v>
      </c>
      <c r="B13" s="11" t="s">
        <v>330</v>
      </c>
      <c r="C13" s="12">
        <v>465563738.1031093</v>
      </c>
      <c r="D13" s="13">
        <v>428160611.94416159</v>
      </c>
      <c r="E13" s="13">
        <v>407853681.9389714</v>
      </c>
      <c r="F13" s="13">
        <v>375184363.84519249</v>
      </c>
      <c r="G13" s="14">
        <v>363088883.30139267</v>
      </c>
    </row>
    <row r="14" spans="1:7">
      <c r="A14" s="10"/>
      <c r="B14" s="114" t="s">
        <v>334</v>
      </c>
      <c r="C14" s="266"/>
      <c r="D14" s="266"/>
      <c r="E14" s="266"/>
      <c r="F14" s="266"/>
      <c r="G14" s="267"/>
    </row>
    <row r="15" spans="1:7" ht="15" customHeight="1">
      <c r="A15" s="8">
        <v>7</v>
      </c>
      <c r="B15" s="11" t="s">
        <v>333</v>
      </c>
      <c r="C15" s="172">
        <v>2841701328.8094139</v>
      </c>
      <c r="D15" s="13">
        <v>2716844425.002924</v>
      </c>
      <c r="E15" s="13">
        <v>2616819609.5615358</v>
      </c>
      <c r="F15" s="13">
        <v>2407523011.0630631</v>
      </c>
      <c r="G15" s="14">
        <v>2327468517.7289338</v>
      </c>
    </row>
    <row r="16" spans="1:7">
      <c r="A16" s="10"/>
      <c r="B16" s="114" t="s">
        <v>335</v>
      </c>
      <c r="C16" s="266"/>
      <c r="D16" s="266"/>
      <c r="E16" s="266"/>
      <c r="F16" s="266"/>
      <c r="G16" s="267"/>
    </row>
    <row r="17" spans="1:8">
      <c r="A17" s="8"/>
      <c r="B17" s="115" t="s">
        <v>715</v>
      </c>
      <c r="C17" s="266"/>
      <c r="D17" s="266"/>
      <c r="E17" s="266"/>
      <c r="F17" s="266"/>
      <c r="G17" s="267"/>
    </row>
    <row r="18" spans="1:8">
      <c r="A18" s="8">
        <v>8</v>
      </c>
      <c r="B18" s="11" t="s">
        <v>328</v>
      </c>
      <c r="C18" s="697">
        <v>0.13652967110006525</v>
      </c>
      <c r="D18" s="579">
        <v>0.13544231292241052</v>
      </c>
      <c r="E18" s="579">
        <v>0.13285150291970282</v>
      </c>
      <c r="F18" s="579">
        <v>0.13601827177713682</v>
      </c>
      <c r="G18" s="580">
        <v>0.13212248118400283</v>
      </c>
    </row>
    <row r="19" spans="1:8" ht="15" customHeight="1">
      <c r="A19" s="8">
        <v>9</v>
      </c>
      <c r="B19" s="11" t="s">
        <v>329</v>
      </c>
      <c r="C19" s="697">
        <v>0.14132187071018595</v>
      </c>
      <c r="D19" s="579">
        <v>0.13544231292241052</v>
      </c>
      <c r="E19" s="579">
        <v>0.13285150291970282</v>
      </c>
      <c r="F19" s="579">
        <v>0.13601827177713682</v>
      </c>
      <c r="G19" s="580">
        <v>0.13212248118400283</v>
      </c>
    </row>
    <row r="20" spans="1:8">
      <c r="A20" s="8">
        <v>10</v>
      </c>
      <c r="B20" s="11" t="s">
        <v>143</v>
      </c>
      <c r="C20" s="697">
        <v>0.17517494588902788</v>
      </c>
      <c r="D20" s="579">
        <v>0.17180828910078286</v>
      </c>
      <c r="E20" s="579">
        <v>0.17143928873078493</v>
      </c>
      <c r="F20" s="579">
        <v>0.16903370282809912</v>
      </c>
      <c r="G20" s="580">
        <v>0.16853484395258492</v>
      </c>
    </row>
    <row r="21" spans="1:8">
      <c r="A21" s="8">
        <v>11</v>
      </c>
      <c r="B21" s="11" t="s">
        <v>331</v>
      </c>
      <c r="C21" s="697">
        <v>0.11508267351106971</v>
      </c>
      <c r="D21" s="579">
        <v>0.10888265672180043</v>
      </c>
      <c r="E21" s="579">
        <v>0.10710830745364849</v>
      </c>
      <c r="F21" s="579">
        <v>0.10707833426444298</v>
      </c>
      <c r="G21" s="580">
        <v>0.1072723802769953</v>
      </c>
    </row>
    <row r="22" spans="1:8">
      <c r="A22" s="8">
        <v>12</v>
      </c>
      <c r="B22" s="11" t="s">
        <v>332</v>
      </c>
      <c r="C22" s="697">
        <v>0.13602020573889656</v>
      </c>
      <c r="D22" s="579">
        <v>0.12980381874685976</v>
      </c>
      <c r="E22" s="579">
        <v>0.12804590758183576</v>
      </c>
      <c r="F22" s="579">
        <v>0.12802015029059749</v>
      </c>
      <c r="G22" s="580">
        <v>0.1282009200488812</v>
      </c>
    </row>
    <row r="23" spans="1:8">
      <c r="A23" s="8">
        <v>13</v>
      </c>
      <c r="B23" s="11" t="s">
        <v>330</v>
      </c>
      <c r="C23" s="697">
        <v>0.16383274814393189</v>
      </c>
      <c r="D23" s="579">
        <v>0.15759482141141154</v>
      </c>
      <c r="E23" s="579">
        <v>0.15585853932945057</v>
      </c>
      <c r="F23" s="579">
        <v>0.15583832927237976</v>
      </c>
      <c r="G23" s="580">
        <v>0.15600163027504688</v>
      </c>
    </row>
    <row r="24" spans="1:8">
      <c r="A24" s="491"/>
      <c r="B24" s="114" t="s">
        <v>700</v>
      </c>
      <c r="C24" s="182"/>
      <c r="D24" s="182"/>
      <c r="E24" s="182"/>
      <c r="F24" s="182"/>
      <c r="G24" s="490"/>
    </row>
    <row r="25" spans="1:8" ht="26.4">
      <c r="A25" s="8">
        <v>14</v>
      </c>
      <c r="B25" s="11" t="s">
        <v>701</v>
      </c>
      <c r="C25" s="581"/>
      <c r="D25" s="582"/>
      <c r="E25" s="582"/>
      <c r="F25" s="582"/>
      <c r="G25" s="583"/>
      <c r="H25" s="489"/>
    </row>
    <row r="26" spans="1:8">
      <c r="A26" s="10"/>
      <c r="B26" s="114" t="s">
        <v>89</v>
      </c>
      <c r="C26" s="266"/>
      <c r="D26" s="266"/>
      <c r="E26" s="266"/>
      <c r="F26" s="266"/>
      <c r="G26" s="267"/>
    </row>
    <row r="27" spans="1:8" ht="15" customHeight="1">
      <c r="A27" s="268">
        <v>15</v>
      </c>
      <c r="B27" s="11" t="s">
        <v>88</v>
      </c>
      <c r="C27" s="584">
        <v>0.19332707095256682</v>
      </c>
      <c r="D27" s="585">
        <v>0.19528817622938224</v>
      </c>
      <c r="E27" s="585">
        <v>0.19204370446303029</v>
      </c>
      <c r="F27" s="585">
        <v>0.1930329747180978</v>
      </c>
      <c r="G27" s="586">
        <v>0.19253379781443603</v>
      </c>
    </row>
    <row r="28" spans="1:8">
      <c r="A28" s="268">
        <v>16</v>
      </c>
      <c r="B28" s="11" t="s">
        <v>87</v>
      </c>
      <c r="C28" s="584">
        <v>7.7003161677604293E-2</v>
      </c>
      <c r="D28" s="585">
        <v>7.6818069452227314E-2</v>
      </c>
      <c r="E28" s="585">
        <v>8.0465659644047338E-2</v>
      </c>
      <c r="F28" s="585">
        <v>8.1333762250953345E-2</v>
      </c>
      <c r="G28" s="586">
        <v>8.1955343895458471E-2</v>
      </c>
    </row>
    <row r="29" spans="1:8">
      <c r="A29" s="268">
        <v>17</v>
      </c>
      <c r="B29" s="11" t="s">
        <v>86</v>
      </c>
      <c r="C29" s="584">
        <v>6.6764903738628034E-2</v>
      </c>
      <c r="D29" s="585">
        <v>6.8826707639056003E-2</v>
      </c>
      <c r="E29" s="585">
        <v>5.8738835083216256E-2</v>
      </c>
      <c r="F29" s="585">
        <v>5.9449636198153785E-2</v>
      </c>
      <c r="G29" s="586">
        <v>5.6337157255993871E-2</v>
      </c>
    </row>
    <row r="30" spans="1:8">
      <c r="A30" s="268">
        <v>18</v>
      </c>
      <c r="B30" s="11" t="s">
        <v>85</v>
      </c>
      <c r="C30" s="584">
        <v>0.11632390927496254</v>
      </c>
      <c r="D30" s="585">
        <v>0.11847010677715493</v>
      </c>
      <c r="E30" s="585">
        <v>0.11157804481898295</v>
      </c>
      <c r="F30" s="585">
        <v>0.11169921246714447</v>
      </c>
      <c r="G30" s="586">
        <v>0.11057845391897754</v>
      </c>
    </row>
    <row r="31" spans="1:8">
      <c r="A31" s="268">
        <v>19</v>
      </c>
      <c r="B31" s="11" t="s">
        <v>155</v>
      </c>
      <c r="C31" s="584">
        <v>2.5639697424846935E-2</v>
      </c>
      <c r="D31" s="585">
        <v>2.8360921108693708E-2</v>
      </c>
      <c r="E31" s="585">
        <v>2.5309343339078742E-2</v>
      </c>
      <c r="F31" s="585">
        <v>2.3250235336591665E-2</v>
      </c>
      <c r="G31" s="586">
        <v>1.8909144248147748E-2</v>
      </c>
    </row>
    <row r="32" spans="1:8">
      <c r="A32" s="268">
        <v>20</v>
      </c>
      <c r="B32" s="11" t="s">
        <v>156</v>
      </c>
      <c r="C32" s="584">
        <v>0.20571416277916466</v>
      </c>
      <c r="D32" s="585">
        <v>0.22641363004890966</v>
      </c>
      <c r="E32" s="585">
        <v>0.20421646619790493</v>
      </c>
      <c r="F32" s="585">
        <v>0.18762054875400358</v>
      </c>
      <c r="G32" s="586">
        <v>0.15192912114358181</v>
      </c>
    </row>
    <row r="33" spans="1:7">
      <c r="A33" s="10"/>
      <c r="B33" s="114" t="s">
        <v>217</v>
      </c>
      <c r="C33" s="266"/>
      <c r="D33" s="266"/>
      <c r="E33" s="266"/>
      <c r="F33" s="266"/>
      <c r="G33" s="267"/>
    </row>
    <row r="34" spans="1:7">
      <c r="A34" s="268">
        <v>21</v>
      </c>
      <c r="B34" s="11" t="s">
        <v>84</v>
      </c>
      <c r="C34" s="584">
        <v>9.6304963828985814E-3</v>
      </c>
      <c r="D34" s="585">
        <v>7.608974533531084E-3</v>
      </c>
      <c r="E34" s="585">
        <v>8.0393354016192221E-3</v>
      </c>
      <c r="F34" s="585">
        <v>1.0061993743043906E-2</v>
      </c>
      <c r="G34" s="586">
        <v>8.7586572703909852E-3</v>
      </c>
    </row>
    <row r="35" spans="1:7" ht="15" customHeight="1">
      <c r="A35" s="268">
        <v>22</v>
      </c>
      <c r="B35" s="11" t="s">
        <v>674</v>
      </c>
      <c r="C35" s="584">
        <v>2.4218495933569111E-2</v>
      </c>
      <c r="D35" s="585">
        <v>2.2351396139721494E-2</v>
      </c>
      <c r="E35" s="585">
        <v>2.0721242376222759E-2</v>
      </c>
      <c r="F35" s="585">
        <v>2.135132794413996E-2</v>
      </c>
      <c r="G35" s="586">
        <v>2.1871875651814743E-2</v>
      </c>
    </row>
    <row r="36" spans="1:7">
      <c r="A36" s="268">
        <v>23</v>
      </c>
      <c r="B36" s="11" t="s">
        <v>83</v>
      </c>
      <c r="C36" s="584">
        <v>0.10202260530010368</v>
      </c>
      <c r="D36" s="585">
        <v>0.10079318721264928</v>
      </c>
      <c r="E36" s="585">
        <v>0.1037553386179081</v>
      </c>
      <c r="F36" s="585">
        <v>0.10225438376050315</v>
      </c>
      <c r="G36" s="586">
        <v>0.10276321098714909</v>
      </c>
    </row>
    <row r="37" spans="1:7" ht="15" customHeight="1">
      <c r="A37" s="268">
        <v>24</v>
      </c>
      <c r="B37" s="11" t="s">
        <v>82</v>
      </c>
      <c r="C37" s="584">
        <v>0.1421135265673365</v>
      </c>
      <c r="D37" s="585">
        <v>0.13854944490065235</v>
      </c>
      <c r="E37" s="585">
        <v>0.14983819609067697</v>
      </c>
      <c r="F37" s="585">
        <v>0.13439938473821492</v>
      </c>
      <c r="G37" s="586">
        <v>0.14991316449708772</v>
      </c>
    </row>
    <row r="38" spans="1:7">
      <c r="A38" s="268">
        <v>25</v>
      </c>
      <c r="B38" s="11" t="s">
        <v>81</v>
      </c>
      <c r="C38" s="584">
        <v>9.1649319680043195E-2</v>
      </c>
      <c r="D38" s="585">
        <v>3.5511579153565176E-2</v>
      </c>
      <c r="E38" s="585">
        <v>0.25552711778765769</v>
      </c>
      <c r="F38" s="585">
        <v>0.17226876043682338</v>
      </c>
      <c r="G38" s="586">
        <v>0.10679062780268311</v>
      </c>
    </row>
    <row r="39" spans="1:7" ht="15" customHeight="1">
      <c r="A39" s="10"/>
      <c r="B39" s="114" t="s">
        <v>218</v>
      </c>
      <c r="C39" s="266"/>
      <c r="D39" s="266"/>
      <c r="E39" s="266"/>
      <c r="F39" s="266"/>
      <c r="G39" s="267"/>
    </row>
    <row r="40" spans="1:7" ht="15" customHeight="1">
      <c r="A40" s="268">
        <v>26</v>
      </c>
      <c r="B40" s="11" t="s">
        <v>80</v>
      </c>
      <c r="C40" s="589">
        <v>0.12607274742867008</v>
      </c>
      <c r="D40" s="587">
        <v>9.998351951010695E-2</v>
      </c>
      <c r="E40" s="587">
        <v>0.10456548349032237</v>
      </c>
      <c r="F40" s="587">
        <v>0.126057779482041</v>
      </c>
      <c r="G40" s="588">
        <v>9.74E-2</v>
      </c>
    </row>
    <row r="41" spans="1:7" ht="15" customHeight="1">
      <c r="A41" s="268">
        <v>27</v>
      </c>
      <c r="B41" s="11" t="s">
        <v>79</v>
      </c>
      <c r="C41" s="589">
        <v>0.29363022332181665</v>
      </c>
      <c r="D41" s="587">
        <v>0.28190544393189232</v>
      </c>
      <c r="E41" s="587">
        <v>0.27011406939338301</v>
      </c>
      <c r="F41" s="587">
        <v>0.25086117073876729</v>
      </c>
      <c r="G41" s="588">
        <v>0.26135797701365837</v>
      </c>
    </row>
    <row r="42" spans="1:7" ht="15" customHeight="1">
      <c r="A42" s="268">
        <v>28</v>
      </c>
      <c r="B42" s="11" t="s">
        <v>78</v>
      </c>
      <c r="C42" s="589">
        <v>0.11679645504787096</v>
      </c>
      <c r="D42" s="587">
        <v>0.11421871307533431</v>
      </c>
      <c r="E42" s="587">
        <v>0.12767708937365424</v>
      </c>
      <c r="F42" s="587">
        <v>0.12510128629511069</v>
      </c>
      <c r="G42" s="588">
        <v>0.12502131745250195</v>
      </c>
    </row>
    <row r="43" spans="1:7" ht="15" customHeight="1">
      <c r="A43" s="269"/>
      <c r="B43" s="114" t="s">
        <v>259</v>
      </c>
      <c r="C43" s="266"/>
      <c r="D43" s="266"/>
      <c r="E43" s="266"/>
      <c r="F43" s="266"/>
      <c r="G43" s="267"/>
    </row>
    <row r="44" spans="1:7">
      <c r="A44" s="268">
        <v>29</v>
      </c>
      <c r="B44" s="11" t="s">
        <v>242</v>
      </c>
      <c r="C44" s="15">
        <v>424668688.78186804</v>
      </c>
      <c r="D44" s="16">
        <v>345796040.55633342</v>
      </c>
      <c r="E44" s="16">
        <v>384232329.62311006</v>
      </c>
      <c r="F44" s="16">
        <v>380478455.02336955</v>
      </c>
      <c r="G44" s="17">
        <v>322932808.75098884</v>
      </c>
    </row>
    <row r="45" spans="1:7" ht="15" customHeight="1">
      <c r="A45" s="268">
        <v>30</v>
      </c>
      <c r="B45" s="11" t="s">
        <v>254</v>
      </c>
      <c r="C45" s="15">
        <v>320037655.96559638</v>
      </c>
      <c r="D45" s="16">
        <v>274703477.41600484</v>
      </c>
      <c r="E45" s="16">
        <v>245408656.99990946</v>
      </c>
      <c r="F45" s="16">
        <v>243065483.30475593</v>
      </c>
      <c r="G45" s="17">
        <v>251877305.676018</v>
      </c>
    </row>
    <row r="46" spans="1:7" ht="15" customHeight="1">
      <c r="A46" s="303">
        <v>31</v>
      </c>
      <c r="B46" s="304" t="s">
        <v>243</v>
      </c>
      <c r="C46" s="590">
        <v>1.3269335056857163</v>
      </c>
      <c r="D46" s="591">
        <v>1.2587974633923822</v>
      </c>
      <c r="E46" s="591">
        <v>1.5656836817425386</v>
      </c>
      <c r="F46" s="591">
        <v>1.5653331351301945</v>
      </c>
      <c r="G46" s="592">
        <v>1.2821036332918669</v>
      </c>
    </row>
    <row r="47" spans="1:7" ht="15" customHeight="1">
      <c r="A47" s="303"/>
      <c r="B47" s="114" t="s">
        <v>338</v>
      </c>
      <c r="C47" s="305"/>
      <c r="D47" s="306"/>
      <c r="E47" s="306"/>
      <c r="F47" s="306"/>
      <c r="G47" s="307"/>
    </row>
    <row r="48" spans="1:7" ht="15" customHeight="1">
      <c r="A48" s="303">
        <v>32</v>
      </c>
      <c r="B48" s="304" t="s">
        <v>345</v>
      </c>
      <c r="C48" s="305">
        <v>2559665228.5770578</v>
      </c>
      <c r="D48" s="306">
        <v>2311402468.1668806</v>
      </c>
      <c r="E48" s="306">
        <v>2314663069.089488</v>
      </c>
      <c r="F48" s="306">
        <v>2219767047.0275736</v>
      </c>
      <c r="G48" s="307">
        <v>1994145286.5617981</v>
      </c>
    </row>
    <row r="49" spans="1:7" ht="15" customHeight="1">
      <c r="A49" s="303">
        <v>33</v>
      </c>
      <c r="B49" s="304" t="s">
        <v>360</v>
      </c>
      <c r="C49" s="305">
        <v>2071267650.1338389</v>
      </c>
      <c r="D49" s="306">
        <v>1953393297.8604517</v>
      </c>
      <c r="E49" s="306">
        <v>1877689961.4497709</v>
      </c>
      <c r="F49" s="306">
        <v>1754681063.8609755</v>
      </c>
      <c r="G49" s="307">
        <v>1662737766.77197</v>
      </c>
    </row>
    <row r="50" spans="1:7" ht="14.4" thickBot="1">
      <c r="A50" s="270">
        <v>34</v>
      </c>
      <c r="B50" s="116" t="s">
        <v>378</v>
      </c>
      <c r="C50" s="593">
        <v>1.2357964594347139</v>
      </c>
      <c r="D50" s="594">
        <v>1.1832755189129376</v>
      </c>
      <c r="E50" s="594">
        <v>1.2327454159680078</v>
      </c>
      <c r="F50" s="594">
        <v>1.2650544265538659</v>
      </c>
      <c r="G50" s="595">
        <v>1.1993143634385415</v>
      </c>
    </row>
    <row r="51" spans="1:7">
      <c r="A51" s="18"/>
    </row>
    <row r="52" spans="1:7">
      <c r="B52" s="174"/>
    </row>
    <row r="53" spans="1:7" ht="52.8">
      <c r="B53" s="174" t="s">
        <v>258</v>
      </c>
    </row>
    <row r="55" spans="1:7" ht="14.4">
      <c r="B55" s="173"/>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15" zoomScale="80" zoomScaleNormal="80" workbookViewId="0">
      <selection activeCell="C32" sqref="C32"/>
    </sheetView>
  </sheetViews>
  <sheetFormatPr defaultColWidth="8.77734375" defaultRowHeight="13.8"/>
  <cols>
    <col min="1" max="1" width="11.44140625" style="494" customWidth="1"/>
    <col min="2" max="2" width="76.77734375" style="576" customWidth="1"/>
    <col min="3" max="3" width="22.77734375" style="494" customWidth="1"/>
    <col min="4" max="16384" width="8.77734375" style="494"/>
  </cols>
  <sheetData>
    <row r="1" spans="1:3">
      <c r="A1" s="132" t="s">
        <v>31</v>
      </c>
      <c r="B1" s="493" t="str">
        <f>'Info '!C2</f>
        <v>JSC "CREDOBANK"</v>
      </c>
    </row>
    <row r="2" spans="1:3">
      <c r="A2" s="132" t="s">
        <v>32</v>
      </c>
      <c r="B2" s="495">
        <f>'1. key ratios '!B2</f>
        <v>45838</v>
      </c>
    </row>
    <row r="3" spans="1:3">
      <c r="B3" s="494"/>
    </row>
    <row r="4" spans="1:3">
      <c r="A4" s="494" t="s">
        <v>296</v>
      </c>
      <c r="B4" s="494" t="s">
        <v>297</v>
      </c>
    </row>
    <row r="5" spans="1:3">
      <c r="A5" s="558" t="s">
        <v>298</v>
      </c>
      <c r="B5" s="559"/>
      <c r="C5" s="560"/>
    </row>
    <row r="6" spans="1:3" ht="27.6">
      <c r="A6" s="564">
        <v>1</v>
      </c>
      <c r="B6" s="565" t="s">
        <v>751</v>
      </c>
      <c r="C6" s="566">
        <f>'2. SOFP'!E69</f>
        <v>3424807206.8141646</v>
      </c>
    </row>
    <row r="7" spans="1:3">
      <c r="A7" s="564">
        <v>2</v>
      </c>
      <c r="B7" s="565" t="s">
        <v>299</v>
      </c>
      <c r="C7" s="566">
        <f>'9.Capital'!C15</f>
        <v>33263478</v>
      </c>
    </row>
    <row r="8" spans="1:3" ht="27.6">
      <c r="A8" s="567">
        <v>3</v>
      </c>
      <c r="B8" s="568" t="s">
        <v>300</v>
      </c>
      <c r="C8" s="566">
        <f>C6-C7</f>
        <v>3391543728.8141646</v>
      </c>
    </row>
    <row r="9" spans="1:3">
      <c r="A9" s="558" t="s">
        <v>301</v>
      </c>
      <c r="B9" s="559"/>
      <c r="C9" s="561"/>
    </row>
    <row r="10" spans="1:3" ht="25.8" customHeight="1">
      <c r="A10" s="564">
        <v>4</v>
      </c>
      <c r="B10" s="569" t="s">
        <v>749</v>
      </c>
      <c r="C10" s="566">
        <f>'15. CCR '!F34</f>
        <v>77292.573423302732</v>
      </c>
    </row>
    <row r="11" spans="1:3" ht="25.8" customHeight="1">
      <c r="A11" s="564">
        <v>5</v>
      </c>
      <c r="B11" s="570" t="s">
        <v>750</v>
      </c>
      <c r="C11" s="566">
        <f>'15. CCR '!G34</f>
        <v>6290854.6538491081</v>
      </c>
    </row>
    <row r="12" spans="1:3" ht="25.8" customHeight="1">
      <c r="A12" s="564">
        <v>6</v>
      </c>
      <c r="B12" s="570" t="s">
        <v>743</v>
      </c>
      <c r="C12" s="571">
        <f>'15. CCR '!I34</f>
        <v>8915406.1181813739</v>
      </c>
    </row>
    <row r="13" spans="1:3" ht="25.8" customHeight="1">
      <c r="A13" s="572">
        <v>7</v>
      </c>
      <c r="B13" s="569" t="s">
        <v>744</v>
      </c>
      <c r="C13" s="566">
        <f>'15. CCR '!E34</f>
        <v>0</v>
      </c>
    </row>
    <row r="14" spans="1:3" ht="25.8" customHeight="1">
      <c r="A14" s="567">
        <v>8</v>
      </c>
      <c r="B14" s="562" t="s">
        <v>302</v>
      </c>
      <c r="C14" s="573">
        <f>C12</f>
        <v>8915406.1181813739</v>
      </c>
    </row>
    <row r="15" spans="1:3">
      <c r="A15" s="558" t="s">
        <v>303</v>
      </c>
      <c r="B15" s="559"/>
      <c r="C15" s="561"/>
    </row>
    <row r="16" spans="1:3" ht="27.6">
      <c r="A16" s="572">
        <v>9</v>
      </c>
      <c r="B16" s="569" t="s">
        <v>304</v>
      </c>
      <c r="C16" s="566"/>
    </row>
    <row r="17" spans="1:3">
      <c r="A17" s="572">
        <v>10</v>
      </c>
      <c r="B17" s="569" t="s">
        <v>305</v>
      </c>
      <c r="C17" s="566"/>
    </row>
    <row r="18" spans="1:3">
      <c r="A18" s="572">
        <v>11</v>
      </c>
      <c r="B18" s="569" t="s">
        <v>306</v>
      </c>
      <c r="C18" s="566"/>
    </row>
    <row r="19" spans="1:3" ht="27.6">
      <c r="A19" s="572">
        <v>12</v>
      </c>
      <c r="B19" s="569" t="s">
        <v>307</v>
      </c>
      <c r="C19" s="566"/>
    </row>
    <row r="20" spans="1:3">
      <c r="A20" s="572">
        <v>14</v>
      </c>
      <c r="B20" s="569" t="s">
        <v>308</v>
      </c>
      <c r="C20" s="566"/>
    </row>
    <row r="21" spans="1:3">
      <c r="A21" s="572">
        <v>14</v>
      </c>
      <c r="B21" s="569" t="s">
        <v>309</v>
      </c>
      <c r="C21" s="566"/>
    </row>
    <row r="22" spans="1:3">
      <c r="A22" s="567">
        <v>15</v>
      </c>
      <c r="B22" s="562" t="s">
        <v>310</v>
      </c>
      <c r="C22" s="573">
        <f>SUM(C16:C21)</f>
        <v>0</v>
      </c>
    </row>
    <row r="23" spans="1:3">
      <c r="A23" s="558" t="s">
        <v>311</v>
      </c>
      <c r="B23" s="559"/>
      <c r="C23" s="561"/>
    </row>
    <row r="24" spans="1:3">
      <c r="A24" s="577">
        <v>16</v>
      </c>
      <c r="B24" s="570" t="s">
        <v>312</v>
      </c>
      <c r="C24" s="566">
        <v>383506255</v>
      </c>
    </row>
    <row r="25" spans="1:3">
      <c r="A25" s="577">
        <v>17</v>
      </c>
      <c r="B25" s="570" t="s">
        <v>313</v>
      </c>
      <c r="C25" s="661">
        <v>-283404319</v>
      </c>
    </row>
    <row r="26" spans="1:3">
      <c r="A26" s="578">
        <v>18</v>
      </c>
      <c r="B26" s="562" t="s">
        <v>314</v>
      </c>
      <c r="C26" s="573">
        <f>C24+C25</f>
        <v>100101936</v>
      </c>
    </row>
    <row r="27" spans="1:3">
      <c r="A27" s="558" t="s">
        <v>315</v>
      </c>
      <c r="B27" s="559"/>
      <c r="C27" s="561"/>
    </row>
    <row r="28" spans="1:3" ht="27.6">
      <c r="A28" s="577">
        <v>19</v>
      </c>
      <c r="B28" s="569" t="s">
        <v>316</v>
      </c>
      <c r="C28" s="574"/>
    </row>
    <row r="29" spans="1:3">
      <c r="A29" s="577">
        <v>20</v>
      </c>
      <c r="B29" s="570" t="s">
        <v>317</v>
      </c>
      <c r="C29" s="574"/>
    </row>
    <row r="30" spans="1:3">
      <c r="A30" s="558" t="s">
        <v>748</v>
      </c>
      <c r="B30" s="559"/>
      <c r="C30" s="561"/>
    </row>
    <row r="31" spans="1:3">
      <c r="A31" s="578">
        <v>21</v>
      </c>
      <c r="B31" s="563" t="s">
        <v>318</v>
      </c>
      <c r="C31" s="573">
        <f>'1. key ratios '!C9</f>
        <v>401594547.78696764</v>
      </c>
    </row>
    <row r="32" spans="1:3">
      <c r="A32" s="578">
        <v>22</v>
      </c>
      <c r="B32" s="562" t="s">
        <v>319</v>
      </c>
      <c r="C32" s="573">
        <f>C8+C14+C22+C26</f>
        <v>3500561070.9323459</v>
      </c>
    </row>
    <row r="33" spans="1:3">
      <c r="A33" s="558" t="s">
        <v>320</v>
      </c>
      <c r="B33" s="559"/>
      <c r="C33" s="561"/>
    </row>
    <row r="34" spans="1:3">
      <c r="A34" s="567">
        <v>23</v>
      </c>
      <c r="B34" s="562" t="s">
        <v>320</v>
      </c>
      <c r="C34" s="662">
        <f>C31/C32</f>
        <v>0.11472290859933668</v>
      </c>
    </row>
    <row r="35" spans="1:3">
      <c r="A35" s="558" t="s">
        <v>321</v>
      </c>
      <c r="B35" s="559"/>
      <c r="C35" s="561"/>
    </row>
    <row r="36" spans="1:3">
      <c r="A36" s="575" t="s">
        <v>322</v>
      </c>
      <c r="B36" s="569" t="s">
        <v>323</v>
      </c>
      <c r="C36" s="574"/>
    </row>
    <row r="37" spans="1:3" ht="27.6">
      <c r="A37" s="575" t="s">
        <v>324</v>
      </c>
      <c r="B37" s="565" t="s">
        <v>325</v>
      </c>
      <c r="C37" s="574"/>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E6" sqref="E6"/>
    </sheetView>
  </sheetViews>
  <sheetFormatPr defaultColWidth="8.88671875" defaultRowHeight="14.4"/>
  <cols>
    <col min="1" max="1" width="11.44140625" customWidth="1"/>
    <col min="2" max="2" width="76.77734375" style="227" customWidth="1"/>
    <col min="3" max="6" width="25.33203125" customWidth="1"/>
  </cols>
  <sheetData>
    <row r="1" spans="1:6">
      <c r="A1" s="2" t="s">
        <v>31</v>
      </c>
      <c r="B1" s="3" t="str">
        <f>'Info '!C2</f>
        <v>JSC "CREDOBANK"</v>
      </c>
    </row>
    <row r="2" spans="1:6">
      <c r="A2" s="2" t="s">
        <v>32</v>
      </c>
      <c r="B2" s="265">
        <f>'1. key ratios '!B2</f>
        <v>45838</v>
      </c>
    </row>
    <row r="3" spans="1:6">
      <c r="A3" s="4"/>
      <c r="B3"/>
    </row>
    <row r="4" spans="1:6">
      <c r="A4" s="554" t="s">
        <v>738</v>
      </c>
    </row>
    <row r="5" spans="1:6" ht="43.2">
      <c r="B5" s="549"/>
      <c r="C5" s="555" t="s">
        <v>739</v>
      </c>
      <c r="D5" s="555" t="s">
        <v>741</v>
      </c>
      <c r="E5" s="555" t="s">
        <v>740</v>
      </c>
      <c r="F5" s="555" t="s">
        <v>742</v>
      </c>
    </row>
    <row r="6" spans="1:6">
      <c r="B6" s="556" t="s">
        <v>716</v>
      </c>
      <c r="C6" s="543">
        <f>IF(C7&gt;0,C7,IF(C8&gt;0,C8,IF(C9&gt;0,C9)))</f>
        <v>678868.62751820928</v>
      </c>
      <c r="D6" s="543">
        <f>IF(D7&gt;0,D7,IF(D8&gt;0,D8,IF(D9&gt;0,D9,0)))</f>
        <v>0</v>
      </c>
      <c r="E6" s="543">
        <f>IF(E7&gt;0,E7,IF(E8&gt;0,E8,IF(E9&gt;0,E9,0)))</f>
        <v>0</v>
      </c>
      <c r="F6" s="543">
        <f>IF(F7&gt;0,F7,IF(F8&gt;0,F8,IF(F9&gt;0,F9)))</f>
        <v>678868.62751820928</v>
      </c>
    </row>
    <row r="7" spans="1:6">
      <c r="B7" s="544" t="s">
        <v>729</v>
      </c>
      <c r="C7" s="557">
        <v>678868.62751820928</v>
      </c>
      <c r="D7" s="557">
        <v>0</v>
      </c>
      <c r="E7" s="557">
        <v>0</v>
      </c>
      <c r="F7" s="557">
        <v>678868.62751820928</v>
      </c>
    </row>
    <row r="8" spans="1:6">
      <c r="B8" s="544" t="s">
        <v>730</v>
      </c>
      <c r="C8" s="557">
        <v>2037359.8320587394</v>
      </c>
      <c r="D8" s="557">
        <v>0</v>
      </c>
      <c r="E8" s="557">
        <v>0</v>
      </c>
      <c r="F8" s="557">
        <v>2037359.8320587394</v>
      </c>
    </row>
    <row r="9" spans="1:6">
      <c r="B9" s="544" t="s">
        <v>737</v>
      </c>
      <c r="C9" s="557">
        <v>2359095.9962514187</v>
      </c>
      <c r="D9" s="557">
        <v>0</v>
      </c>
      <c r="E9" s="557">
        <v>0</v>
      </c>
      <c r="F9" s="557">
        <v>2359095.9962514187</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21" activePane="bottomRight" state="frozen"/>
      <selection activeCell="B19" sqref="B19"/>
      <selection pane="topRight" activeCell="B19" sqref="B19"/>
      <selection pane="bottomLeft" activeCell="B19" sqref="B19"/>
      <selection pane="bottomRight" activeCell="H38" sqref="H38"/>
    </sheetView>
  </sheetViews>
  <sheetFormatPr defaultRowHeight="14.4"/>
  <cols>
    <col min="1" max="1" width="8.77734375" style="134"/>
    <col min="2" max="2" width="82.6640625" style="141" customWidth="1"/>
    <col min="3" max="7" width="17.5546875" style="134" customWidth="1"/>
  </cols>
  <sheetData>
    <row r="1" spans="1:7">
      <c r="A1" s="134" t="s">
        <v>31</v>
      </c>
      <c r="B1" s="3" t="str">
        <f>'Info '!C2</f>
        <v>JSC "CREDOBANK"</v>
      </c>
    </row>
    <row r="2" spans="1:7">
      <c r="A2" s="134" t="s">
        <v>32</v>
      </c>
      <c r="B2" s="265">
        <f>'1. key ratios '!B2</f>
        <v>45838</v>
      </c>
    </row>
    <row r="4" spans="1:7" ht="15" thickBot="1">
      <c r="A4" s="134" t="s">
        <v>377</v>
      </c>
      <c r="B4" s="271" t="s">
        <v>338</v>
      </c>
    </row>
    <row r="5" spans="1:7">
      <c r="A5" s="272"/>
      <c r="B5" s="273"/>
      <c r="C5" s="814" t="s">
        <v>339</v>
      </c>
      <c r="D5" s="814"/>
      <c r="E5" s="814"/>
      <c r="F5" s="814"/>
      <c r="G5" s="815" t="s">
        <v>340</v>
      </c>
    </row>
    <row r="6" spans="1:7">
      <c r="A6" s="274"/>
      <c r="B6" s="275"/>
      <c r="C6" s="276" t="s">
        <v>341</v>
      </c>
      <c r="D6" s="276" t="s">
        <v>342</v>
      </c>
      <c r="E6" s="276" t="s">
        <v>343</v>
      </c>
      <c r="F6" s="276" t="s">
        <v>344</v>
      </c>
      <c r="G6" s="816"/>
    </row>
    <row r="7" spans="1:7">
      <c r="A7" s="277"/>
      <c r="B7" s="278" t="s">
        <v>345</v>
      </c>
      <c r="C7" s="279"/>
      <c r="D7" s="279"/>
      <c r="E7" s="279"/>
      <c r="F7" s="279"/>
      <c r="G7" s="280"/>
    </row>
    <row r="8" spans="1:7">
      <c r="A8" s="281">
        <v>1</v>
      </c>
      <c r="B8" s="282" t="s">
        <v>346</v>
      </c>
      <c r="C8" s="283">
        <f>SUM(C9:C10)</f>
        <v>401594546.00999999</v>
      </c>
      <c r="D8" s="283">
        <f>SUM(D9:D10)</f>
        <v>0</v>
      </c>
      <c r="E8" s="283">
        <f>SUM(E9:E10)</f>
        <v>0</v>
      </c>
      <c r="F8" s="283">
        <f>SUM(F9:F10)</f>
        <v>1195513799.49</v>
      </c>
      <c r="G8" s="719">
        <f>SUM(G9:G10)</f>
        <v>1597108345.5</v>
      </c>
    </row>
    <row r="9" spans="1:7">
      <c r="A9" s="281">
        <v>2</v>
      </c>
      <c r="B9" s="285" t="s">
        <v>347</v>
      </c>
      <c r="C9" s="283">
        <v>401594546.00999999</v>
      </c>
      <c r="D9" s="283">
        <v>0</v>
      </c>
      <c r="E9" s="283">
        <v>0</v>
      </c>
      <c r="F9" s="283">
        <v>96200328.719999999</v>
      </c>
      <c r="G9" s="719">
        <f>F9+C9</f>
        <v>497794874.73000002</v>
      </c>
    </row>
    <row r="10" spans="1:7" ht="27.6">
      <c r="A10" s="281">
        <v>3</v>
      </c>
      <c r="B10" s="285" t="s">
        <v>348</v>
      </c>
      <c r="C10" s="286"/>
      <c r="D10" s="286"/>
      <c r="E10" s="286"/>
      <c r="F10" s="283">
        <v>1099313470.77</v>
      </c>
      <c r="G10" s="719">
        <f>F10</f>
        <v>1099313470.77</v>
      </c>
    </row>
    <row r="11" spans="1:7" ht="14.55" customHeight="1">
      <c r="A11" s="281">
        <v>4</v>
      </c>
      <c r="B11" s="282" t="s">
        <v>349</v>
      </c>
      <c r="C11" s="696">
        <f t="shared" ref="C11:F11" si="0">SUM(C12:C13)</f>
        <v>315817181.01999998</v>
      </c>
      <c r="D11" s="696">
        <f t="shared" si="0"/>
        <v>394844942.35000002</v>
      </c>
      <c r="E11" s="696">
        <f t="shared" si="0"/>
        <v>206799084.37727201</v>
      </c>
      <c r="F11" s="696">
        <f t="shared" si="0"/>
        <v>11987123.789999999</v>
      </c>
      <c r="G11" s="719">
        <f>SUM(G12:G13)</f>
        <v>693091756.40493619</v>
      </c>
    </row>
    <row r="12" spans="1:7">
      <c r="A12" s="281">
        <v>5</v>
      </c>
      <c r="B12" s="285" t="s">
        <v>350</v>
      </c>
      <c r="C12" s="283">
        <v>91079165.829999998</v>
      </c>
      <c r="D12" s="287">
        <v>246616199.13999999</v>
      </c>
      <c r="E12" s="283">
        <v>163320493.847334</v>
      </c>
      <c r="F12" s="283">
        <v>6467675.9299999997</v>
      </c>
      <c r="G12" s="719">
        <f>SUM(C12:F12)*0.95</f>
        <v>482109358.00996721</v>
      </c>
    </row>
    <row r="13" spans="1:7">
      <c r="A13" s="281">
        <v>6</v>
      </c>
      <c r="B13" s="285" t="s">
        <v>351</v>
      </c>
      <c r="C13" s="283">
        <v>224738015.19</v>
      </c>
      <c r="D13" s="287">
        <v>148228743.21000001</v>
      </c>
      <c r="E13" s="283">
        <v>43478590.529937997</v>
      </c>
      <c r="F13" s="283">
        <v>5519447.8600000003</v>
      </c>
      <c r="G13" s="719">
        <f>SUM(C13:F13)*0.5</f>
        <v>210982398.39496899</v>
      </c>
    </row>
    <row r="14" spans="1:7">
      <c r="A14" s="281">
        <v>7</v>
      </c>
      <c r="B14" s="282" t="s">
        <v>352</v>
      </c>
      <c r="C14" s="696">
        <f t="shared" ref="C14:F14" si="1">SUM(C15:C16)</f>
        <v>84188071.120000005</v>
      </c>
      <c r="D14" s="696">
        <f t="shared" si="1"/>
        <v>358137903.14999998</v>
      </c>
      <c r="E14" s="696">
        <f t="shared" si="1"/>
        <v>321242378.898471</v>
      </c>
      <c r="F14" s="696">
        <f t="shared" si="1"/>
        <v>807985.31</v>
      </c>
      <c r="G14" s="719">
        <f>SUM(G15:G16)</f>
        <v>269465127.0406785</v>
      </c>
    </row>
    <row r="15" spans="1:7" ht="41.4">
      <c r="A15" s="281">
        <v>8</v>
      </c>
      <c r="B15" s="285" t="s">
        <v>353</v>
      </c>
      <c r="C15" s="720">
        <v>84188071.120000005</v>
      </c>
      <c r="D15" s="721">
        <v>132691818.75</v>
      </c>
      <c r="E15" s="722">
        <v>162698760.861357</v>
      </c>
      <c r="F15" s="720">
        <v>807985.31</v>
      </c>
      <c r="G15" s="719">
        <f>SUM(C15:F15)*0.5</f>
        <v>190193318.02067849</v>
      </c>
    </row>
    <row r="16" spans="1:7" ht="27.6">
      <c r="A16" s="281">
        <v>9</v>
      </c>
      <c r="B16" s="285" t="s">
        <v>354</v>
      </c>
      <c r="C16" s="722"/>
      <c r="D16" s="723">
        <v>225446084.40000001</v>
      </c>
      <c r="E16" s="722">
        <v>158543618.03711399</v>
      </c>
      <c r="F16" s="722"/>
      <c r="G16" s="719">
        <v>79271809.019999996</v>
      </c>
    </row>
    <row r="17" spans="1:7">
      <c r="A17" s="281">
        <v>10</v>
      </c>
      <c r="B17" s="282" t="s">
        <v>355</v>
      </c>
      <c r="C17" s="283"/>
      <c r="D17" s="287"/>
      <c r="E17" s="283"/>
      <c r="F17" s="283"/>
      <c r="G17" s="284"/>
    </row>
    <row r="18" spans="1:7">
      <c r="A18" s="281">
        <v>11</v>
      </c>
      <c r="B18" s="282" t="s">
        <v>356</v>
      </c>
      <c r="C18" s="283">
        <f>SUM(C19:C20)</f>
        <v>33293661.422991112</v>
      </c>
      <c r="D18" s="287">
        <f t="shared" ref="D18:G18" si="2">SUM(D19:D20)</f>
        <v>4797994.6589969993</v>
      </c>
      <c r="E18" s="283">
        <f t="shared" si="2"/>
        <v>2812632.359660103</v>
      </c>
      <c r="F18" s="283">
        <f t="shared" si="2"/>
        <v>59706426.112149507</v>
      </c>
      <c r="G18" s="284">
        <f t="shared" si="2"/>
        <v>0</v>
      </c>
    </row>
    <row r="19" spans="1:7">
      <c r="A19" s="281">
        <v>12</v>
      </c>
      <c r="B19" s="285" t="s">
        <v>357</v>
      </c>
      <c r="C19" s="286"/>
      <c r="D19" s="287">
        <v>3962499.94</v>
      </c>
      <c r="E19" s="283"/>
      <c r="F19" s="283"/>
      <c r="G19" s="284"/>
    </row>
    <row r="20" spans="1:7">
      <c r="A20" s="281">
        <v>13</v>
      </c>
      <c r="B20" s="285" t="s">
        <v>358</v>
      </c>
      <c r="C20" s="283">
        <v>33293661.422991112</v>
      </c>
      <c r="D20" s="283">
        <v>835494.71899699932</v>
      </c>
      <c r="E20" s="283">
        <v>2812632.359660103</v>
      </c>
      <c r="F20" s="283">
        <v>59706426.112149507</v>
      </c>
      <c r="G20" s="284"/>
    </row>
    <row r="21" spans="1:7">
      <c r="A21" s="288">
        <v>14</v>
      </c>
      <c r="B21" s="289" t="s">
        <v>359</v>
      </c>
      <c r="C21" s="286"/>
      <c r="D21" s="286"/>
      <c r="E21" s="286"/>
      <c r="F21" s="286"/>
      <c r="G21" s="290">
        <f>SUM(G8,G11,G14,G17,G18)</f>
        <v>2559665228.9456148</v>
      </c>
    </row>
    <row r="22" spans="1:7">
      <c r="A22" s="291"/>
      <c r="B22" s="292" t="s">
        <v>360</v>
      </c>
      <c r="C22" s="293"/>
      <c r="D22" s="294"/>
      <c r="E22" s="293"/>
      <c r="F22" s="293"/>
      <c r="G22" s="295"/>
    </row>
    <row r="23" spans="1:7">
      <c r="A23" s="281">
        <v>15</v>
      </c>
      <c r="B23" s="282" t="s">
        <v>361</v>
      </c>
      <c r="C23" s="724">
        <v>460969694.13843399</v>
      </c>
      <c r="D23" s="725">
        <v>69003365.476888895</v>
      </c>
      <c r="E23" s="724">
        <v>15312913.6161092</v>
      </c>
      <c r="F23" s="724">
        <v>33678820.907001898</v>
      </c>
      <c r="G23" s="726">
        <v>8853057.5629549194</v>
      </c>
    </row>
    <row r="24" spans="1:7">
      <c r="A24" s="281">
        <v>16</v>
      </c>
      <c r="B24" s="282" t="s">
        <v>362</v>
      </c>
      <c r="C24" s="727">
        <f>SUM(C25:C27,C29,C31)</f>
        <v>179191.08361145901</v>
      </c>
      <c r="D24" s="706">
        <f t="shared" ref="D24:G24" si="3">SUM(D25:D27,D29,D31)</f>
        <v>565308963.42461181</v>
      </c>
      <c r="E24" s="727">
        <f t="shared" si="3"/>
        <v>391856506.49031848</v>
      </c>
      <c r="F24" s="727">
        <f t="shared" si="3"/>
        <v>1641626436.56849</v>
      </c>
      <c r="G24" s="726">
        <f t="shared" si="3"/>
        <v>1849458039.1622334</v>
      </c>
    </row>
    <row r="25" spans="1:7">
      <c r="A25" s="281">
        <v>17</v>
      </c>
      <c r="B25" s="285" t="s">
        <v>363</v>
      </c>
      <c r="C25" s="283"/>
      <c r="D25" s="287"/>
      <c r="E25" s="283"/>
      <c r="F25" s="283"/>
      <c r="G25" s="284"/>
    </row>
    <row r="26" spans="1:7" ht="27.6">
      <c r="A26" s="281">
        <v>18</v>
      </c>
      <c r="B26" s="285" t="s">
        <v>364</v>
      </c>
      <c r="C26" s="722">
        <v>179191.08361145901</v>
      </c>
      <c r="D26" s="704">
        <v>0</v>
      </c>
      <c r="E26" s="722">
        <v>0</v>
      </c>
      <c r="F26" s="722">
        <v>0</v>
      </c>
      <c r="G26" s="719">
        <f>C26*15%</f>
        <v>26878.662541718852</v>
      </c>
    </row>
    <row r="27" spans="1:7">
      <c r="A27" s="281">
        <v>19</v>
      </c>
      <c r="B27" s="285" t="s">
        <v>365</v>
      </c>
      <c r="C27" s="722">
        <v>0</v>
      </c>
      <c r="D27" s="704">
        <v>555594253.12476206</v>
      </c>
      <c r="E27" s="722">
        <v>382340810.54918599</v>
      </c>
      <c r="F27" s="722">
        <v>1518008908.8635199</v>
      </c>
      <c r="G27" s="719">
        <v>1759275104.37097</v>
      </c>
    </row>
    <row r="28" spans="1:7">
      <c r="A28" s="281">
        <v>20</v>
      </c>
      <c r="B28" s="296" t="s">
        <v>366</v>
      </c>
      <c r="C28" s="722"/>
      <c r="D28" s="704"/>
      <c r="E28" s="722"/>
      <c r="F28" s="722"/>
      <c r="G28" s="719"/>
    </row>
    <row r="29" spans="1:7">
      <c r="A29" s="281">
        <v>21</v>
      </c>
      <c r="B29" s="285" t="s">
        <v>367</v>
      </c>
      <c r="C29" s="722"/>
      <c r="D29" s="704">
        <v>9714710.29984973</v>
      </c>
      <c r="E29" s="722">
        <v>9515695.9411324803</v>
      </c>
      <c r="F29" s="722">
        <v>122670227.70497</v>
      </c>
      <c r="G29" s="719">
        <v>89350851.128721699</v>
      </c>
    </row>
    <row r="30" spans="1:7">
      <c r="A30" s="281">
        <v>22</v>
      </c>
      <c r="B30" s="296" t="s">
        <v>366</v>
      </c>
      <c r="C30" s="722"/>
      <c r="D30" s="704">
        <v>9714710.29984973</v>
      </c>
      <c r="E30" s="722">
        <v>9515695.9411324803</v>
      </c>
      <c r="F30" s="722">
        <v>122670227.70497</v>
      </c>
      <c r="G30" s="719">
        <v>89350851.128721699</v>
      </c>
    </row>
    <row r="31" spans="1:7">
      <c r="A31" s="281">
        <v>23</v>
      </c>
      <c r="B31" s="285" t="s">
        <v>368</v>
      </c>
      <c r="C31" s="722"/>
      <c r="D31" s="704"/>
      <c r="E31" s="722"/>
      <c r="F31" s="722">
        <v>947300</v>
      </c>
      <c r="G31" s="719">
        <v>805205</v>
      </c>
    </row>
    <row r="32" spans="1:7">
      <c r="A32" s="281">
        <v>24</v>
      </c>
      <c r="B32" s="282" t="s">
        <v>369</v>
      </c>
      <c r="C32" s="283"/>
      <c r="D32" s="287"/>
      <c r="E32" s="283"/>
      <c r="F32" s="283"/>
      <c r="G32" s="284"/>
    </row>
    <row r="33" spans="1:7">
      <c r="A33" s="281">
        <v>25</v>
      </c>
      <c r="B33" s="282" t="s">
        <v>370</v>
      </c>
      <c r="C33" s="283">
        <f>SUM(C34:C35)</f>
        <v>53619535.339999974</v>
      </c>
      <c r="D33" s="283">
        <f>SUM(D34:D35)</f>
        <v>66727403.566453882</v>
      </c>
      <c r="E33" s="283">
        <f>SUM(E34:E35)</f>
        <v>22781574.31357228</v>
      </c>
      <c r="F33" s="283">
        <f>SUM(F34:F35)</f>
        <v>70479324.434507936</v>
      </c>
      <c r="G33" s="284">
        <f>SUM(G34:G35)</f>
        <v>193896144.58515066</v>
      </c>
    </row>
    <row r="34" spans="1:7">
      <c r="A34" s="281">
        <v>26</v>
      </c>
      <c r="B34" s="285" t="s">
        <v>371</v>
      </c>
      <c r="C34" s="286"/>
      <c r="D34" s="287">
        <v>2958401.69</v>
      </c>
      <c r="E34" s="283"/>
      <c r="F34" s="283"/>
      <c r="G34" s="719">
        <v>2958401.69</v>
      </c>
    </row>
    <row r="35" spans="1:7">
      <c r="A35" s="281">
        <v>27</v>
      </c>
      <c r="B35" s="285" t="s">
        <v>372</v>
      </c>
      <c r="C35" s="722">
        <v>53619535.339999974</v>
      </c>
      <c r="D35" s="704">
        <v>63769001.876453884</v>
      </c>
      <c r="E35" s="722">
        <v>22781574.31357228</v>
      </c>
      <c r="F35" s="722">
        <v>70479324.434507936</v>
      </c>
      <c r="G35" s="719">
        <v>190937742.89515066</v>
      </c>
    </row>
    <row r="36" spans="1:7">
      <c r="A36" s="281">
        <v>28</v>
      </c>
      <c r="B36" s="282" t="s">
        <v>373</v>
      </c>
      <c r="C36" s="722">
        <v>351069488.20999998</v>
      </c>
      <c r="D36" s="704">
        <v>0</v>
      </c>
      <c r="E36" s="722">
        <v>0</v>
      </c>
      <c r="F36" s="722">
        <v>30138688.260000002</v>
      </c>
      <c r="G36" s="726">
        <v>19060408.8235</v>
      </c>
    </row>
    <row r="37" spans="1:7">
      <c r="A37" s="288">
        <v>29</v>
      </c>
      <c r="B37" s="289" t="s">
        <v>374</v>
      </c>
      <c r="C37" s="286"/>
      <c r="D37" s="286"/>
      <c r="E37" s="286"/>
      <c r="F37" s="286"/>
      <c r="G37" s="290">
        <f>SUM(G23:G24,G32:G33,G36)</f>
        <v>2071267650.1338389</v>
      </c>
    </row>
    <row r="38" spans="1:7">
      <c r="A38" s="277"/>
      <c r="B38" s="297"/>
      <c r="C38" s="298"/>
      <c r="D38" s="298"/>
      <c r="E38" s="298"/>
      <c r="F38" s="298"/>
      <c r="G38" s="299"/>
    </row>
    <row r="39" spans="1:7" ht="15" thickBot="1">
      <c r="A39" s="300">
        <v>30</v>
      </c>
      <c r="B39" s="301" t="s">
        <v>375</v>
      </c>
      <c r="C39" s="195"/>
      <c r="D39" s="196"/>
      <c r="E39" s="196"/>
      <c r="F39" s="197"/>
      <c r="G39" s="302">
        <f>IFERROR(G21/G37,0)</f>
        <v>1.2357964596126518</v>
      </c>
    </row>
    <row r="42" spans="1:7" ht="41.4">
      <c r="B42" s="141" t="s">
        <v>376</v>
      </c>
    </row>
  </sheetData>
  <mergeCells count="2">
    <mergeCell ref="C5:F5"/>
    <mergeCell ref="G5:G6"/>
  </mergeCells>
  <pageMargins left="0.7" right="0.7" top="0.75" bottom="0.75" header="0.3" footer="0.3"/>
  <ignoredErrors>
    <ignoredError sqref="C33:G33" formulaRange="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C8" sqref="C8:G21"/>
    </sheetView>
  </sheetViews>
  <sheetFormatPr defaultColWidth="9.21875" defaultRowHeight="12"/>
  <cols>
    <col min="1" max="1" width="11.77734375" style="310" bestFit="1" customWidth="1"/>
    <col min="2" max="2" width="105.21875" style="310" bestFit="1" customWidth="1"/>
    <col min="3" max="8" width="20.77734375" style="310" customWidth="1"/>
    <col min="9" max="16384" width="9.21875" style="310"/>
  </cols>
  <sheetData>
    <row r="1" spans="1:8" ht="13.8">
      <c r="A1" s="308" t="s">
        <v>31</v>
      </c>
      <c r="B1" s="378" t="str">
        <f>'Info '!C2</f>
        <v>JSC "CREDOBANK"</v>
      </c>
    </row>
    <row r="2" spans="1:8">
      <c r="A2" s="308" t="s">
        <v>32</v>
      </c>
      <c r="B2" s="377">
        <f>'1. key ratios '!B2</f>
        <v>45838</v>
      </c>
    </row>
    <row r="3" spans="1:8">
      <c r="A3" s="309" t="s">
        <v>381</v>
      </c>
    </row>
    <row r="5" spans="1:8" ht="12" customHeight="1">
      <c r="A5" s="817" t="s">
        <v>382</v>
      </c>
      <c r="B5" s="818"/>
      <c r="C5" s="823" t="s">
        <v>383</v>
      </c>
      <c r="D5" s="824"/>
      <c r="E5" s="824"/>
      <c r="F5" s="824"/>
      <c r="G5" s="824"/>
      <c r="H5" s="825"/>
    </row>
    <row r="6" spans="1:8">
      <c r="A6" s="819"/>
      <c r="B6" s="820"/>
      <c r="C6" s="826"/>
      <c r="D6" s="827"/>
      <c r="E6" s="827"/>
      <c r="F6" s="827"/>
      <c r="G6" s="827"/>
      <c r="H6" s="828"/>
    </row>
    <row r="7" spans="1:8">
      <c r="A7" s="821"/>
      <c r="B7" s="822"/>
      <c r="C7" s="376" t="s">
        <v>384</v>
      </c>
      <c r="D7" s="376" t="s">
        <v>385</v>
      </c>
      <c r="E7" s="376" t="s">
        <v>386</v>
      </c>
      <c r="F7" s="376" t="s">
        <v>387</v>
      </c>
      <c r="G7" s="376" t="s">
        <v>388</v>
      </c>
      <c r="H7" s="376" t="s">
        <v>65</v>
      </c>
    </row>
    <row r="8" spans="1:8">
      <c r="A8" s="372">
        <v>1</v>
      </c>
      <c r="B8" s="371" t="s">
        <v>52</v>
      </c>
      <c r="C8" s="663">
        <v>266997865.86805001</v>
      </c>
      <c r="D8" s="663">
        <v>83566490.371601999</v>
      </c>
      <c r="E8" s="663">
        <v>19745284.2733333</v>
      </c>
      <c r="F8" s="663">
        <v>0</v>
      </c>
      <c r="G8" s="663">
        <v>0</v>
      </c>
      <c r="H8" s="663">
        <f t="shared" ref="H8:H20" si="0">SUM(C8:G8)</f>
        <v>370309640.51298535</v>
      </c>
    </row>
    <row r="9" spans="1:8">
      <c r="A9" s="372">
        <v>2</v>
      </c>
      <c r="B9" s="371" t="s">
        <v>53</v>
      </c>
      <c r="C9" s="663">
        <v>0</v>
      </c>
      <c r="D9" s="663">
        <v>0</v>
      </c>
      <c r="E9" s="663">
        <v>0</v>
      </c>
      <c r="F9" s="663">
        <v>0</v>
      </c>
      <c r="G9" s="663">
        <v>0</v>
      </c>
      <c r="H9" s="663">
        <f t="shared" si="0"/>
        <v>0</v>
      </c>
    </row>
    <row r="10" spans="1:8">
      <c r="A10" s="372">
        <v>3</v>
      </c>
      <c r="B10" s="371" t="s">
        <v>153</v>
      </c>
      <c r="C10" s="663">
        <v>0</v>
      </c>
      <c r="D10" s="663">
        <v>0</v>
      </c>
      <c r="E10" s="663">
        <v>0</v>
      </c>
      <c r="F10" s="663">
        <v>0</v>
      </c>
      <c r="G10" s="663">
        <v>0</v>
      </c>
      <c r="H10" s="663">
        <f t="shared" si="0"/>
        <v>0</v>
      </c>
    </row>
    <row r="11" spans="1:8">
      <c r="A11" s="372">
        <v>4</v>
      </c>
      <c r="B11" s="371" t="s">
        <v>54</v>
      </c>
      <c r="C11" s="663">
        <v>0</v>
      </c>
      <c r="D11" s="663">
        <v>0</v>
      </c>
      <c r="E11" s="663">
        <v>0</v>
      </c>
      <c r="F11" s="663">
        <v>0</v>
      </c>
      <c r="G11" s="663">
        <v>0</v>
      </c>
      <c r="H11" s="663">
        <f t="shared" si="0"/>
        <v>0</v>
      </c>
    </row>
    <row r="12" spans="1:8">
      <c r="A12" s="372">
        <v>5</v>
      </c>
      <c r="B12" s="371" t="s">
        <v>55</v>
      </c>
      <c r="C12" s="663">
        <v>0</v>
      </c>
      <c r="D12" s="663">
        <v>0</v>
      </c>
      <c r="E12" s="663">
        <v>0</v>
      </c>
      <c r="F12" s="663">
        <v>0</v>
      </c>
      <c r="G12" s="663">
        <v>0</v>
      </c>
      <c r="H12" s="663">
        <f t="shared" si="0"/>
        <v>0</v>
      </c>
    </row>
    <row r="13" spans="1:8">
      <c r="A13" s="372">
        <v>6</v>
      </c>
      <c r="B13" s="371" t="s">
        <v>56</v>
      </c>
      <c r="C13" s="663">
        <v>89245242.342709795</v>
      </c>
      <c r="D13" s="663">
        <v>0</v>
      </c>
      <c r="E13" s="663">
        <v>0</v>
      </c>
      <c r="F13" s="663">
        <v>0</v>
      </c>
      <c r="G13" s="663">
        <v>0</v>
      </c>
      <c r="H13" s="663">
        <f t="shared" si="0"/>
        <v>89245242.342709795</v>
      </c>
    </row>
    <row r="14" spans="1:8">
      <c r="A14" s="372">
        <v>7</v>
      </c>
      <c r="B14" s="371" t="s">
        <v>57</v>
      </c>
      <c r="C14" s="663">
        <v>0</v>
      </c>
      <c r="D14" s="663">
        <v>13469958.697103925</v>
      </c>
      <c r="E14" s="663">
        <v>20239362.471778169</v>
      </c>
      <c r="F14" s="663">
        <v>47772664.129613094</v>
      </c>
      <c r="G14" s="663"/>
      <c r="H14" s="663">
        <f t="shared" si="0"/>
        <v>81481985.298495188</v>
      </c>
    </row>
    <row r="15" spans="1:8">
      <c r="A15" s="372">
        <v>8</v>
      </c>
      <c r="B15" s="373" t="s">
        <v>58</v>
      </c>
      <c r="C15" s="663">
        <v>489513.5504801218</v>
      </c>
      <c r="D15" s="663">
        <v>401878198.64031023</v>
      </c>
      <c r="E15" s="663">
        <v>1509230270.6890984</v>
      </c>
      <c r="F15" s="663">
        <v>566975646.51176345</v>
      </c>
      <c r="G15" s="663"/>
      <c r="H15" s="663">
        <f t="shared" si="0"/>
        <v>2478573629.3916521</v>
      </c>
    </row>
    <row r="16" spans="1:8">
      <c r="A16" s="372">
        <v>9</v>
      </c>
      <c r="B16" s="371" t="s">
        <v>59</v>
      </c>
      <c r="C16" s="663">
        <v>26.444231947295659</v>
      </c>
      <c r="D16" s="663">
        <v>2054349.9905737985</v>
      </c>
      <c r="E16" s="663">
        <v>37220770.581419863</v>
      </c>
      <c r="F16" s="663">
        <v>109042122.66427988</v>
      </c>
      <c r="G16" s="663"/>
      <c r="H16" s="663">
        <f t="shared" si="0"/>
        <v>148317269.68050548</v>
      </c>
    </row>
    <row r="17" spans="1:8">
      <c r="A17" s="372">
        <v>10</v>
      </c>
      <c r="B17" s="375" t="s">
        <v>396</v>
      </c>
      <c r="C17" s="663">
        <v>147896.39097533945</v>
      </c>
      <c r="D17" s="663">
        <v>1038309.1184761515</v>
      </c>
      <c r="E17" s="663">
        <v>2982394.6192646809</v>
      </c>
      <c r="F17" s="663">
        <v>1174660.2597054006</v>
      </c>
      <c r="G17" s="663"/>
      <c r="H17" s="663">
        <f t="shared" si="0"/>
        <v>5343260.3884215727</v>
      </c>
    </row>
    <row r="18" spans="1:8">
      <c r="A18" s="372">
        <v>11</v>
      </c>
      <c r="B18" s="371" t="s">
        <v>61</v>
      </c>
      <c r="C18" s="663">
        <v>0</v>
      </c>
      <c r="D18" s="663">
        <v>0</v>
      </c>
      <c r="E18" s="663">
        <v>0</v>
      </c>
      <c r="F18" s="663">
        <v>0</v>
      </c>
      <c r="G18" s="663">
        <v>0</v>
      </c>
      <c r="H18" s="663">
        <f t="shared" si="0"/>
        <v>0</v>
      </c>
    </row>
    <row r="19" spans="1:8">
      <c r="A19" s="372">
        <v>12</v>
      </c>
      <c r="B19" s="371" t="s">
        <v>62</v>
      </c>
      <c r="C19" s="663">
        <v>0</v>
      </c>
      <c r="D19" s="663">
        <v>0</v>
      </c>
      <c r="E19" s="663">
        <v>0</v>
      </c>
      <c r="F19" s="663">
        <v>0</v>
      </c>
      <c r="G19" s="663">
        <v>0</v>
      </c>
      <c r="H19" s="663">
        <f t="shared" si="0"/>
        <v>0</v>
      </c>
    </row>
    <row r="20" spans="1:8">
      <c r="A20" s="374">
        <v>13</v>
      </c>
      <c r="B20" s="373" t="s">
        <v>145</v>
      </c>
      <c r="C20" s="663">
        <v>0</v>
      </c>
      <c r="D20" s="663">
        <v>0</v>
      </c>
      <c r="E20" s="663">
        <v>0</v>
      </c>
      <c r="F20" s="663">
        <v>0</v>
      </c>
      <c r="G20" s="663">
        <v>0</v>
      </c>
      <c r="H20" s="663">
        <f t="shared" si="0"/>
        <v>0</v>
      </c>
    </row>
    <row r="21" spans="1:8">
      <c r="A21" s="372">
        <v>14</v>
      </c>
      <c r="B21" s="371" t="s">
        <v>64</v>
      </c>
      <c r="C21" s="663">
        <v>104906069.83</v>
      </c>
      <c r="D21" s="663">
        <v>34657176</v>
      </c>
      <c r="E21" s="663">
        <v>28230767.030000001</v>
      </c>
      <c r="F21" s="663">
        <v>0</v>
      </c>
      <c r="G21" s="663">
        <v>55821948.839999959</v>
      </c>
      <c r="H21" s="663">
        <f>SUM(C21:G21)</f>
        <v>223615961.69999993</v>
      </c>
    </row>
    <row r="22" spans="1:8">
      <c r="A22" s="370">
        <v>15</v>
      </c>
      <c r="B22" s="369" t="s">
        <v>65</v>
      </c>
      <c r="C22" s="663">
        <f>SUM(C18:C21)+SUM(C8:C16)</f>
        <v>461638718.03547186</v>
      </c>
      <c r="D22" s="663">
        <f t="shared" ref="D22:H22" si="1">SUM(D18:D21)+SUM(D8:D16)</f>
        <v>535626173.69958997</v>
      </c>
      <c r="E22" s="663">
        <f t="shared" si="1"/>
        <v>1614666455.0456297</v>
      </c>
      <c r="F22" s="663">
        <f t="shared" si="1"/>
        <v>723790433.30565643</v>
      </c>
      <c r="G22" s="663">
        <f t="shared" si="1"/>
        <v>55821948.839999959</v>
      </c>
      <c r="H22" s="663">
        <f t="shared" si="1"/>
        <v>3391543728.9263473</v>
      </c>
    </row>
    <row r="26" spans="1:8" ht="24">
      <c r="B26" s="313" t="s">
        <v>483</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C22" sqref="C22:G23"/>
    </sheetView>
  </sheetViews>
  <sheetFormatPr defaultColWidth="9.21875" defaultRowHeight="12"/>
  <cols>
    <col min="1" max="1" width="11.77734375" style="379" bestFit="1" customWidth="1"/>
    <col min="2" max="2" width="86.77734375" style="310" customWidth="1"/>
    <col min="3" max="4" width="31.5546875" style="310" customWidth="1"/>
    <col min="5" max="5" width="15.109375" style="310" bestFit="1" customWidth="1"/>
    <col min="6" max="6" width="11.77734375" style="310" bestFit="1" customWidth="1"/>
    <col min="7" max="7" width="21.5546875" style="310" bestFit="1" customWidth="1"/>
    <col min="8" max="8" width="41.44140625" style="310" customWidth="1"/>
    <col min="9" max="16384" width="9.21875" style="310"/>
  </cols>
  <sheetData>
    <row r="1" spans="1:8" ht="13.8">
      <c r="A1" s="308" t="s">
        <v>31</v>
      </c>
      <c r="B1" s="378" t="str">
        <f>'Info '!C2</f>
        <v>JSC "CREDOBANK"</v>
      </c>
      <c r="C1" s="392"/>
      <c r="D1" s="392"/>
      <c r="E1" s="392"/>
      <c r="F1" s="392"/>
      <c r="G1" s="392"/>
      <c r="H1" s="392"/>
    </row>
    <row r="2" spans="1:8">
      <c r="A2" s="308" t="s">
        <v>32</v>
      </c>
      <c r="B2" s="377">
        <f>'1. key ratios '!B2</f>
        <v>45838</v>
      </c>
      <c r="C2" s="392"/>
      <c r="D2" s="392"/>
      <c r="E2" s="392"/>
      <c r="F2" s="392"/>
      <c r="G2" s="392"/>
      <c r="H2" s="392"/>
    </row>
    <row r="3" spans="1:8">
      <c r="A3" s="309" t="s">
        <v>389</v>
      </c>
      <c r="B3" s="392"/>
      <c r="C3" s="392"/>
      <c r="D3" s="392"/>
      <c r="E3" s="392"/>
      <c r="F3" s="392"/>
      <c r="G3" s="392"/>
      <c r="H3" s="392"/>
    </row>
    <row r="4" spans="1:8">
      <c r="A4" s="393"/>
      <c r="B4" s="392"/>
      <c r="C4" s="391" t="s">
        <v>0</v>
      </c>
      <c r="D4" s="391" t="s">
        <v>1</v>
      </c>
      <c r="E4" s="391" t="s">
        <v>2</v>
      </c>
      <c r="F4" s="391" t="s">
        <v>3</v>
      </c>
      <c r="G4" s="391" t="s">
        <v>4</v>
      </c>
      <c r="H4" s="391" t="s">
        <v>6</v>
      </c>
    </row>
    <row r="5" spans="1:8" ht="34.049999999999997" customHeight="1">
      <c r="A5" s="817" t="s">
        <v>390</v>
      </c>
      <c r="B5" s="818"/>
      <c r="C5" s="831" t="s">
        <v>391</v>
      </c>
      <c r="D5" s="831"/>
      <c r="E5" s="831" t="s">
        <v>628</v>
      </c>
      <c r="F5" s="829" t="s">
        <v>392</v>
      </c>
      <c r="G5" s="829" t="s">
        <v>393</v>
      </c>
      <c r="H5" s="389" t="s">
        <v>627</v>
      </c>
    </row>
    <row r="6" spans="1:8" ht="24">
      <c r="A6" s="821"/>
      <c r="B6" s="822"/>
      <c r="C6" s="390" t="s">
        <v>394</v>
      </c>
      <c r="D6" s="390" t="s">
        <v>395</v>
      </c>
      <c r="E6" s="831"/>
      <c r="F6" s="830"/>
      <c r="G6" s="830"/>
      <c r="H6" s="389" t="s">
        <v>626</v>
      </c>
    </row>
    <row r="7" spans="1:8">
      <c r="A7" s="387">
        <v>1</v>
      </c>
      <c r="B7" s="371" t="s">
        <v>52</v>
      </c>
      <c r="C7" s="728"/>
      <c r="D7" s="728">
        <v>370448002.10999995</v>
      </c>
      <c r="E7" s="728">
        <v>138361.51066450126</v>
      </c>
      <c r="F7" s="728"/>
      <c r="G7" s="728"/>
      <c r="H7" s="380">
        <f>C7+D7-E7-F7</f>
        <v>370309640.59933543</v>
      </c>
    </row>
    <row r="8" spans="1:8">
      <c r="A8" s="387">
        <v>2</v>
      </c>
      <c r="B8" s="371" t="s">
        <v>53</v>
      </c>
      <c r="C8" s="728"/>
      <c r="D8" s="728">
        <v>0</v>
      </c>
      <c r="E8" s="728"/>
      <c r="F8" s="728"/>
      <c r="G8" s="728"/>
      <c r="H8" s="380">
        <f t="shared" ref="H8:H20" si="0">C8+D8-E8-F8</f>
        <v>0</v>
      </c>
    </row>
    <row r="9" spans="1:8">
      <c r="A9" s="387">
        <v>3</v>
      </c>
      <c r="B9" s="371" t="s">
        <v>153</v>
      </c>
      <c r="C9" s="728"/>
      <c r="D9" s="728">
        <v>0</v>
      </c>
      <c r="E9" s="728"/>
      <c r="F9" s="728"/>
      <c r="G9" s="728"/>
      <c r="H9" s="380">
        <f t="shared" si="0"/>
        <v>0</v>
      </c>
    </row>
    <row r="10" spans="1:8">
      <c r="A10" s="387">
        <v>4</v>
      </c>
      <c r="B10" s="371" t="s">
        <v>54</v>
      </c>
      <c r="C10" s="728"/>
      <c r="D10" s="728">
        <v>0</v>
      </c>
      <c r="E10" s="728"/>
      <c r="F10" s="728"/>
      <c r="G10" s="728"/>
      <c r="H10" s="380">
        <f t="shared" si="0"/>
        <v>0</v>
      </c>
    </row>
    <row r="11" spans="1:8">
      <c r="A11" s="387">
        <v>5</v>
      </c>
      <c r="B11" s="371" t="s">
        <v>55</v>
      </c>
      <c r="C11" s="728"/>
      <c r="D11" s="728">
        <v>0</v>
      </c>
      <c r="E11" s="728"/>
      <c r="F11" s="728"/>
      <c r="G11" s="728"/>
      <c r="H11" s="380">
        <f t="shared" si="0"/>
        <v>0</v>
      </c>
    </row>
    <row r="12" spans="1:8">
      <c r="A12" s="387">
        <v>6</v>
      </c>
      <c r="B12" s="371" t="s">
        <v>56</v>
      </c>
      <c r="C12" s="728"/>
      <c r="D12" s="728">
        <v>89254906.810000002</v>
      </c>
      <c r="E12" s="728">
        <v>9663.781196229349</v>
      </c>
      <c r="F12" s="728"/>
      <c r="G12" s="728"/>
      <c r="H12" s="380">
        <f t="shared" si="0"/>
        <v>89245243.028803766</v>
      </c>
    </row>
    <row r="13" spans="1:8">
      <c r="A13" s="387">
        <v>7</v>
      </c>
      <c r="B13" s="371" t="s">
        <v>57</v>
      </c>
      <c r="C13" s="728">
        <v>0</v>
      </c>
      <c r="D13" s="728">
        <v>81684333.709898293</v>
      </c>
      <c r="E13" s="728">
        <v>202348.41140310498</v>
      </c>
      <c r="F13" s="728"/>
      <c r="G13" s="728">
        <v>4580.3502499999995</v>
      </c>
      <c r="H13" s="380">
        <f t="shared" si="0"/>
        <v>81481985.298495188</v>
      </c>
    </row>
    <row r="14" spans="1:8">
      <c r="A14" s="387">
        <v>8</v>
      </c>
      <c r="B14" s="373" t="s">
        <v>58</v>
      </c>
      <c r="C14" s="728">
        <v>26261819.334478382</v>
      </c>
      <c r="D14" s="728">
        <v>2518202461.0295143</v>
      </c>
      <c r="E14" s="728">
        <v>65890650.972249866</v>
      </c>
      <c r="F14" s="728"/>
      <c r="G14" s="728">
        <v>19318353.121348593</v>
      </c>
      <c r="H14" s="380">
        <f t="shared" si="0"/>
        <v>2478573629.3917427</v>
      </c>
    </row>
    <row r="15" spans="1:8">
      <c r="A15" s="387">
        <v>9</v>
      </c>
      <c r="B15" s="371" t="s">
        <v>59</v>
      </c>
      <c r="C15" s="728">
        <v>468524.16972217837</v>
      </c>
      <c r="D15" s="728">
        <v>148976448.95843667</v>
      </c>
      <c r="E15" s="728">
        <v>1127703.4476533844</v>
      </c>
      <c r="F15" s="728"/>
      <c r="G15" s="728">
        <v>273524.54996400012</v>
      </c>
      <c r="H15" s="380">
        <f t="shared" si="0"/>
        <v>148317269.68050545</v>
      </c>
    </row>
    <row r="16" spans="1:8">
      <c r="A16" s="387">
        <v>10</v>
      </c>
      <c r="B16" s="375" t="s">
        <v>396</v>
      </c>
      <c r="C16" s="728">
        <v>26689903.316677194</v>
      </c>
      <c r="D16" s="728">
        <v>0</v>
      </c>
      <c r="E16" s="728">
        <v>21346642.92825561</v>
      </c>
      <c r="F16" s="728"/>
      <c r="G16" s="728">
        <v>19596458.021562591</v>
      </c>
      <c r="H16" s="380">
        <f t="shared" si="0"/>
        <v>5343260.3884215839</v>
      </c>
    </row>
    <row r="17" spans="1:8">
      <c r="A17" s="387">
        <v>11</v>
      </c>
      <c r="B17" s="371" t="s">
        <v>61</v>
      </c>
      <c r="C17" s="728"/>
      <c r="D17" s="728"/>
      <c r="E17" s="728"/>
      <c r="F17" s="728"/>
      <c r="G17" s="728"/>
      <c r="H17" s="380">
        <f t="shared" si="0"/>
        <v>0</v>
      </c>
    </row>
    <row r="18" spans="1:8">
      <c r="A18" s="387">
        <v>12</v>
      </c>
      <c r="B18" s="371" t="s">
        <v>62</v>
      </c>
      <c r="C18" s="728"/>
      <c r="D18" s="728"/>
      <c r="E18" s="728"/>
      <c r="F18" s="728"/>
      <c r="G18" s="728"/>
      <c r="H18" s="380">
        <f t="shared" si="0"/>
        <v>0</v>
      </c>
    </row>
    <row r="19" spans="1:8">
      <c r="A19" s="388">
        <v>13</v>
      </c>
      <c r="B19" s="373" t="s">
        <v>145</v>
      </c>
      <c r="C19" s="728"/>
      <c r="D19" s="728"/>
      <c r="E19" s="728"/>
      <c r="F19" s="728"/>
      <c r="G19" s="728"/>
      <c r="H19" s="380">
        <f t="shared" si="0"/>
        <v>0</v>
      </c>
    </row>
    <row r="20" spans="1:8">
      <c r="A20" s="387">
        <v>14</v>
      </c>
      <c r="B20" s="371" t="s">
        <v>64</v>
      </c>
      <c r="C20" s="728"/>
      <c r="D20" s="728">
        <v>264107354.89813888</v>
      </c>
      <c r="E20" s="728">
        <v>7227916.2381392699</v>
      </c>
      <c r="F20" s="728"/>
      <c r="G20" s="728"/>
      <c r="H20" s="380">
        <f t="shared" si="0"/>
        <v>256879438.65999961</v>
      </c>
    </row>
    <row r="21" spans="1:8" s="384" customFormat="1">
      <c r="A21" s="386">
        <v>15</v>
      </c>
      <c r="B21" s="385" t="s">
        <v>65</v>
      </c>
      <c r="C21" s="665">
        <f t="shared" ref="C21:G21" si="1">SUM(C7:C15)+SUM(C17:C20)</f>
        <v>26730343.504200559</v>
      </c>
      <c r="D21" s="665">
        <f t="shared" si="1"/>
        <v>3472673507.5159879</v>
      </c>
      <c r="E21" s="665">
        <f t="shared" si="1"/>
        <v>74596644.361306354</v>
      </c>
      <c r="F21" s="665">
        <f t="shared" si="1"/>
        <v>0</v>
      </c>
      <c r="G21" s="665">
        <f t="shared" si="1"/>
        <v>19596458.021562591</v>
      </c>
      <c r="H21" s="380">
        <f t="shared" ref="H21" si="2">SUM(H7:H15)+SUM(H17:H20)</f>
        <v>3424807206.6588821</v>
      </c>
    </row>
    <row r="22" spans="1:8">
      <c r="A22" s="383">
        <v>16</v>
      </c>
      <c r="B22" s="382" t="s">
        <v>397</v>
      </c>
      <c r="C22" s="728">
        <v>26730343.504200559</v>
      </c>
      <c r="D22" s="728">
        <v>2748863243.6978493</v>
      </c>
      <c r="E22" s="728">
        <v>67220702.831306353</v>
      </c>
      <c r="F22" s="728"/>
      <c r="G22" s="728">
        <v>19596458.021562591</v>
      </c>
      <c r="H22" s="380">
        <f>C22+D22-E22-F22</f>
        <v>2708372884.3707433</v>
      </c>
    </row>
    <row r="23" spans="1:8">
      <c r="A23" s="383">
        <v>17</v>
      </c>
      <c r="B23" s="382" t="s">
        <v>398</v>
      </c>
      <c r="C23" s="728"/>
      <c r="D23" s="728">
        <v>73377165.689999998</v>
      </c>
      <c r="E23" s="728">
        <v>65098.14</v>
      </c>
      <c r="F23" s="728"/>
      <c r="G23" s="728"/>
      <c r="H23" s="380">
        <f>C23+D23-E23-F23</f>
        <v>73312067.549999997</v>
      </c>
    </row>
    <row r="26" spans="1:8" ht="42.45" customHeight="1">
      <c r="B26" s="313" t="s">
        <v>483</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topLeftCell="A5" zoomScale="80" zoomScaleNormal="80" workbookViewId="0">
      <selection activeCell="C7" sqref="C7:G33"/>
    </sheetView>
  </sheetViews>
  <sheetFormatPr defaultColWidth="9.21875" defaultRowHeight="12"/>
  <cols>
    <col min="1" max="1" width="11" style="310" bestFit="1" customWidth="1"/>
    <col min="2" max="2" width="93.44140625" style="310" customWidth="1"/>
    <col min="3" max="4" width="35" style="310" customWidth="1"/>
    <col min="5" max="5" width="15.109375" style="310" bestFit="1" customWidth="1"/>
    <col min="6" max="6" width="11.77734375" style="310" bestFit="1" customWidth="1"/>
    <col min="7" max="7" width="22" style="310" customWidth="1"/>
    <col min="8" max="8" width="19.88671875" style="310" customWidth="1"/>
    <col min="9" max="16384" width="9.21875" style="310"/>
  </cols>
  <sheetData>
    <row r="1" spans="1:8" ht="13.8">
      <c r="A1" s="308" t="s">
        <v>31</v>
      </c>
      <c r="B1" s="378" t="str">
        <f>'Info '!C2</f>
        <v>JSC "CREDOBANK"</v>
      </c>
      <c r="C1" s="392"/>
      <c r="D1" s="392"/>
      <c r="E1" s="392"/>
      <c r="F1" s="392"/>
      <c r="G1" s="392"/>
      <c r="H1" s="392"/>
    </row>
    <row r="2" spans="1:8">
      <c r="A2" s="308" t="s">
        <v>32</v>
      </c>
      <c r="B2" s="377">
        <f>'1. key ratios '!B2</f>
        <v>45838</v>
      </c>
      <c r="C2" s="392"/>
      <c r="D2" s="392"/>
      <c r="E2" s="392"/>
      <c r="F2" s="392"/>
      <c r="G2" s="392"/>
      <c r="H2" s="392"/>
    </row>
    <row r="3" spans="1:8">
      <c r="A3" s="309" t="s">
        <v>399</v>
      </c>
      <c r="B3" s="392"/>
      <c r="C3" s="392"/>
      <c r="D3" s="392"/>
      <c r="E3" s="392"/>
      <c r="F3" s="392"/>
      <c r="G3" s="392"/>
      <c r="H3" s="392"/>
    </row>
    <row r="4" spans="1:8">
      <c r="A4" s="393"/>
      <c r="B4" s="392"/>
      <c r="C4" s="391" t="s">
        <v>0</v>
      </c>
      <c r="D4" s="391" t="s">
        <v>1</v>
      </c>
      <c r="E4" s="391" t="s">
        <v>2</v>
      </c>
      <c r="F4" s="391" t="s">
        <v>3</v>
      </c>
      <c r="G4" s="391" t="s">
        <v>4</v>
      </c>
      <c r="H4" s="391" t="s">
        <v>6</v>
      </c>
    </row>
    <row r="5" spans="1:8" ht="41.55" customHeight="1">
      <c r="A5" s="817" t="s">
        <v>390</v>
      </c>
      <c r="B5" s="818"/>
      <c r="C5" s="831" t="s">
        <v>391</v>
      </c>
      <c r="D5" s="831"/>
      <c r="E5" s="831" t="s">
        <v>628</v>
      </c>
      <c r="F5" s="829" t="s">
        <v>392</v>
      </c>
      <c r="G5" s="829" t="s">
        <v>393</v>
      </c>
      <c r="H5" s="389" t="s">
        <v>627</v>
      </c>
    </row>
    <row r="6" spans="1:8" ht="24">
      <c r="A6" s="821"/>
      <c r="B6" s="822"/>
      <c r="C6" s="390" t="s">
        <v>394</v>
      </c>
      <c r="D6" s="390" t="s">
        <v>395</v>
      </c>
      <c r="E6" s="831"/>
      <c r="F6" s="830"/>
      <c r="G6" s="830"/>
      <c r="H6" s="389" t="s">
        <v>626</v>
      </c>
    </row>
    <row r="7" spans="1:8">
      <c r="A7" s="381">
        <v>1</v>
      </c>
      <c r="B7" s="396" t="s">
        <v>487</v>
      </c>
      <c r="C7" s="666">
        <v>89194.76</v>
      </c>
      <c r="D7" s="666">
        <v>394296978.98999995</v>
      </c>
      <c r="E7" s="666">
        <v>529151.26066450123</v>
      </c>
      <c r="F7" s="666"/>
      <c r="G7" s="666">
        <v>54834.002503999982</v>
      </c>
      <c r="H7" s="380">
        <f t="shared" ref="H7:H34" si="0">C7+D7-E7-F7</f>
        <v>393857022.48933542</v>
      </c>
    </row>
    <row r="8" spans="1:8">
      <c r="A8" s="381">
        <v>2</v>
      </c>
      <c r="B8" s="396" t="s">
        <v>400</v>
      </c>
      <c r="C8" s="666">
        <v>24978.83</v>
      </c>
      <c r="D8" s="666">
        <v>106203557.21186075</v>
      </c>
      <c r="E8" s="666">
        <v>230726.14119622938</v>
      </c>
      <c r="F8" s="666"/>
      <c r="G8" s="666">
        <v>40889.96</v>
      </c>
      <c r="H8" s="380">
        <f t="shared" si="0"/>
        <v>105997809.90066451</v>
      </c>
    </row>
    <row r="9" spans="1:8">
      <c r="A9" s="381">
        <v>3</v>
      </c>
      <c r="B9" s="396" t="s">
        <v>401</v>
      </c>
      <c r="C9" s="666">
        <v>70555.820000000007</v>
      </c>
      <c r="D9" s="666">
        <v>7517179.2699999996</v>
      </c>
      <c r="E9" s="666">
        <v>192061.74000000002</v>
      </c>
      <c r="F9" s="666"/>
      <c r="G9" s="666">
        <v>73684.659999999989</v>
      </c>
      <c r="H9" s="380">
        <f t="shared" si="0"/>
        <v>7395673.3499999996</v>
      </c>
    </row>
    <row r="10" spans="1:8">
      <c r="A10" s="381">
        <v>4</v>
      </c>
      <c r="B10" s="396" t="s">
        <v>488</v>
      </c>
      <c r="C10" s="666">
        <v>0</v>
      </c>
      <c r="D10" s="666">
        <v>42209868.480000004</v>
      </c>
      <c r="E10" s="666">
        <v>107159.18000000001</v>
      </c>
      <c r="F10" s="666"/>
      <c r="G10" s="666">
        <v>496.73999999999995</v>
      </c>
      <c r="H10" s="380">
        <f t="shared" si="0"/>
        <v>42102709.300000004</v>
      </c>
    </row>
    <row r="11" spans="1:8">
      <c r="A11" s="381">
        <v>5</v>
      </c>
      <c r="B11" s="396" t="s">
        <v>402</v>
      </c>
      <c r="C11" s="666">
        <v>41714.089999999997</v>
      </c>
      <c r="D11" s="666">
        <v>43858869.699999996</v>
      </c>
      <c r="E11" s="666">
        <v>239292.15999999997</v>
      </c>
      <c r="F11" s="666"/>
      <c r="G11" s="666">
        <v>81112.565816000002</v>
      </c>
      <c r="H11" s="380">
        <f t="shared" si="0"/>
        <v>43661291.630000003</v>
      </c>
    </row>
    <row r="12" spans="1:8">
      <c r="A12" s="381">
        <v>6</v>
      </c>
      <c r="B12" s="396" t="s">
        <v>403</v>
      </c>
      <c r="C12" s="666">
        <v>121816.52</v>
      </c>
      <c r="D12" s="666">
        <v>17352514.850000001</v>
      </c>
      <c r="E12" s="666">
        <v>317361.25</v>
      </c>
      <c r="F12" s="666"/>
      <c r="G12" s="666">
        <v>125588.58999999997</v>
      </c>
      <c r="H12" s="380">
        <f t="shared" si="0"/>
        <v>17156970.120000001</v>
      </c>
    </row>
    <row r="13" spans="1:8">
      <c r="A13" s="381">
        <v>7</v>
      </c>
      <c r="B13" s="396" t="s">
        <v>404</v>
      </c>
      <c r="C13" s="666">
        <v>68886.11</v>
      </c>
      <c r="D13" s="666">
        <v>4559827.88</v>
      </c>
      <c r="E13" s="666">
        <v>164717.85</v>
      </c>
      <c r="F13" s="666"/>
      <c r="G13" s="666">
        <v>26041.920000000006</v>
      </c>
      <c r="H13" s="380">
        <f t="shared" si="0"/>
        <v>4463996.1400000006</v>
      </c>
    </row>
    <row r="14" spans="1:8">
      <c r="A14" s="381">
        <v>8</v>
      </c>
      <c r="B14" s="396" t="s">
        <v>405</v>
      </c>
      <c r="C14" s="666">
        <v>1740509.1199999999</v>
      </c>
      <c r="D14" s="666">
        <v>190958173.41999999</v>
      </c>
      <c r="E14" s="666">
        <v>4148586.74</v>
      </c>
      <c r="F14" s="666"/>
      <c r="G14" s="666">
        <v>1402940.4815869986</v>
      </c>
      <c r="H14" s="380">
        <f t="shared" si="0"/>
        <v>188550095.79999998</v>
      </c>
    </row>
    <row r="15" spans="1:8">
      <c r="A15" s="381">
        <v>9</v>
      </c>
      <c r="B15" s="396" t="s">
        <v>406</v>
      </c>
      <c r="C15" s="666">
        <v>265529.06</v>
      </c>
      <c r="D15" s="666">
        <v>37309392.340000004</v>
      </c>
      <c r="E15" s="666">
        <v>784475.2</v>
      </c>
      <c r="F15" s="666"/>
      <c r="G15" s="666">
        <v>347658.49522399978</v>
      </c>
      <c r="H15" s="380">
        <f t="shared" si="0"/>
        <v>36790446.200000003</v>
      </c>
    </row>
    <row r="16" spans="1:8">
      <c r="A16" s="381">
        <v>10</v>
      </c>
      <c r="B16" s="396" t="s">
        <v>407</v>
      </c>
      <c r="C16" s="666">
        <v>174872.41</v>
      </c>
      <c r="D16" s="666">
        <v>18155284.960000001</v>
      </c>
      <c r="E16" s="666">
        <v>386266.48</v>
      </c>
      <c r="F16" s="666"/>
      <c r="G16" s="666">
        <v>166552.75201800006</v>
      </c>
      <c r="H16" s="380">
        <f t="shared" si="0"/>
        <v>17943890.890000001</v>
      </c>
    </row>
    <row r="17" spans="1:8">
      <c r="A17" s="381">
        <v>11</v>
      </c>
      <c r="B17" s="396" t="s">
        <v>408</v>
      </c>
      <c r="C17" s="666">
        <v>71578.2</v>
      </c>
      <c r="D17" s="666">
        <v>8390033.4399999995</v>
      </c>
      <c r="E17" s="666">
        <v>207156.4</v>
      </c>
      <c r="F17" s="666"/>
      <c r="G17" s="666">
        <v>23309.38</v>
      </c>
      <c r="H17" s="380">
        <f t="shared" si="0"/>
        <v>8254455.2399999984</v>
      </c>
    </row>
    <row r="18" spans="1:8">
      <c r="A18" s="381">
        <v>12</v>
      </c>
      <c r="B18" s="396" t="s">
        <v>409</v>
      </c>
      <c r="C18" s="666">
        <v>1191724.71</v>
      </c>
      <c r="D18" s="666">
        <v>144791695.13999999</v>
      </c>
      <c r="E18" s="666">
        <v>3314138.99</v>
      </c>
      <c r="F18" s="666"/>
      <c r="G18" s="666">
        <v>540280.70166400063</v>
      </c>
      <c r="H18" s="380">
        <f t="shared" si="0"/>
        <v>142669280.85999998</v>
      </c>
    </row>
    <row r="19" spans="1:8">
      <c r="A19" s="381">
        <v>13</v>
      </c>
      <c r="B19" s="396" t="s">
        <v>410</v>
      </c>
      <c r="C19" s="666">
        <v>166922.34</v>
      </c>
      <c r="D19" s="666">
        <v>24131027.290000003</v>
      </c>
      <c r="E19" s="666">
        <v>669309.01</v>
      </c>
      <c r="F19" s="666"/>
      <c r="G19" s="666">
        <v>209538.04565200003</v>
      </c>
      <c r="H19" s="380">
        <f t="shared" si="0"/>
        <v>23628640.620000001</v>
      </c>
    </row>
    <row r="20" spans="1:8">
      <c r="A20" s="381">
        <v>14</v>
      </c>
      <c r="B20" s="396" t="s">
        <v>411</v>
      </c>
      <c r="C20" s="666">
        <v>148163.98000000001</v>
      </c>
      <c r="D20" s="666">
        <v>79895110.930000007</v>
      </c>
      <c r="E20" s="666">
        <v>797523.7</v>
      </c>
      <c r="F20" s="666"/>
      <c r="G20" s="666">
        <v>82966.942956000043</v>
      </c>
      <c r="H20" s="380">
        <f t="shared" si="0"/>
        <v>79245751.210000008</v>
      </c>
    </row>
    <row r="21" spans="1:8">
      <c r="A21" s="381">
        <v>15</v>
      </c>
      <c r="B21" s="396" t="s">
        <v>412</v>
      </c>
      <c r="C21" s="666">
        <v>423492</v>
      </c>
      <c r="D21" s="666">
        <v>55424189.57</v>
      </c>
      <c r="E21" s="666">
        <v>1262126.1200000001</v>
      </c>
      <c r="F21" s="666"/>
      <c r="G21" s="666">
        <v>326878.47031899972</v>
      </c>
      <c r="H21" s="380">
        <f t="shared" si="0"/>
        <v>54585555.450000003</v>
      </c>
    </row>
    <row r="22" spans="1:8">
      <c r="A22" s="381">
        <v>16</v>
      </c>
      <c r="B22" s="396" t="s">
        <v>413</v>
      </c>
      <c r="C22" s="666">
        <v>136130.22</v>
      </c>
      <c r="D22" s="666">
        <v>14318483.470000001</v>
      </c>
      <c r="E22" s="666">
        <v>438623.33999999997</v>
      </c>
      <c r="F22" s="666"/>
      <c r="G22" s="666">
        <v>48219.325625000005</v>
      </c>
      <c r="H22" s="380">
        <f t="shared" si="0"/>
        <v>14015990.350000001</v>
      </c>
    </row>
    <row r="23" spans="1:8">
      <c r="A23" s="381">
        <v>17</v>
      </c>
      <c r="B23" s="396" t="s">
        <v>491</v>
      </c>
      <c r="C23" s="666">
        <v>6276.14</v>
      </c>
      <c r="D23" s="666">
        <v>924221.04</v>
      </c>
      <c r="E23" s="666">
        <v>18860.39</v>
      </c>
      <c r="F23" s="666"/>
      <c r="G23" s="666">
        <v>7785.14</v>
      </c>
      <c r="H23" s="380">
        <f t="shared" si="0"/>
        <v>911636.79</v>
      </c>
    </row>
    <row r="24" spans="1:8">
      <c r="A24" s="381">
        <v>18</v>
      </c>
      <c r="B24" s="396" t="s">
        <v>414</v>
      </c>
      <c r="C24" s="666">
        <v>29836.79</v>
      </c>
      <c r="D24" s="666">
        <v>4354055.2299999995</v>
      </c>
      <c r="E24" s="666">
        <v>97389.65</v>
      </c>
      <c r="F24" s="666"/>
      <c r="G24" s="666">
        <v>20597.109999999986</v>
      </c>
      <c r="H24" s="380">
        <f t="shared" si="0"/>
        <v>4286502.3699999992</v>
      </c>
    </row>
    <row r="25" spans="1:8">
      <c r="A25" s="381">
        <v>19</v>
      </c>
      <c r="B25" s="396" t="s">
        <v>415</v>
      </c>
      <c r="C25" s="666">
        <v>162111.20000000001</v>
      </c>
      <c r="D25" s="666">
        <v>7350902.0500000007</v>
      </c>
      <c r="E25" s="666">
        <v>255061.05</v>
      </c>
      <c r="F25" s="666"/>
      <c r="G25" s="666">
        <v>106882.48999999999</v>
      </c>
      <c r="H25" s="380">
        <f t="shared" si="0"/>
        <v>7257952.2000000011</v>
      </c>
    </row>
    <row r="26" spans="1:8">
      <c r="A26" s="381">
        <v>20</v>
      </c>
      <c r="B26" s="396" t="s">
        <v>490</v>
      </c>
      <c r="C26" s="666">
        <v>75967.399999999994</v>
      </c>
      <c r="D26" s="666">
        <v>20456659.129999999</v>
      </c>
      <c r="E26" s="666">
        <v>245964.52</v>
      </c>
      <c r="F26" s="666"/>
      <c r="G26" s="666">
        <v>23420.079999999998</v>
      </c>
      <c r="H26" s="380">
        <f t="shared" si="0"/>
        <v>20286662.009999998</v>
      </c>
    </row>
    <row r="27" spans="1:8">
      <c r="A27" s="381">
        <v>21</v>
      </c>
      <c r="B27" s="396" t="s">
        <v>416</v>
      </c>
      <c r="C27" s="666">
        <v>10841.02</v>
      </c>
      <c r="D27" s="666">
        <v>2822391.8899999997</v>
      </c>
      <c r="E27" s="666">
        <v>30949.08</v>
      </c>
      <c r="F27" s="666"/>
      <c r="G27" s="666">
        <v>837.52999999999986</v>
      </c>
      <c r="H27" s="380">
        <f t="shared" si="0"/>
        <v>2802283.8299999996</v>
      </c>
    </row>
    <row r="28" spans="1:8">
      <c r="A28" s="381">
        <v>22</v>
      </c>
      <c r="B28" s="396" t="s">
        <v>417</v>
      </c>
      <c r="C28" s="666">
        <v>35314.35</v>
      </c>
      <c r="D28" s="666">
        <v>1325259.3899999999</v>
      </c>
      <c r="E28" s="666">
        <v>39226.71</v>
      </c>
      <c r="F28" s="666"/>
      <c r="G28" s="666">
        <v>12071.300000000001</v>
      </c>
      <c r="H28" s="380">
        <f t="shared" si="0"/>
        <v>1321347.03</v>
      </c>
    </row>
    <row r="29" spans="1:8">
      <c r="A29" s="381">
        <v>23</v>
      </c>
      <c r="B29" s="396" t="s">
        <v>418</v>
      </c>
      <c r="C29" s="666">
        <v>8577829.7800000012</v>
      </c>
      <c r="D29" s="666">
        <v>640219476.45000005</v>
      </c>
      <c r="E29" s="666">
        <v>19320455.530000001</v>
      </c>
      <c r="F29" s="666"/>
      <c r="G29" s="666">
        <v>5107701.6636009933</v>
      </c>
      <c r="H29" s="380">
        <f t="shared" si="0"/>
        <v>629476850.70000005</v>
      </c>
    </row>
    <row r="30" spans="1:8">
      <c r="A30" s="381">
        <v>24</v>
      </c>
      <c r="B30" s="396" t="s">
        <v>489</v>
      </c>
      <c r="C30" s="666">
        <v>8526592.3599999994</v>
      </c>
      <c r="D30" s="666">
        <v>993492185</v>
      </c>
      <c r="E30" s="666">
        <v>24166006.760000002</v>
      </c>
      <c r="F30" s="666"/>
      <c r="G30" s="666">
        <v>7836905.4122379813</v>
      </c>
      <c r="H30" s="380">
        <f t="shared" si="0"/>
        <v>977852770.60000002</v>
      </c>
    </row>
    <row r="31" spans="1:8">
      <c r="A31" s="381">
        <v>25</v>
      </c>
      <c r="B31" s="396" t="s">
        <v>419</v>
      </c>
      <c r="C31" s="666">
        <v>3593285.6799999997</v>
      </c>
      <c r="D31" s="666">
        <v>268690487.41000003</v>
      </c>
      <c r="E31" s="666">
        <v>6999845.6099999994</v>
      </c>
      <c r="F31" s="666"/>
      <c r="G31" s="666">
        <v>2246408.5323586157</v>
      </c>
      <c r="H31" s="380">
        <f t="shared" si="0"/>
        <v>265283927.48000002</v>
      </c>
    </row>
    <row r="32" spans="1:8">
      <c r="A32" s="381">
        <v>26</v>
      </c>
      <c r="B32" s="396" t="s">
        <v>486</v>
      </c>
      <c r="C32" s="666">
        <v>976220.64</v>
      </c>
      <c r="D32" s="666">
        <v>79558328.310000002</v>
      </c>
      <c r="E32" s="666">
        <v>2406293.2599999998</v>
      </c>
      <c r="F32" s="666"/>
      <c r="G32" s="666">
        <v>682855.72999999928</v>
      </c>
      <c r="H32" s="380">
        <f t="shared" si="0"/>
        <v>78128255.689999998</v>
      </c>
    </row>
    <row r="33" spans="1:8">
      <c r="A33" s="381">
        <v>27</v>
      </c>
      <c r="B33" s="381" t="s">
        <v>420</v>
      </c>
      <c r="C33" s="666"/>
      <c r="D33" s="666">
        <v>264107354.89813888</v>
      </c>
      <c r="E33" s="666">
        <v>7227916.2381392699</v>
      </c>
      <c r="F33" s="666"/>
      <c r="G33" s="666"/>
      <c r="H33" s="380">
        <f t="shared" si="0"/>
        <v>256879438.65999961</v>
      </c>
    </row>
    <row r="34" spans="1:8">
      <c r="A34" s="381">
        <v>28</v>
      </c>
      <c r="B34" s="385" t="s">
        <v>65</v>
      </c>
      <c r="C34" s="667">
        <f>SUM(C7:C33)</f>
        <v>26730343.530000001</v>
      </c>
      <c r="D34" s="667">
        <f>SUM(D7:D33)</f>
        <v>3472673507.7399998</v>
      </c>
      <c r="E34" s="667">
        <f>SUM(E7:E33)</f>
        <v>74596644.360000014</v>
      </c>
      <c r="F34" s="667">
        <f>SUM(F7:F33)</f>
        <v>0</v>
      </c>
      <c r="G34" s="667">
        <f>SUM(G7:G33)</f>
        <v>19596458.021562591</v>
      </c>
      <c r="H34" s="380">
        <f t="shared" si="0"/>
        <v>3424807206.9099998</v>
      </c>
    </row>
    <row r="36" spans="1:8">
      <c r="B36" s="395"/>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C11" sqref="C11:C14"/>
    </sheetView>
  </sheetViews>
  <sheetFormatPr defaultColWidth="9.21875" defaultRowHeight="12"/>
  <cols>
    <col min="1" max="1" width="11.77734375" style="310" bestFit="1" customWidth="1"/>
    <col min="2" max="2" width="108" style="310" bestFit="1" customWidth="1"/>
    <col min="3" max="3" width="35.5546875" style="310" customWidth="1"/>
    <col min="4" max="4" width="38.44140625" style="310" customWidth="1"/>
    <col min="5" max="16384" width="9.21875" style="310"/>
  </cols>
  <sheetData>
    <row r="1" spans="1:4" ht="13.8">
      <c r="A1" s="308" t="s">
        <v>31</v>
      </c>
      <c r="B1" s="378" t="str">
        <f>'Info '!C2</f>
        <v>JSC "CREDOBANK"</v>
      </c>
    </row>
    <row r="2" spans="1:4">
      <c r="A2" s="308" t="s">
        <v>32</v>
      </c>
      <c r="B2" s="377">
        <f>'1. key ratios '!B2</f>
        <v>45838</v>
      </c>
    </row>
    <row r="3" spans="1:4">
      <c r="A3" s="309" t="s">
        <v>421</v>
      </c>
    </row>
    <row r="5" spans="1:4">
      <c r="A5" s="832" t="s">
        <v>635</v>
      </c>
      <c r="B5" s="832"/>
      <c r="C5" s="376" t="s">
        <v>438</v>
      </c>
      <c r="D5" s="376" t="s">
        <v>479</v>
      </c>
    </row>
    <row r="6" spans="1:4">
      <c r="A6" s="404">
        <v>1</v>
      </c>
      <c r="B6" s="397" t="s">
        <v>634</v>
      </c>
      <c r="C6" s="668">
        <v>58848085.573526576</v>
      </c>
      <c r="D6" s="399"/>
    </row>
    <row r="7" spans="1:4">
      <c r="A7" s="401">
        <v>2</v>
      </c>
      <c r="B7" s="397" t="s">
        <v>633</v>
      </c>
      <c r="C7" s="663">
        <f>SUM(C8:C9)</f>
        <v>50784066.761552736</v>
      </c>
      <c r="D7" s="399">
        <f>SUM(D8:D9)</f>
        <v>0</v>
      </c>
    </row>
    <row r="8" spans="1:4">
      <c r="A8" s="403">
        <v>2.1</v>
      </c>
      <c r="B8" s="402" t="s">
        <v>494</v>
      </c>
      <c r="C8" s="668">
        <v>5957712.0773427859</v>
      </c>
      <c r="D8" s="399"/>
    </row>
    <row r="9" spans="1:4">
      <c r="A9" s="403">
        <v>2.2000000000000002</v>
      </c>
      <c r="B9" s="402" t="s">
        <v>492</v>
      </c>
      <c r="C9" s="668">
        <v>44826354.68420995</v>
      </c>
      <c r="D9" s="399"/>
    </row>
    <row r="10" spans="1:4">
      <c r="A10" s="404">
        <v>3</v>
      </c>
      <c r="B10" s="397" t="s">
        <v>632</v>
      </c>
      <c r="C10" s="663">
        <f>SUM(C11:C13)</f>
        <v>42425131.220190018</v>
      </c>
      <c r="D10" s="399">
        <f>SUM(D11:D13)</f>
        <v>0</v>
      </c>
    </row>
    <row r="11" spans="1:4">
      <c r="A11" s="403">
        <v>3.1</v>
      </c>
      <c r="B11" s="402" t="s">
        <v>423</v>
      </c>
      <c r="C11" s="668">
        <v>19596464.831563063</v>
      </c>
      <c r="D11" s="399"/>
    </row>
    <row r="12" spans="1:4">
      <c r="A12" s="403">
        <v>3.2</v>
      </c>
      <c r="B12" s="402" t="s">
        <v>631</v>
      </c>
      <c r="C12" s="668">
        <v>8697771.1658448875</v>
      </c>
      <c r="D12" s="399"/>
    </row>
    <row r="13" spans="1:4">
      <c r="A13" s="403">
        <v>3.3</v>
      </c>
      <c r="B13" s="402" t="s">
        <v>493</v>
      </c>
      <c r="C13" s="668">
        <v>14130895.222782068</v>
      </c>
      <c r="D13" s="399"/>
    </row>
    <row r="14" spans="1:4">
      <c r="A14" s="401">
        <v>4</v>
      </c>
      <c r="B14" s="400" t="s">
        <v>630</v>
      </c>
      <c r="C14" s="668">
        <v>13681.724557089041</v>
      </c>
      <c r="D14" s="399"/>
    </row>
    <row r="15" spans="1:4">
      <c r="A15" s="398">
        <v>5</v>
      </c>
      <c r="B15" s="397" t="s">
        <v>629</v>
      </c>
      <c r="C15" s="663">
        <f>C6+C7-C10+C14</f>
        <v>67220702.839446381</v>
      </c>
      <c r="D15" s="369">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C12" sqref="C12:C16"/>
    </sheetView>
  </sheetViews>
  <sheetFormatPr defaultColWidth="9.21875" defaultRowHeight="12"/>
  <cols>
    <col min="1" max="1" width="11.77734375" style="310" bestFit="1" customWidth="1"/>
    <col min="2" max="2" width="128.88671875" style="310" bestFit="1" customWidth="1"/>
    <col min="3" max="3" width="37" style="310" customWidth="1"/>
    <col min="4" max="4" width="50.5546875" style="310" customWidth="1"/>
    <col min="5" max="16384" width="9.21875" style="310"/>
  </cols>
  <sheetData>
    <row r="1" spans="1:4" ht="13.8">
      <c r="A1" s="308" t="s">
        <v>31</v>
      </c>
      <c r="B1" s="378" t="str">
        <f>'Info '!C2</f>
        <v>JSC "CREDOBANK"</v>
      </c>
    </row>
    <row r="2" spans="1:4">
      <c r="A2" s="308" t="s">
        <v>32</v>
      </c>
      <c r="B2" s="377">
        <f>'1. key ratios '!B2</f>
        <v>45838</v>
      </c>
    </row>
    <row r="3" spans="1:4">
      <c r="A3" s="309" t="s">
        <v>425</v>
      </c>
    </row>
    <row r="4" spans="1:4">
      <c r="A4" s="309"/>
    </row>
    <row r="5" spans="1:4" ht="15" customHeight="1">
      <c r="A5" s="833" t="s">
        <v>495</v>
      </c>
      <c r="B5" s="834"/>
      <c r="C5" s="837" t="s">
        <v>426</v>
      </c>
      <c r="D5" s="837" t="s">
        <v>427</v>
      </c>
    </row>
    <row r="6" spans="1:4">
      <c r="A6" s="835"/>
      <c r="B6" s="836"/>
      <c r="C6" s="837"/>
      <c r="D6" s="837"/>
    </row>
    <row r="7" spans="1:4">
      <c r="A7" s="369">
        <v>1</v>
      </c>
      <c r="B7" s="369" t="s">
        <v>422</v>
      </c>
      <c r="C7" s="664">
        <v>20033361.167753316</v>
      </c>
      <c r="D7" s="405"/>
    </row>
    <row r="8" spans="1:4">
      <c r="A8" s="399">
        <v>2</v>
      </c>
      <c r="B8" s="399" t="s">
        <v>428</v>
      </c>
      <c r="C8" s="664">
        <v>31362787.794374131</v>
      </c>
      <c r="D8" s="405"/>
    </row>
    <row r="9" spans="1:4">
      <c r="A9" s="399">
        <v>3</v>
      </c>
      <c r="B9" s="408" t="s">
        <v>638</v>
      </c>
      <c r="C9" s="664"/>
      <c r="D9" s="405"/>
    </row>
    <row r="10" spans="1:4">
      <c r="A10" s="399">
        <v>4</v>
      </c>
      <c r="B10" s="399" t="s">
        <v>429</v>
      </c>
      <c r="C10" s="665">
        <f>SUM(C11:C17)</f>
        <v>24665805.447954878</v>
      </c>
      <c r="D10" s="405"/>
    </row>
    <row r="11" spans="1:4">
      <c r="A11" s="399">
        <v>5</v>
      </c>
      <c r="B11" s="407" t="s">
        <v>637</v>
      </c>
      <c r="C11" s="664"/>
      <c r="D11" s="405"/>
    </row>
    <row r="12" spans="1:4">
      <c r="A12" s="399">
        <v>6</v>
      </c>
      <c r="B12" s="407" t="s">
        <v>430</v>
      </c>
      <c r="C12" s="664">
        <v>1236887.44</v>
      </c>
      <c r="D12" s="405"/>
    </row>
    <row r="13" spans="1:4">
      <c r="A13" s="399">
        <v>7</v>
      </c>
      <c r="B13" s="407" t="s">
        <v>433</v>
      </c>
      <c r="C13" s="664">
        <v>19596464.831563063</v>
      </c>
      <c r="D13" s="405"/>
    </row>
    <row r="14" spans="1:4">
      <c r="A14" s="399">
        <v>8</v>
      </c>
      <c r="B14" s="407" t="s">
        <v>431</v>
      </c>
      <c r="C14" s="664"/>
      <c r="D14" s="399"/>
    </row>
    <row r="15" spans="1:4">
      <c r="A15" s="399">
        <v>9</v>
      </c>
      <c r="B15" s="407" t="s">
        <v>432</v>
      </c>
      <c r="C15" s="664"/>
      <c r="D15" s="399"/>
    </row>
    <row r="16" spans="1:4">
      <c r="A16" s="399">
        <v>10</v>
      </c>
      <c r="B16" s="407" t="s">
        <v>434</v>
      </c>
      <c r="C16" s="664">
        <v>3832453.1763918153</v>
      </c>
      <c r="D16" s="399"/>
    </row>
    <row r="17" spans="1:4">
      <c r="A17" s="399">
        <v>11</v>
      </c>
      <c r="B17" s="407" t="s">
        <v>636</v>
      </c>
      <c r="C17" s="664"/>
      <c r="D17" s="405"/>
    </row>
    <row r="18" spans="1:4">
      <c r="A18" s="369">
        <v>12</v>
      </c>
      <c r="B18" s="406" t="s">
        <v>424</v>
      </c>
      <c r="C18" s="669">
        <f>C7+C8+C9-C10</f>
        <v>26730343.514172569</v>
      </c>
      <c r="D18" s="405"/>
    </row>
    <row r="21" spans="1:4">
      <c r="B21" s="308"/>
    </row>
    <row r="22" spans="1:4">
      <c r="B22" s="308"/>
    </row>
    <row r="23" spans="1:4">
      <c r="B23" s="309"/>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C27" sqref="C27:C28"/>
    </sheetView>
  </sheetViews>
  <sheetFormatPr defaultColWidth="9.21875" defaultRowHeight="12"/>
  <cols>
    <col min="1" max="1" width="11.77734375" style="392" bestFit="1" customWidth="1"/>
    <col min="2" max="2" width="63.88671875" style="392" customWidth="1"/>
    <col min="3" max="3" width="15.5546875" style="392" customWidth="1"/>
    <col min="4" max="18" width="22.21875" style="392" customWidth="1"/>
    <col min="19" max="19" width="23.21875" style="392" bestFit="1" customWidth="1"/>
    <col min="20" max="26" width="22.21875" style="392" customWidth="1"/>
    <col min="27" max="27" width="23.21875" style="392" bestFit="1" customWidth="1"/>
    <col min="28" max="28" width="20" style="392" customWidth="1"/>
    <col min="29" max="16384" width="9.21875" style="392"/>
  </cols>
  <sheetData>
    <row r="1" spans="1:28" ht="13.8">
      <c r="A1" s="308" t="s">
        <v>31</v>
      </c>
      <c r="B1" s="378" t="str">
        <f>'Info '!C2</f>
        <v>JSC "CREDOBANK"</v>
      </c>
    </row>
    <row r="2" spans="1:28">
      <c r="A2" s="308" t="s">
        <v>32</v>
      </c>
      <c r="B2" s="377">
        <f>'1. key ratios '!B2</f>
        <v>45838</v>
      </c>
      <c r="C2" s="393"/>
    </row>
    <row r="3" spans="1:28">
      <c r="A3" s="309" t="s">
        <v>435</v>
      </c>
    </row>
    <row r="5" spans="1:28" ht="15" customHeight="1">
      <c r="A5" s="839" t="s">
        <v>650</v>
      </c>
      <c r="B5" s="840"/>
      <c r="C5" s="845" t="s">
        <v>436</v>
      </c>
      <c r="D5" s="846"/>
      <c r="E5" s="846"/>
      <c r="F5" s="846"/>
      <c r="G5" s="846"/>
      <c r="H5" s="846"/>
      <c r="I5" s="846"/>
      <c r="J5" s="846"/>
      <c r="K5" s="846"/>
      <c r="L5" s="846"/>
      <c r="M5" s="846"/>
      <c r="N5" s="846"/>
      <c r="O5" s="846"/>
      <c r="P5" s="846"/>
      <c r="Q5" s="846"/>
      <c r="R5" s="846"/>
      <c r="S5" s="846"/>
      <c r="T5" s="416"/>
      <c r="U5" s="416"/>
      <c r="V5" s="416"/>
      <c r="W5" s="416"/>
      <c r="X5" s="416"/>
      <c r="Y5" s="416"/>
      <c r="Z5" s="416"/>
      <c r="AA5" s="415"/>
      <c r="AB5" s="410"/>
    </row>
    <row r="6" spans="1:28" ht="12" customHeight="1">
      <c r="A6" s="841"/>
      <c r="B6" s="842"/>
      <c r="C6" s="847" t="s">
        <v>65</v>
      </c>
      <c r="D6" s="849" t="s">
        <v>649</v>
      </c>
      <c r="E6" s="849"/>
      <c r="F6" s="849"/>
      <c r="G6" s="849"/>
      <c r="H6" s="849" t="s">
        <v>648</v>
      </c>
      <c r="I6" s="849"/>
      <c r="J6" s="849"/>
      <c r="K6" s="849"/>
      <c r="L6" s="413"/>
      <c r="M6" s="850" t="s">
        <v>647</v>
      </c>
      <c r="N6" s="850"/>
      <c r="O6" s="850"/>
      <c r="P6" s="850"/>
      <c r="Q6" s="850"/>
      <c r="R6" s="850"/>
      <c r="S6" s="830"/>
      <c r="T6" s="414"/>
      <c r="U6" s="838" t="s">
        <v>646</v>
      </c>
      <c r="V6" s="838"/>
      <c r="W6" s="838"/>
      <c r="X6" s="838"/>
      <c r="Y6" s="838"/>
      <c r="Z6" s="838"/>
      <c r="AA6" s="831"/>
      <c r="AB6" s="413"/>
    </row>
    <row r="7" spans="1:28" ht="24">
      <c r="A7" s="843"/>
      <c r="B7" s="844"/>
      <c r="C7" s="848"/>
      <c r="D7" s="412"/>
      <c r="E7" s="389" t="s">
        <v>437</v>
      </c>
      <c r="F7" s="389" t="s">
        <v>644</v>
      </c>
      <c r="G7" s="391" t="s">
        <v>645</v>
      </c>
      <c r="H7" s="393"/>
      <c r="I7" s="389" t="s">
        <v>437</v>
      </c>
      <c r="J7" s="389" t="s">
        <v>644</v>
      </c>
      <c r="K7" s="391" t="s">
        <v>645</v>
      </c>
      <c r="L7" s="411"/>
      <c r="M7" s="389" t="s">
        <v>437</v>
      </c>
      <c r="N7" s="389" t="s">
        <v>644</v>
      </c>
      <c r="O7" s="389" t="s">
        <v>643</v>
      </c>
      <c r="P7" s="389" t="s">
        <v>642</v>
      </c>
      <c r="Q7" s="389" t="s">
        <v>641</v>
      </c>
      <c r="R7" s="389" t="s">
        <v>640</v>
      </c>
      <c r="S7" s="389" t="s">
        <v>639</v>
      </c>
      <c r="T7" s="411"/>
      <c r="U7" s="389" t="s">
        <v>437</v>
      </c>
      <c r="V7" s="389" t="s">
        <v>644</v>
      </c>
      <c r="W7" s="389" t="s">
        <v>643</v>
      </c>
      <c r="X7" s="389" t="s">
        <v>642</v>
      </c>
      <c r="Y7" s="389" t="s">
        <v>641</v>
      </c>
      <c r="Z7" s="389" t="s">
        <v>640</v>
      </c>
      <c r="AA7" s="389" t="s">
        <v>639</v>
      </c>
      <c r="AB7" s="410"/>
    </row>
    <row r="8" spans="1:28">
      <c r="A8" s="409">
        <v>1</v>
      </c>
      <c r="B8" s="385" t="s">
        <v>438</v>
      </c>
      <c r="C8" s="665">
        <f t="shared" ref="C8:L8" si="0">SUM(C9:C14)</f>
        <v>2775593587.2120304</v>
      </c>
      <c r="D8" s="665">
        <f t="shared" si="0"/>
        <v>2637916856.1473289</v>
      </c>
      <c r="E8" s="665">
        <f t="shared" si="0"/>
        <v>16589682.029342528</v>
      </c>
      <c r="F8" s="665">
        <f t="shared" si="0"/>
        <v>0</v>
      </c>
      <c r="G8" s="665">
        <f t="shared" si="0"/>
        <v>0</v>
      </c>
      <c r="H8" s="665">
        <f t="shared" si="0"/>
        <v>110946387.55052938</v>
      </c>
      <c r="I8" s="665">
        <f t="shared" si="0"/>
        <v>6131940.3188931113</v>
      </c>
      <c r="J8" s="665">
        <f t="shared" si="0"/>
        <v>20452347.28234211</v>
      </c>
      <c r="K8" s="665">
        <f t="shared" si="0"/>
        <v>0</v>
      </c>
      <c r="L8" s="665">
        <f t="shared" si="0"/>
        <v>26689903.326677144</v>
      </c>
      <c r="M8" s="665">
        <f t="shared" ref="M8:S8" si="1">SUM(M9:M14)</f>
        <v>543693.07684660796</v>
      </c>
      <c r="N8" s="665">
        <f t="shared" si="1"/>
        <v>1070527.5371640529</v>
      </c>
      <c r="O8" s="665">
        <f t="shared" si="1"/>
        <v>20935695.077774219</v>
      </c>
      <c r="P8" s="665">
        <f t="shared" si="1"/>
        <v>0</v>
      </c>
      <c r="Q8" s="665">
        <f t="shared" si="1"/>
        <v>0</v>
      </c>
      <c r="R8" s="665">
        <f t="shared" si="1"/>
        <v>0</v>
      </c>
      <c r="S8" s="665">
        <f t="shared" si="1"/>
        <v>0</v>
      </c>
      <c r="T8" s="665">
        <f>SUM(T9:T14)</f>
        <v>40440.187495388127</v>
      </c>
      <c r="U8" s="665">
        <f t="shared" ref="U8:AA8" si="2">SUM(U9:U14)</f>
        <v>0</v>
      </c>
      <c r="V8" s="665">
        <f t="shared" si="2"/>
        <v>0</v>
      </c>
      <c r="W8" s="665">
        <f t="shared" si="2"/>
        <v>0</v>
      </c>
      <c r="X8" s="665">
        <f t="shared" si="2"/>
        <v>0</v>
      </c>
      <c r="Y8" s="665">
        <f t="shared" si="2"/>
        <v>0</v>
      </c>
      <c r="Z8" s="665">
        <f t="shared" si="2"/>
        <v>0</v>
      </c>
      <c r="AA8" s="665">
        <f t="shared" si="2"/>
        <v>0</v>
      </c>
    </row>
    <row r="9" spans="1:28">
      <c r="A9" s="381">
        <v>1.1000000000000001</v>
      </c>
      <c r="B9" s="401" t="s">
        <v>439</v>
      </c>
      <c r="C9" s="670"/>
      <c r="D9" s="664"/>
      <c r="E9" s="664"/>
      <c r="F9" s="664"/>
      <c r="G9" s="664"/>
      <c r="H9" s="664"/>
      <c r="I9" s="664"/>
      <c r="J9" s="664"/>
      <c r="K9" s="664"/>
      <c r="L9" s="664"/>
      <c r="M9" s="664"/>
      <c r="N9" s="664"/>
      <c r="O9" s="664"/>
      <c r="P9" s="664"/>
      <c r="Q9" s="664"/>
      <c r="R9" s="664"/>
      <c r="S9" s="664"/>
      <c r="T9" s="664"/>
      <c r="U9" s="664"/>
      <c r="V9" s="664"/>
      <c r="W9" s="664"/>
      <c r="X9" s="664"/>
      <c r="Y9" s="664"/>
      <c r="Z9" s="664"/>
      <c r="AA9" s="664"/>
    </row>
    <row r="10" spans="1:28">
      <c r="A10" s="381">
        <v>1.2</v>
      </c>
      <c r="B10" s="401" t="s">
        <v>440</v>
      </c>
      <c r="C10" s="670"/>
      <c r="D10" s="664"/>
      <c r="E10" s="664"/>
      <c r="F10" s="664"/>
      <c r="G10" s="664"/>
      <c r="H10" s="664"/>
      <c r="I10" s="664"/>
      <c r="J10" s="664"/>
      <c r="K10" s="664"/>
      <c r="L10" s="664"/>
      <c r="M10" s="664"/>
      <c r="N10" s="664"/>
      <c r="O10" s="664"/>
      <c r="P10" s="664"/>
      <c r="Q10" s="664"/>
      <c r="R10" s="664"/>
      <c r="S10" s="664"/>
      <c r="T10" s="664"/>
      <c r="U10" s="664"/>
      <c r="V10" s="664"/>
      <c r="W10" s="664"/>
      <c r="X10" s="664"/>
      <c r="Y10" s="664"/>
      <c r="Z10" s="664"/>
      <c r="AA10" s="664"/>
    </row>
    <row r="11" spans="1:28">
      <c r="A11" s="381">
        <v>1.3</v>
      </c>
      <c r="B11" s="401" t="s">
        <v>441</v>
      </c>
      <c r="C11" s="670"/>
      <c r="D11" s="664"/>
      <c r="E11" s="664"/>
      <c r="F11" s="664"/>
      <c r="G11" s="664"/>
      <c r="H11" s="664"/>
      <c r="I11" s="664"/>
      <c r="J11" s="664"/>
      <c r="K11" s="664"/>
      <c r="L11" s="664"/>
      <c r="M11" s="664"/>
      <c r="N11" s="664"/>
      <c r="O11" s="664"/>
      <c r="P11" s="664"/>
      <c r="Q11" s="664"/>
      <c r="R11" s="664"/>
      <c r="S11" s="664"/>
      <c r="T11" s="664"/>
      <c r="U11" s="664"/>
      <c r="V11" s="664"/>
      <c r="W11" s="664"/>
      <c r="X11" s="664"/>
      <c r="Y11" s="664"/>
      <c r="Z11" s="664"/>
      <c r="AA11" s="664"/>
    </row>
    <row r="12" spans="1:28">
      <c r="A12" s="381">
        <v>1.4</v>
      </c>
      <c r="B12" s="401" t="s">
        <v>442</v>
      </c>
      <c r="C12" s="670"/>
      <c r="D12" s="664"/>
      <c r="E12" s="664"/>
      <c r="F12" s="664"/>
      <c r="G12" s="664"/>
      <c r="H12" s="664"/>
      <c r="I12" s="664"/>
      <c r="J12" s="664"/>
      <c r="K12" s="664"/>
      <c r="L12" s="664"/>
      <c r="M12" s="664"/>
      <c r="N12" s="664"/>
      <c r="O12" s="664"/>
      <c r="P12" s="664"/>
      <c r="Q12" s="664"/>
      <c r="R12" s="664"/>
      <c r="S12" s="664"/>
      <c r="T12" s="664"/>
      <c r="U12" s="664"/>
      <c r="V12" s="664"/>
      <c r="W12" s="664"/>
      <c r="X12" s="664"/>
      <c r="Y12" s="664"/>
      <c r="Z12" s="664"/>
      <c r="AA12" s="664"/>
    </row>
    <row r="13" spans="1:28">
      <c r="A13" s="381">
        <v>1.5</v>
      </c>
      <c r="B13" s="401" t="s">
        <v>443</v>
      </c>
      <c r="C13" s="671">
        <f>D13+H13+L13+T13</f>
        <v>164344247.80593652</v>
      </c>
      <c r="D13" s="728">
        <v>161597857.07797483</v>
      </c>
      <c r="E13" s="728">
        <v>1002071.6070812149</v>
      </c>
      <c r="F13" s="728">
        <v>0</v>
      </c>
      <c r="G13" s="728">
        <v>0</v>
      </c>
      <c r="H13" s="728">
        <v>2634060.0919256783</v>
      </c>
      <c r="I13" s="728">
        <v>138654.46136223499</v>
      </c>
      <c r="J13" s="728">
        <v>950314.32135387918</v>
      </c>
      <c r="K13" s="728">
        <v>0</v>
      </c>
      <c r="L13" s="728">
        <v>112330.63603600609</v>
      </c>
      <c r="M13" s="728">
        <v>0</v>
      </c>
      <c r="N13" s="728">
        <v>0</v>
      </c>
      <c r="O13" s="728">
        <v>112330.63603600609</v>
      </c>
      <c r="P13" s="728">
        <v>0</v>
      </c>
      <c r="Q13" s="728">
        <v>0</v>
      </c>
      <c r="R13" s="728">
        <v>0</v>
      </c>
      <c r="S13" s="728">
        <v>0</v>
      </c>
      <c r="T13" s="728">
        <v>0</v>
      </c>
      <c r="U13" s="728">
        <v>0</v>
      </c>
      <c r="V13" s="728">
        <v>0</v>
      </c>
      <c r="W13" s="728">
        <v>0</v>
      </c>
      <c r="X13" s="728">
        <v>0</v>
      </c>
      <c r="Y13" s="728">
        <v>0</v>
      </c>
      <c r="Z13" s="728">
        <v>0</v>
      </c>
      <c r="AA13" s="728">
        <v>0</v>
      </c>
    </row>
    <row r="14" spans="1:28">
      <c r="A14" s="381">
        <v>1.6</v>
      </c>
      <c r="B14" s="401" t="s">
        <v>444</v>
      </c>
      <c r="C14" s="671">
        <f>D14+H14+L14+T14</f>
        <v>2611249339.4060941</v>
      </c>
      <c r="D14" s="728">
        <v>2476318999.0693541</v>
      </c>
      <c r="E14" s="728">
        <v>15587610.422261313</v>
      </c>
      <c r="F14" s="728">
        <v>0</v>
      </c>
      <c r="G14" s="728">
        <v>0</v>
      </c>
      <c r="H14" s="728">
        <v>108312327.4586037</v>
      </c>
      <c r="I14" s="728">
        <v>5993285.8575308761</v>
      </c>
      <c r="J14" s="728">
        <v>19502032.960988231</v>
      </c>
      <c r="K14" s="728">
        <v>0</v>
      </c>
      <c r="L14" s="728">
        <v>26577572.690641139</v>
      </c>
      <c r="M14" s="728">
        <v>543693.07684660796</v>
      </c>
      <c r="N14" s="728">
        <v>1070527.5371640529</v>
      </c>
      <c r="O14" s="728">
        <v>20823364.441738214</v>
      </c>
      <c r="P14" s="728">
        <v>0</v>
      </c>
      <c r="Q14" s="728">
        <v>0</v>
      </c>
      <c r="R14" s="728">
        <v>0</v>
      </c>
      <c r="S14" s="728">
        <v>0</v>
      </c>
      <c r="T14" s="728">
        <v>40440.187495388127</v>
      </c>
      <c r="U14" s="728">
        <v>0</v>
      </c>
      <c r="V14" s="728">
        <v>0</v>
      </c>
      <c r="W14" s="728">
        <v>0</v>
      </c>
      <c r="X14" s="728">
        <v>0</v>
      </c>
      <c r="Y14" s="728">
        <v>0</v>
      </c>
      <c r="Z14" s="728">
        <v>0</v>
      </c>
      <c r="AA14" s="728">
        <v>0</v>
      </c>
    </row>
    <row r="15" spans="1:28">
      <c r="A15" s="409">
        <v>2</v>
      </c>
      <c r="B15" s="385" t="s">
        <v>445</v>
      </c>
      <c r="C15" s="672">
        <f>D15+H15+L15+T15</f>
        <v>73312067.549999997</v>
      </c>
      <c r="D15" s="729">
        <f>SUM(D16:D21)</f>
        <v>73312067.549999997</v>
      </c>
      <c r="E15" s="728"/>
      <c r="F15" s="728"/>
      <c r="G15" s="728"/>
      <c r="H15" s="728"/>
      <c r="I15" s="728"/>
      <c r="J15" s="728"/>
      <c r="K15" s="728"/>
      <c r="L15" s="728"/>
      <c r="M15" s="728"/>
      <c r="N15" s="728"/>
      <c r="O15" s="728"/>
      <c r="P15" s="728"/>
      <c r="Q15" s="728"/>
      <c r="R15" s="728"/>
      <c r="S15" s="728"/>
      <c r="T15" s="728"/>
      <c r="U15" s="728"/>
      <c r="V15" s="728"/>
      <c r="W15" s="728"/>
      <c r="X15" s="728"/>
      <c r="Y15" s="728"/>
      <c r="Z15" s="728"/>
      <c r="AA15" s="728"/>
    </row>
    <row r="16" spans="1:28">
      <c r="A16" s="381">
        <v>2.1</v>
      </c>
      <c r="B16" s="401" t="s">
        <v>439</v>
      </c>
      <c r="C16" s="672">
        <f>D16+H16+L16+T16</f>
        <v>0</v>
      </c>
      <c r="D16" s="728"/>
      <c r="E16" s="664"/>
      <c r="F16" s="664"/>
      <c r="G16" s="664"/>
      <c r="H16" s="664"/>
      <c r="I16" s="664"/>
      <c r="J16" s="664"/>
      <c r="K16" s="664"/>
      <c r="L16" s="664"/>
      <c r="M16" s="664"/>
      <c r="N16" s="664"/>
      <c r="O16" s="664"/>
      <c r="P16" s="664"/>
      <c r="Q16" s="664"/>
      <c r="R16" s="664"/>
      <c r="S16" s="664"/>
      <c r="T16" s="664"/>
      <c r="U16" s="664"/>
      <c r="V16" s="664"/>
      <c r="W16" s="664"/>
      <c r="X16" s="664"/>
      <c r="Y16" s="664"/>
      <c r="Z16" s="664"/>
      <c r="AA16" s="664"/>
    </row>
    <row r="17" spans="1:27">
      <c r="A17" s="381">
        <v>2.2000000000000002</v>
      </c>
      <c r="B17" s="401" t="s">
        <v>440</v>
      </c>
      <c r="C17" s="670"/>
      <c r="D17" s="728">
        <v>73312067.549999997</v>
      </c>
      <c r="E17" s="674"/>
      <c r="F17" s="674"/>
      <c r="G17" s="674"/>
      <c r="H17" s="674"/>
      <c r="I17" s="674"/>
      <c r="J17" s="674"/>
      <c r="K17" s="674"/>
      <c r="L17" s="674"/>
      <c r="M17" s="674"/>
      <c r="N17" s="674"/>
      <c r="O17" s="674"/>
      <c r="P17" s="674"/>
      <c r="Q17" s="674"/>
      <c r="R17" s="674"/>
      <c r="S17" s="674"/>
      <c r="T17" s="674"/>
      <c r="U17" s="674"/>
      <c r="V17" s="674"/>
      <c r="W17" s="674"/>
      <c r="X17" s="674"/>
      <c r="Y17" s="674"/>
      <c r="Z17" s="674"/>
      <c r="AA17" s="674"/>
    </row>
    <row r="18" spans="1:27">
      <c r="A18" s="381">
        <v>2.2999999999999998</v>
      </c>
      <c r="B18" s="401" t="s">
        <v>441</v>
      </c>
      <c r="C18" s="670"/>
      <c r="D18" s="730"/>
      <c r="E18" s="674"/>
      <c r="F18" s="674"/>
      <c r="G18" s="674"/>
      <c r="H18" s="674"/>
      <c r="I18" s="674"/>
      <c r="J18" s="674"/>
      <c r="K18" s="674"/>
      <c r="L18" s="674"/>
      <c r="M18" s="674"/>
      <c r="N18" s="674"/>
      <c r="O18" s="674"/>
      <c r="P18" s="674"/>
      <c r="Q18" s="674"/>
      <c r="R18" s="674"/>
      <c r="S18" s="674"/>
      <c r="T18" s="674"/>
      <c r="U18" s="674"/>
      <c r="V18" s="674"/>
      <c r="W18" s="674"/>
      <c r="X18" s="674"/>
      <c r="Y18" s="674"/>
      <c r="Z18" s="674"/>
      <c r="AA18" s="674"/>
    </row>
    <row r="19" spans="1:27">
      <c r="A19" s="381">
        <v>2.4</v>
      </c>
      <c r="B19" s="401" t="s">
        <v>442</v>
      </c>
      <c r="C19" s="670"/>
      <c r="D19" s="730"/>
      <c r="E19" s="674"/>
      <c r="F19" s="674"/>
      <c r="G19" s="674"/>
      <c r="H19" s="674"/>
      <c r="I19" s="674"/>
      <c r="J19" s="674"/>
      <c r="K19" s="674"/>
      <c r="L19" s="674"/>
      <c r="M19" s="674"/>
      <c r="N19" s="674"/>
      <c r="O19" s="674"/>
      <c r="P19" s="674"/>
      <c r="Q19" s="674"/>
      <c r="R19" s="674"/>
      <c r="S19" s="674"/>
      <c r="T19" s="674"/>
      <c r="U19" s="674"/>
      <c r="V19" s="674"/>
      <c r="W19" s="674"/>
      <c r="X19" s="674"/>
      <c r="Y19" s="674"/>
      <c r="Z19" s="674"/>
      <c r="AA19" s="674"/>
    </row>
    <row r="20" spans="1:27">
      <c r="A20" s="381">
        <v>2.5</v>
      </c>
      <c r="B20" s="401" t="s">
        <v>443</v>
      </c>
      <c r="C20" s="670"/>
      <c r="D20" s="730"/>
      <c r="E20" s="674"/>
      <c r="F20" s="674"/>
      <c r="G20" s="674"/>
      <c r="H20" s="674"/>
      <c r="I20" s="674"/>
      <c r="J20" s="674"/>
      <c r="K20" s="674"/>
      <c r="L20" s="674"/>
      <c r="M20" s="674"/>
      <c r="N20" s="674"/>
      <c r="O20" s="674"/>
      <c r="P20" s="674"/>
      <c r="Q20" s="674"/>
      <c r="R20" s="674"/>
      <c r="S20" s="674"/>
      <c r="T20" s="674"/>
      <c r="U20" s="674"/>
      <c r="V20" s="674"/>
      <c r="W20" s="674"/>
      <c r="X20" s="674"/>
      <c r="Y20" s="674"/>
      <c r="Z20" s="674"/>
      <c r="AA20" s="674"/>
    </row>
    <row r="21" spans="1:27">
      <c r="A21" s="381">
        <v>2.6</v>
      </c>
      <c r="B21" s="401" t="s">
        <v>444</v>
      </c>
      <c r="C21" s="670"/>
      <c r="D21" s="730"/>
      <c r="E21" s="674"/>
      <c r="F21" s="674"/>
      <c r="G21" s="674"/>
      <c r="H21" s="674"/>
      <c r="I21" s="674"/>
      <c r="J21" s="674"/>
      <c r="K21" s="674"/>
      <c r="L21" s="674"/>
      <c r="M21" s="674"/>
      <c r="N21" s="674"/>
      <c r="O21" s="674"/>
      <c r="P21" s="674"/>
      <c r="Q21" s="674"/>
      <c r="R21" s="674"/>
      <c r="S21" s="674"/>
      <c r="T21" s="674"/>
      <c r="U21" s="674"/>
      <c r="V21" s="674"/>
      <c r="W21" s="674"/>
      <c r="X21" s="674"/>
      <c r="Y21" s="674"/>
      <c r="Z21" s="674"/>
      <c r="AA21" s="674"/>
    </row>
    <row r="22" spans="1:27">
      <c r="A22" s="409">
        <v>3</v>
      </c>
      <c r="B22" s="385" t="s">
        <v>485</v>
      </c>
      <c r="C22" s="673">
        <f>C27+C28</f>
        <v>385274964</v>
      </c>
      <c r="D22" s="731"/>
      <c r="E22" s="676"/>
      <c r="F22" s="676"/>
      <c r="G22" s="676"/>
      <c r="H22" s="675"/>
      <c r="I22" s="676"/>
      <c r="J22" s="676"/>
      <c r="K22" s="676"/>
      <c r="L22" s="675"/>
      <c r="M22" s="676"/>
      <c r="N22" s="676"/>
      <c r="O22" s="676"/>
      <c r="P22" s="676"/>
      <c r="Q22" s="676"/>
      <c r="R22" s="676"/>
      <c r="S22" s="676"/>
      <c r="T22" s="675"/>
      <c r="U22" s="676"/>
      <c r="V22" s="676"/>
      <c r="W22" s="676"/>
      <c r="X22" s="676"/>
      <c r="Y22" s="676"/>
      <c r="Z22" s="676"/>
      <c r="AA22" s="676"/>
    </row>
    <row r="23" spans="1:27">
      <c r="A23" s="381">
        <v>3.1</v>
      </c>
      <c r="B23" s="401" t="s">
        <v>439</v>
      </c>
      <c r="C23" s="670"/>
      <c r="D23" s="731"/>
      <c r="E23" s="676"/>
      <c r="F23" s="676"/>
      <c r="G23" s="676"/>
      <c r="H23" s="675"/>
      <c r="I23" s="676"/>
      <c r="J23" s="676"/>
      <c r="K23" s="676"/>
      <c r="L23" s="675"/>
      <c r="M23" s="676"/>
      <c r="N23" s="676"/>
      <c r="O23" s="676"/>
      <c r="P23" s="676"/>
      <c r="Q23" s="676"/>
      <c r="R23" s="676"/>
      <c r="S23" s="676"/>
      <c r="T23" s="675"/>
      <c r="U23" s="676"/>
      <c r="V23" s="676"/>
      <c r="W23" s="676"/>
      <c r="X23" s="676"/>
      <c r="Y23" s="676"/>
      <c r="Z23" s="676"/>
      <c r="AA23" s="676"/>
    </row>
    <row r="24" spans="1:27">
      <c r="A24" s="381">
        <v>3.2</v>
      </c>
      <c r="B24" s="401" t="s">
        <v>440</v>
      </c>
      <c r="C24" s="670"/>
      <c r="D24" s="731"/>
      <c r="E24" s="676"/>
      <c r="F24" s="676"/>
      <c r="G24" s="676"/>
      <c r="H24" s="675"/>
      <c r="I24" s="676"/>
      <c r="J24" s="676"/>
      <c r="K24" s="676"/>
      <c r="L24" s="675"/>
      <c r="M24" s="676"/>
      <c r="N24" s="676"/>
      <c r="O24" s="676"/>
      <c r="P24" s="676"/>
      <c r="Q24" s="676"/>
      <c r="R24" s="676"/>
      <c r="S24" s="676"/>
      <c r="T24" s="675"/>
      <c r="U24" s="676"/>
      <c r="V24" s="676"/>
      <c r="W24" s="676"/>
      <c r="X24" s="676"/>
      <c r="Y24" s="676"/>
      <c r="Z24" s="676"/>
      <c r="AA24" s="676"/>
    </row>
    <row r="25" spans="1:27">
      <c r="A25" s="381">
        <v>3.3</v>
      </c>
      <c r="B25" s="401" t="s">
        <v>441</v>
      </c>
      <c r="C25" s="670"/>
      <c r="D25" s="731"/>
      <c r="E25" s="676"/>
      <c r="F25" s="676"/>
      <c r="G25" s="676"/>
      <c r="H25" s="675"/>
      <c r="I25" s="676"/>
      <c r="J25" s="676"/>
      <c r="K25" s="676"/>
      <c r="L25" s="675"/>
      <c r="M25" s="676"/>
      <c r="N25" s="676"/>
      <c r="O25" s="676"/>
      <c r="P25" s="676"/>
      <c r="Q25" s="676"/>
      <c r="R25" s="676"/>
      <c r="S25" s="676"/>
      <c r="T25" s="675"/>
      <c r="U25" s="676"/>
      <c r="V25" s="676"/>
      <c r="W25" s="676"/>
      <c r="X25" s="676"/>
      <c r="Y25" s="676"/>
      <c r="Z25" s="676"/>
      <c r="AA25" s="676"/>
    </row>
    <row r="26" spans="1:27">
      <c r="A26" s="381">
        <v>3.4</v>
      </c>
      <c r="B26" s="401" t="s">
        <v>442</v>
      </c>
      <c r="C26" s="670"/>
      <c r="D26" s="731"/>
      <c r="E26" s="676"/>
      <c r="F26" s="676"/>
      <c r="G26" s="676"/>
      <c r="H26" s="675"/>
      <c r="I26" s="676"/>
      <c r="J26" s="676"/>
      <c r="K26" s="676"/>
      <c r="L26" s="675"/>
      <c r="M26" s="676"/>
      <c r="N26" s="676"/>
      <c r="O26" s="676"/>
      <c r="P26" s="676"/>
      <c r="Q26" s="676"/>
      <c r="R26" s="676"/>
      <c r="S26" s="676"/>
      <c r="T26" s="675"/>
      <c r="U26" s="676"/>
      <c r="V26" s="676"/>
      <c r="W26" s="676"/>
      <c r="X26" s="676"/>
      <c r="Y26" s="676"/>
      <c r="Z26" s="676"/>
      <c r="AA26" s="676"/>
    </row>
    <row r="27" spans="1:27">
      <c r="A27" s="381">
        <v>3.5</v>
      </c>
      <c r="B27" s="401" t="s">
        <v>443</v>
      </c>
      <c r="C27" s="733">
        <v>19983011</v>
      </c>
      <c r="D27" s="732">
        <v>19983011</v>
      </c>
      <c r="E27" s="676"/>
      <c r="F27" s="676"/>
      <c r="G27" s="676"/>
      <c r="H27" s="675"/>
      <c r="I27" s="676"/>
      <c r="J27" s="676"/>
      <c r="K27" s="676"/>
      <c r="L27" s="675"/>
      <c r="M27" s="676"/>
      <c r="N27" s="676"/>
      <c r="O27" s="676"/>
      <c r="P27" s="676"/>
      <c r="Q27" s="676"/>
      <c r="R27" s="676"/>
      <c r="S27" s="676"/>
      <c r="T27" s="675"/>
      <c r="U27" s="676"/>
      <c r="V27" s="676"/>
      <c r="W27" s="676"/>
      <c r="X27" s="676"/>
      <c r="Y27" s="676"/>
      <c r="Z27" s="676"/>
      <c r="AA27" s="676"/>
    </row>
    <row r="28" spans="1:27">
      <c r="A28" s="381">
        <v>3.6</v>
      </c>
      <c r="B28" s="401" t="s">
        <v>444</v>
      </c>
      <c r="C28" s="733">
        <v>365291953</v>
      </c>
      <c r="D28" s="732"/>
      <c r="E28" s="676"/>
      <c r="F28" s="676"/>
      <c r="G28" s="676"/>
      <c r="H28" s="675"/>
      <c r="I28" s="676"/>
      <c r="J28" s="676"/>
      <c r="K28" s="676"/>
      <c r="L28" s="675"/>
      <c r="M28" s="676"/>
      <c r="N28" s="676"/>
      <c r="O28" s="676"/>
      <c r="P28" s="676"/>
      <c r="Q28" s="676"/>
      <c r="R28" s="676"/>
      <c r="S28" s="676"/>
      <c r="T28" s="675"/>
      <c r="U28" s="676"/>
      <c r="V28" s="676"/>
      <c r="W28" s="676"/>
      <c r="X28" s="676"/>
      <c r="Y28" s="676"/>
      <c r="Z28" s="676"/>
      <c r="AA28" s="676"/>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C8" sqref="C8"/>
    </sheetView>
  </sheetViews>
  <sheetFormatPr defaultColWidth="9.21875" defaultRowHeight="12"/>
  <cols>
    <col min="1" max="1" width="11.77734375" style="392" bestFit="1" customWidth="1"/>
    <col min="2" max="2" width="90.21875" style="392" bestFit="1" customWidth="1"/>
    <col min="3" max="3" width="20.21875" style="392" customWidth="1"/>
    <col min="4" max="4" width="22.21875" style="392" customWidth="1"/>
    <col min="5" max="7" width="17.109375" style="392" customWidth="1"/>
    <col min="8" max="8" width="22.21875" style="392" customWidth="1"/>
    <col min="9" max="10" width="17.109375" style="392" customWidth="1"/>
    <col min="11" max="27" width="22.21875" style="392" customWidth="1"/>
    <col min="28" max="16384" width="9.21875" style="392"/>
  </cols>
  <sheetData>
    <row r="1" spans="1:27" ht="13.8">
      <c r="A1" s="308" t="s">
        <v>31</v>
      </c>
      <c r="B1" s="378" t="str">
        <f>'Info '!C2</f>
        <v>JSC "CREDOBANK"</v>
      </c>
    </row>
    <row r="2" spans="1:27">
      <c r="A2" s="308" t="s">
        <v>32</v>
      </c>
      <c r="B2" s="377">
        <f>'1. key ratios '!B2</f>
        <v>45838</v>
      </c>
    </row>
    <row r="3" spans="1:27">
      <c r="A3" s="309" t="s">
        <v>447</v>
      </c>
      <c r="C3" s="394"/>
    </row>
    <row r="4" spans="1:27" ht="12.6" thickBot="1">
      <c r="A4" s="309"/>
      <c r="B4" s="394"/>
      <c r="C4" s="394"/>
    </row>
    <row r="5" spans="1:27" ht="13.5" customHeight="1">
      <c r="A5" s="851" t="s">
        <v>653</v>
      </c>
      <c r="B5" s="852"/>
      <c r="C5" s="860" t="s">
        <v>652</v>
      </c>
      <c r="D5" s="861"/>
      <c r="E5" s="861"/>
      <c r="F5" s="861"/>
      <c r="G5" s="861"/>
      <c r="H5" s="861"/>
      <c r="I5" s="861"/>
      <c r="J5" s="861"/>
      <c r="K5" s="861"/>
      <c r="L5" s="861"/>
      <c r="M5" s="861"/>
      <c r="N5" s="861"/>
      <c r="O5" s="861"/>
      <c r="P5" s="861"/>
      <c r="Q5" s="861"/>
      <c r="R5" s="861"/>
      <c r="S5" s="862"/>
      <c r="T5" s="416"/>
      <c r="U5" s="416"/>
      <c r="V5" s="416"/>
      <c r="W5" s="416"/>
      <c r="X5" s="416"/>
      <c r="Y5" s="416"/>
      <c r="Z5" s="416"/>
      <c r="AA5" s="415"/>
    </row>
    <row r="6" spans="1:27" ht="12" customHeight="1">
      <c r="A6" s="853"/>
      <c r="B6" s="854"/>
      <c r="C6" s="857" t="s">
        <v>65</v>
      </c>
      <c r="D6" s="849" t="s">
        <v>649</v>
      </c>
      <c r="E6" s="849"/>
      <c r="F6" s="849"/>
      <c r="G6" s="849"/>
      <c r="H6" s="849" t="s">
        <v>648</v>
      </c>
      <c r="I6" s="849"/>
      <c r="J6" s="849"/>
      <c r="K6" s="849"/>
      <c r="L6" s="413"/>
      <c r="M6" s="850" t="s">
        <v>647</v>
      </c>
      <c r="N6" s="850"/>
      <c r="O6" s="850"/>
      <c r="P6" s="850"/>
      <c r="Q6" s="850"/>
      <c r="R6" s="850"/>
      <c r="S6" s="859"/>
      <c r="T6" s="416"/>
      <c r="U6" s="838" t="s">
        <v>646</v>
      </c>
      <c r="V6" s="838"/>
      <c r="W6" s="838"/>
      <c r="X6" s="838"/>
      <c r="Y6" s="838"/>
      <c r="Z6" s="838"/>
      <c r="AA6" s="831"/>
    </row>
    <row r="7" spans="1:27" ht="24">
      <c r="A7" s="855"/>
      <c r="B7" s="856"/>
      <c r="C7" s="858"/>
      <c r="D7" s="412"/>
      <c r="E7" s="389" t="s">
        <v>437</v>
      </c>
      <c r="F7" s="389" t="s">
        <v>644</v>
      </c>
      <c r="G7" s="391" t="s">
        <v>645</v>
      </c>
      <c r="H7" s="393"/>
      <c r="I7" s="389" t="s">
        <v>437</v>
      </c>
      <c r="J7" s="389" t="s">
        <v>644</v>
      </c>
      <c r="K7" s="391" t="s">
        <v>645</v>
      </c>
      <c r="L7" s="411"/>
      <c r="M7" s="389" t="s">
        <v>437</v>
      </c>
      <c r="N7" s="389" t="s">
        <v>644</v>
      </c>
      <c r="O7" s="389" t="s">
        <v>643</v>
      </c>
      <c r="P7" s="389" t="s">
        <v>642</v>
      </c>
      <c r="Q7" s="389" t="s">
        <v>641</v>
      </c>
      <c r="R7" s="389" t="s">
        <v>640</v>
      </c>
      <c r="S7" s="437" t="s">
        <v>639</v>
      </c>
      <c r="T7" s="436"/>
      <c r="U7" s="389" t="s">
        <v>437</v>
      </c>
      <c r="V7" s="389" t="s">
        <v>644</v>
      </c>
      <c r="W7" s="389" t="s">
        <v>643</v>
      </c>
      <c r="X7" s="389" t="s">
        <v>642</v>
      </c>
      <c r="Y7" s="389" t="s">
        <v>641</v>
      </c>
      <c r="Z7" s="389" t="s">
        <v>640</v>
      </c>
      <c r="AA7" s="389" t="s">
        <v>639</v>
      </c>
    </row>
    <row r="8" spans="1:27">
      <c r="A8" s="435">
        <v>1</v>
      </c>
      <c r="B8" s="434" t="s">
        <v>438</v>
      </c>
      <c r="C8" s="677">
        <f>D8+H8+L8+T8</f>
        <v>2775593587.2120032</v>
      </c>
      <c r="D8" s="728">
        <v>2637916856.1473007</v>
      </c>
      <c r="E8" s="728">
        <v>16589682.029342555</v>
      </c>
      <c r="F8" s="728">
        <v>0</v>
      </c>
      <c r="G8" s="728">
        <v>0</v>
      </c>
      <c r="H8" s="728">
        <v>110946387.55053005</v>
      </c>
      <c r="I8" s="728">
        <v>6131940.318893115</v>
      </c>
      <c r="J8" s="728">
        <v>20452347.282342128</v>
      </c>
      <c r="K8" s="728">
        <v>0</v>
      </c>
      <c r="L8" s="728">
        <v>26689903.326677263</v>
      </c>
      <c r="M8" s="728">
        <v>543693.07684660854</v>
      </c>
      <c r="N8" s="728">
        <v>1070527.5371640532</v>
      </c>
      <c r="O8" s="728">
        <v>20935695.077774312</v>
      </c>
      <c r="P8" s="728">
        <v>0</v>
      </c>
      <c r="Q8" s="728">
        <v>0</v>
      </c>
      <c r="R8" s="728">
        <v>0</v>
      </c>
      <c r="S8" s="728">
        <v>0</v>
      </c>
      <c r="T8" s="728">
        <v>40440.187495388134</v>
      </c>
      <c r="U8" s="728">
        <v>0</v>
      </c>
      <c r="V8" s="728">
        <v>0</v>
      </c>
      <c r="W8" s="728">
        <v>0</v>
      </c>
      <c r="X8" s="728">
        <v>0</v>
      </c>
      <c r="Y8" s="728">
        <v>0</v>
      </c>
      <c r="Z8" s="728">
        <v>0</v>
      </c>
      <c r="AA8" s="734">
        <v>0</v>
      </c>
    </row>
    <row r="9" spans="1:27">
      <c r="A9" s="427">
        <v>1.1000000000000001</v>
      </c>
      <c r="B9" s="433" t="s">
        <v>448</v>
      </c>
      <c r="C9" s="678">
        <f>D9+H9+L9+T9</f>
        <v>1077778704.0025909</v>
      </c>
      <c r="D9" s="728">
        <v>1055832554.6727499</v>
      </c>
      <c r="E9" s="728">
        <v>5732391.7204761365</v>
      </c>
      <c r="F9" s="728">
        <v>0</v>
      </c>
      <c r="G9" s="728">
        <v>0</v>
      </c>
      <c r="H9" s="728">
        <v>17772366.734769955</v>
      </c>
      <c r="I9" s="728">
        <v>604919.91996517079</v>
      </c>
      <c r="J9" s="728">
        <v>3179106.2063253578</v>
      </c>
      <c r="K9" s="728">
        <v>0</v>
      </c>
      <c r="L9" s="728">
        <v>4173782.595071123</v>
      </c>
      <c r="M9" s="728">
        <v>247141.01506741837</v>
      </c>
      <c r="N9" s="728">
        <v>167997.02494152306</v>
      </c>
      <c r="O9" s="728">
        <v>3318847.3814176545</v>
      </c>
      <c r="P9" s="728">
        <v>0</v>
      </c>
      <c r="Q9" s="728">
        <v>0</v>
      </c>
      <c r="R9" s="728">
        <v>0</v>
      </c>
      <c r="S9" s="728">
        <v>0</v>
      </c>
      <c r="T9" s="728">
        <v>0</v>
      </c>
      <c r="U9" s="728">
        <v>0</v>
      </c>
      <c r="V9" s="728">
        <v>0</v>
      </c>
      <c r="W9" s="728">
        <v>0</v>
      </c>
      <c r="X9" s="728">
        <v>0</v>
      </c>
      <c r="Y9" s="728">
        <v>0</v>
      </c>
      <c r="Z9" s="728">
        <v>0</v>
      </c>
      <c r="AA9" s="734">
        <v>0</v>
      </c>
    </row>
    <row r="10" spans="1:27">
      <c r="A10" s="431" t="s">
        <v>15</v>
      </c>
      <c r="B10" s="432" t="s">
        <v>449</v>
      </c>
      <c r="C10" s="735">
        <f>SUM(C11:C14)</f>
        <v>960640604.81663501</v>
      </c>
      <c r="D10" s="735">
        <f t="shared" ref="D10:AA10" si="0">SUM(D11:D14)</f>
        <v>944006541.32674158</v>
      </c>
      <c r="E10" s="735">
        <f t="shared" si="0"/>
        <v>4540189.2051537922</v>
      </c>
      <c r="F10" s="735">
        <f t="shared" si="0"/>
        <v>0</v>
      </c>
      <c r="G10" s="735">
        <f t="shared" si="0"/>
        <v>0</v>
      </c>
      <c r="H10" s="735">
        <f t="shared" si="0"/>
        <v>14941394.544224791</v>
      </c>
      <c r="I10" s="735">
        <f t="shared" si="0"/>
        <v>489625.93656611029</v>
      </c>
      <c r="J10" s="735">
        <f t="shared" si="0"/>
        <v>1720118.5434514342</v>
      </c>
      <c r="K10" s="735">
        <f t="shared" si="0"/>
        <v>118274.75250504199</v>
      </c>
      <c r="L10" s="735">
        <f t="shared" si="0"/>
        <v>1692668.945668699</v>
      </c>
      <c r="M10" s="735">
        <f t="shared" si="0"/>
        <v>230610.48928952101</v>
      </c>
      <c r="N10" s="735">
        <f t="shared" si="0"/>
        <v>19538.021973236198</v>
      </c>
      <c r="O10" s="735">
        <f t="shared" si="0"/>
        <v>1144226.0145377852</v>
      </c>
      <c r="P10" s="735">
        <f t="shared" si="0"/>
        <v>0</v>
      </c>
      <c r="Q10" s="735">
        <f t="shared" si="0"/>
        <v>0</v>
      </c>
      <c r="R10" s="735">
        <f t="shared" si="0"/>
        <v>0</v>
      </c>
      <c r="S10" s="735">
        <f t="shared" si="0"/>
        <v>0</v>
      </c>
      <c r="T10" s="735">
        <f t="shared" si="0"/>
        <v>0</v>
      </c>
      <c r="U10" s="735">
        <f t="shared" si="0"/>
        <v>0</v>
      </c>
      <c r="V10" s="735">
        <f t="shared" si="0"/>
        <v>0</v>
      </c>
      <c r="W10" s="735">
        <f t="shared" si="0"/>
        <v>0</v>
      </c>
      <c r="X10" s="735">
        <f t="shared" si="0"/>
        <v>0</v>
      </c>
      <c r="Y10" s="735">
        <f t="shared" si="0"/>
        <v>0</v>
      </c>
      <c r="Z10" s="735">
        <f t="shared" si="0"/>
        <v>0</v>
      </c>
      <c r="AA10" s="735">
        <f t="shared" si="0"/>
        <v>0</v>
      </c>
    </row>
    <row r="11" spans="1:27">
      <c r="A11" s="429" t="s">
        <v>450</v>
      </c>
      <c r="B11" s="430" t="s">
        <v>451</v>
      </c>
      <c r="C11" s="736">
        <v>558548254.37163198</v>
      </c>
      <c r="D11" s="728">
        <v>552320928.91708982</v>
      </c>
      <c r="E11" s="728">
        <v>3015781.0213068607</v>
      </c>
      <c r="F11" s="728">
        <v>0</v>
      </c>
      <c r="G11" s="728">
        <v>0</v>
      </c>
      <c r="H11" s="728">
        <v>5286103.6068592407</v>
      </c>
      <c r="I11" s="728">
        <v>149523.64843446651</v>
      </c>
      <c r="J11" s="728">
        <v>828517.07615903427</v>
      </c>
      <c r="K11" s="728">
        <v>0</v>
      </c>
      <c r="L11" s="728">
        <v>941221.84768299072</v>
      </c>
      <c r="M11" s="728">
        <v>230610.48928952101</v>
      </c>
      <c r="N11" s="728">
        <v>0</v>
      </c>
      <c r="O11" s="728">
        <v>422191.92749810044</v>
      </c>
      <c r="P11" s="728">
        <v>0</v>
      </c>
      <c r="Q11" s="728">
        <v>0</v>
      </c>
      <c r="R11" s="728">
        <v>0</v>
      </c>
      <c r="S11" s="728">
        <v>0</v>
      </c>
      <c r="T11" s="728">
        <v>0</v>
      </c>
      <c r="U11" s="728">
        <v>0</v>
      </c>
      <c r="V11" s="728">
        <v>0</v>
      </c>
      <c r="W11" s="728">
        <v>0</v>
      </c>
      <c r="X11" s="728">
        <v>0</v>
      </c>
      <c r="Y11" s="728">
        <v>0</v>
      </c>
      <c r="Z11" s="728">
        <v>0</v>
      </c>
      <c r="AA11" s="734">
        <v>0</v>
      </c>
    </row>
    <row r="12" spans="1:27">
      <c r="A12" s="429" t="s">
        <v>452</v>
      </c>
      <c r="B12" s="430" t="s">
        <v>453</v>
      </c>
      <c r="C12" s="736">
        <v>215470633.08463171</v>
      </c>
      <c r="D12" s="728">
        <v>211993771.77796081</v>
      </c>
      <c r="E12" s="728">
        <v>784029.78348625125</v>
      </c>
      <c r="F12" s="728">
        <v>0</v>
      </c>
      <c r="G12" s="728">
        <v>0</v>
      </c>
      <c r="H12" s="728">
        <v>3331280.5469455165</v>
      </c>
      <c r="I12" s="728">
        <v>170246.903557927</v>
      </c>
      <c r="J12" s="728">
        <v>695723.41235851648</v>
      </c>
      <c r="K12" s="728">
        <v>0</v>
      </c>
      <c r="L12" s="728">
        <v>145580.75972538796</v>
      </c>
      <c r="M12" s="728">
        <v>0</v>
      </c>
      <c r="N12" s="728">
        <v>0</v>
      </c>
      <c r="O12" s="728">
        <v>135705.77075260071</v>
      </c>
      <c r="P12" s="728">
        <v>0</v>
      </c>
      <c r="Q12" s="728">
        <v>0</v>
      </c>
      <c r="R12" s="728">
        <v>0</v>
      </c>
      <c r="S12" s="728">
        <v>0</v>
      </c>
      <c r="T12" s="728">
        <v>0</v>
      </c>
      <c r="U12" s="728">
        <v>0</v>
      </c>
      <c r="V12" s="728">
        <v>0</v>
      </c>
      <c r="W12" s="728">
        <v>0</v>
      </c>
      <c r="X12" s="728">
        <v>0</v>
      </c>
      <c r="Y12" s="728">
        <v>0</v>
      </c>
      <c r="Z12" s="728">
        <v>0</v>
      </c>
      <c r="AA12" s="734">
        <v>0</v>
      </c>
    </row>
    <row r="13" spans="1:27">
      <c r="A13" s="429" t="s">
        <v>454</v>
      </c>
      <c r="B13" s="430" t="s">
        <v>455</v>
      </c>
      <c r="C13" s="736">
        <v>93181877.521496311</v>
      </c>
      <c r="D13" s="728">
        <v>90965433.265032575</v>
      </c>
      <c r="E13" s="728">
        <v>377449.30335383769</v>
      </c>
      <c r="F13" s="728">
        <v>0</v>
      </c>
      <c r="G13" s="728">
        <v>0</v>
      </c>
      <c r="H13" s="728">
        <v>1663072.6845279806</v>
      </c>
      <c r="I13" s="728">
        <v>0</v>
      </c>
      <c r="J13" s="728">
        <v>77603.302428841693</v>
      </c>
      <c r="K13" s="728">
        <v>0</v>
      </c>
      <c r="L13" s="728">
        <v>553371.57193576521</v>
      </c>
      <c r="M13" s="728">
        <v>0</v>
      </c>
      <c r="N13" s="728">
        <v>19538.021973236198</v>
      </c>
      <c r="O13" s="728">
        <v>533833.54996252898</v>
      </c>
      <c r="P13" s="728">
        <v>0</v>
      </c>
      <c r="Q13" s="728">
        <v>0</v>
      </c>
      <c r="R13" s="728">
        <v>0</v>
      </c>
      <c r="S13" s="728">
        <v>0</v>
      </c>
      <c r="T13" s="728">
        <v>0</v>
      </c>
      <c r="U13" s="728">
        <v>0</v>
      </c>
      <c r="V13" s="728">
        <v>0</v>
      </c>
      <c r="W13" s="728">
        <v>0</v>
      </c>
      <c r="X13" s="728">
        <v>0</v>
      </c>
      <c r="Y13" s="728">
        <v>0</v>
      </c>
      <c r="Z13" s="728">
        <v>0</v>
      </c>
      <c r="AA13" s="734">
        <v>0</v>
      </c>
    </row>
    <row r="14" spans="1:27">
      <c r="A14" s="429" t="s">
        <v>456</v>
      </c>
      <c r="B14" s="430" t="s">
        <v>457</v>
      </c>
      <c r="C14" s="736">
        <v>93439839.83887507</v>
      </c>
      <c r="D14" s="728">
        <v>88726407.366658464</v>
      </c>
      <c r="E14" s="728">
        <v>362929.09700684267</v>
      </c>
      <c r="F14" s="728">
        <v>0</v>
      </c>
      <c r="G14" s="728">
        <v>0</v>
      </c>
      <c r="H14" s="728">
        <v>4660937.7058920534</v>
      </c>
      <c r="I14" s="728">
        <v>169855.38457371679</v>
      </c>
      <c r="J14" s="728">
        <v>118274.75250504199</v>
      </c>
      <c r="K14" s="728">
        <v>118274.75250504199</v>
      </c>
      <c r="L14" s="728">
        <v>52494.766324555101</v>
      </c>
      <c r="M14" s="728">
        <v>0</v>
      </c>
      <c r="N14" s="728">
        <v>0</v>
      </c>
      <c r="O14" s="728">
        <v>52494.766324555101</v>
      </c>
      <c r="P14" s="728">
        <v>0</v>
      </c>
      <c r="Q14" s="728">
        <v>0</v>
      </c>
      <c r="R14" s="728">
        <v>0</v>
      </c>
      <c r="S14" s="728">
        <v>0</v>
      </c>
      <c r="T14" s="728">
        <v>0</v>
      </c>
      <c r="U14" s="728">
        <v>0</v>
      </c>
      <c r="V14" s="728">
        <v>0</v>
      </c>
      <c r="W14" s="728">
        <v>0</v>
      </c>
      <c r="X14" s="728">
        <v>0</v>
      </c>
      <c r="Y14" s="728">
        <v>0</v>
      </c>
      <c r="Z14" s="728">
        <v>0</v>
      </c>
      <c r="AA14" s="734">
        <v>0</v>
      </c>
    </row>
    <row r="15" spans="1:27">
      <c r="A15" s="428">
        <v>1.2</v>
      </c>
      <c r="B15" s="426" t="s">
        <v>651</v>
      </c>
      <c r="C15" s="737">
        <v>10430445.266319593</v>
      </c>
      <c r="D15" s="728">
        <v>4649623.4333718587</v>
      </c>
      <c r="E15" s="728">
        <v>902982.25001144642</v>
      </c>
      <c r="F15" s="728">
        <v>0</v>
      </c>
      <c r="G15" s="728">
        <v>0</v>
      </c>
      <c r="H15" s="728">
        <v>2945866.902777167</v>
      </c>
      <c r="I15" s="728">
        <v>134308.64726744857</v>
      </c>
      <c r="J15" s="728">
        <v>1241535.0224661608</v>
      </c>
      <c r="K15" s="728">
        <v>0</v>
      </c>
      <c r="L15" s="728">
        <v>2834954.9301705682</v>
      </c>
      <c r="M15" s="728">
        <v>157942.96959932227</v>
      </c>
      <c r="N15" s="728">
        <v>118067.86700069466</v>
      </c>
      <c r="O15" s="728">
        <v>2254257.9525815705</v>
      </c>
      <c r="P15" s="728">
        <v>0</v>
      </c>
      <c r="Q15" s="728">
        <v>0</v>
      </c>
      <c r="R15" s="728">
        <v>0</v>
      </c>
      <c r="S15" s="728">
        <v>0</v>
      </c>
      <c r="T15" s="728">
        <v>0</v>
      </c>
      <c r="U15" s="728">
        <v>0</v>
      </c>
      <c r="V15" s="728">
        <v>0</v>
      </c>
      <c r="W15" s="728">
        <v>0</v>
      </c>
      <c r="X15" s="728">
        <v>0</v>
      </c>
      <c r="Y15" s="728">
        <v>0</v>
      </c>
      <c r="Z15" s="728">
        <v>0</v>
      </c>
      <c r="AA15" s="734">
        <v>0</v>
      </c>
    </row>
    <row r="16" spans="1:27">
      <c r="A16" s="427">
        <v>1.3</v>
      </c>
      <c r="B16" s="426" t="s">
        <v>496</v>
      </c>
      <c r="C16" s="738"/>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40"/>
    </row>
    <row r="17" spans="1:27">
      <c r="A17" s="423" t="s">
        <v>458</v>
      </c>
      <c r="B17" s="425" t="s">
        <v>459</v>
      </c>
      <c r="C17" s="677">
        <f>D17+H17+L17+T17</f>
        <v>1059816497.7027211</v>
      </c>
      <c r="D17" s="728">
        <v>1038752430.6660709</v>
      </c>
      <c r="E17" s="728">
        <v>5710966.1444347929</v>
      </c>
      <c r="F17" s="728">
        <v>0</v>
      </c>
      <c r="G17" s="728">
        <v>0</v>
      </c>
      <c r="H17" s="728">
        <v>17193888.936029289</v>
      </c>
      <c r="I17" s="728">
        <v>593729.11121153634</v>
      </c>
      <c r="J17" s="728">
        <v>3155138.5223478526</v>
      </c>
      <c r="K17" s="728">
        <v>0</v>
      </c>
      <c r="L17" s="728">
        <v>3870178.1006208519</v>
      </c>
      <c r="M17" s="728">
        <v>247141.01506741837</v>
      </c>
      <c r="N17" s="728">
        <v>167997.02494152306</v>
      </c>
      <c r="O17" s="728">
        <v>3021667.7406747355</v>
      </c>
      <c r="P17" s="728">
        <v>0</v>
      </c>
      <c r="Q17" s="728">
        <v>0</v>
      </c>
      <c r="R17" s="728">
        <v>0</v>
      </c>
      <c r="S17" s="728">
        <v>0</v>
      </c>
      <c r="T17" s="728">
        <v>0</v>
      </c>
      <c r="U17" s="728">
        <v>0</v>
      </c>
      <c r="V17" s="728">
        <v>0</v>
      </c>
      <c r="W17" s="728">
        <v>0</v>
      </c>
      <c r="X17" s="728">
        <v>0</v>
      </c>
      <c r="Y17" s="728">
        <v>0</v>
      </c>
      <c r="Z17" s="728">
        <v>0</v>
      </c>
      <c r="AA17" s="734">
        <v>0</v>
      </c>
    </row>
    <row r="18" spans="1:27">
      <c r="A18" s="421" t="s">
        <v>460</v>
      </c>
      <c r="B18" s="422" t="s">
        <v>461</v>
      </c>
      <c r="C18" s="677">
        <f t="shared" ref="C18:C22" si="1">D18+H18+L18+T18</f>
        <v>936797906.89899886</v>
      </c>
      <c r="D18" s="728">
        <v>921024181.11692142</v>
      </c>
      <c r="E18" s="728">
        <v>4479203.2567504831</v>
      </c>
      <c r="F18" s="728">
        <v>0</v>
      </c>
      <c r="G18" s="728">
        <v>0</v>
      </c>
      <c r="H18" s="728">
        <v>14098144.802733283</v>
      </c>
      <c r="I18" s="728">
        <v>485040.21021472127</v>
      </c>
      <c r="J18" s="728">
        <v>1624843.7909463926</v>
      </c>
      <c r="K18" s="728">
        <v>0</v>
      </c>
      <c r="L18" s="728">
        <v>1675580.979344144</v>
      </c>
      <c r="M18" s="728">
        <v>230610.48928952101</v>
      </c>
      <c r="N18" s="728">
        <v>19538.021973236198</v>
      </c>
      <c r="O18" s="728">
        <v>1127138.0482132302</v>
      </c>
      <c r="P18" s="728">
        <v>0</v>
      </c>
      <c r="Q18" s="728">
        <v>0</v>
      </c>
      <c r="R18" s="728">
        <v>0</v>
      </c>
      <c r="S18" s="728">
        <v>0</v>
      </c>
      <c r="T18" s="728">
        <v>0</v>
      </c>
      <c r="U18" s="728">
        <v>0</v>
      </c>
      <c r="V18" s="728">
        <v>0</v>
      </c>
      <c r="W18" s="728">
        <v>0</v>
      </c>
      <c r="X18" s="728">
        <v>0</v>
      </c>
      <c r="Y18" s="728">
        <v>0</v>
      </c>
      <c r="Z18" s="728">
        <v>0</v>
      </c>
      <c r="AA18" s="734">
        <v>0</v>
      </c>
    </row>
    <row r="19" spans="1:27">
      <c r="A19" s="423" t="s">
        <v>462</v>
      </c>
      <c r="B19" s="424" t="s">
        <v>463</v>
      </c>
      <c r="C19" s="677">
        <f t="shared" si="1"/>
        <v>1171227315.6161375</v>
      </c>
      <c r="D19" s="728">
        <v>1155025401.9901905</v>
      </c>
      <c r="E19" s="728">
        <v>5013176.7912471239</v>
      </c>
      <c r="F19" s="728">
        <v>0</v>
      </c>
      <c r="G19" s="728">
        <v>0</v>
      </c>
      <c r="H19" s="728">
        <v>14400220.006567935</v>
      </c>
      <c r="I19" s="728">
        <v>806006.40408070397</v>
      </c>
      <c r="J19" s="728">
        <v>2204285.262291478</v>
      </c>
      <c r="K19" s="728">
        <v>0</v>
      </c>
      <c r="L19" s="728">
        <v>1801693.6193791484</v>
      </c>
      <c r="M19" s="728">
        <v>135138.1849325817</v>
      </c>
      <c r="N19" s="728">
        <v>47929.008366804213</v>
      </c>
      <c r="O19" s="728">
        <v>1180094.626016937</v>
      </c>
      <c r="P19" s="728">
        <v>0</v>
      </c>
      <c r="Q19" s="728">
        <v>0</v>
      </c>
      <c r="R19" s="728">
        <v>0</v>
      </c>
      <c r="S19" s="728">
        <v>0</v>
      </c>
      <c r="T19" s="728">
        <v>0</v>
      </c>
      <c r="U19" s="728">
        <v>0</v>
      </c>
      <c r="V19" s="728">
        <v>0</v>
      </c>
      <c r="W19" s="728">
        <v>0</v>
      </c>
      <c r="X19" s="728">
        <v>0</v>
      </c>
      <c r="Y19" s="728">
        <v>0</v>
      </c>
      <c r="Z19" s="728">
        <v>0</v>
      </c>
      <c r="AA19" s="734">
        <v>0</v>
      </c>
    </row>
    <row r="20" spans="1:27">
      <c r="A20" s="421" t="s">
        <v>464</v>
      </c>
      <c r="B20" s="422" t="s">
        <v>461</v>
      </c>
      <c r="C20" s="677">
        <f t="shared" si="1"/>
        <v>1049441666.0145577</v>
      </c>
      <c r="D20" s="728">
        <v>1036723210.7848378</v>
      </c>
      <c r="E20" s="728">
        <v>4071387.5189314331</v>
      </c>
      <c r="F20" s="728">
        <v>0</v>
      </c>
      <c r="G20" s="728">
        <v>0</v>
      </c>
      <c r="H20" s="728">
        <v>11396909.48906396</v>
      </c>
      <c r="I20" s="728">
        <v>597388.1074775192</v>
      </c>
      <c r="J20" s="728">
        <v>1458199.993692938</v>
      </c>
      <c r="K20" s="728">
        <v>0</v>
      </c>
      <c r="L20" s="728">
        <v>1321545.7406558557</v>
      </c>
      <c r="M20" s="728">
        <v>101668.710710479</v>
      </c>
      <c r="N20" s="728">
        <v>2748.0113350912402</v>
      </c>
      <c r="O20" s="728">
        <v>911601.31847844273</v>
      </c>
      <c r="P20" s="728">
        <v>0</v>
      </c>
      <c r="Q20" s="728">
        <v>0</v>
      </c>
      <c r="R20" s="728">
        <v>0</v>
      </c>
      <c r="S20" s="728">
        <v>0</v>
      </c>
      <c r="T20" s="728">
        <v>0</v>
      </c>
      <c r="U20" s="728">
        <v>0</v>
      </c>
      <c r="V20" s="728">
        <v>0</v>
      </c>
      <c r="W20" s="728">
        <v>0</v>
      </c>
      <c r="X20" s="728">
        <v>0</v>
      </c>
      <c r="Y20" s="728">
        <v>0</v>
      </c>
      <c r="Z20" s="728">
        <v>0</v>
      </c>
      <c r="AA20" s="734">
        <v>0</v>
      </c>
    </row>
    <row r="21" spans="1:27">
      <c r="A21" s="420">
        <v>1.4</v>
      </c>
      <c r="B21" s="419" t="s">
        <v>465</v>
      </c>
      <c r="C21" s="677">
        <f t="shared" si="1"/>
        <v>60792.117947795196</v>
      </c>
      <c r="D21" s="728">
        <v>60792.117947795196</v>
      </c>
      <c r="E21" s="728">
        <v>0</v>
      </c>
      <c r="F21" s="728">
        <v>0</v>
      </c>
      <c r="G21" s="728">
        <v>0</v>
      </c>
      <c r="H21" s="728">
        <v>0</v>
      </c>
      <c r="I21" s="728">
        <v>0</v>
      </c>
      <c r="J21" s="728">
        <v>0</v>
      </c>
      <c r="K21" s="728">
        <v>0</v>
      </c>
      <c r="L21" s="728">
        <v>0</v>
      </c>
      <c r="M21" s="728">
        <v>0</v>
      </c>
      <c r="N21" s="728">
        <v>0</v>
      </c>
      <c r="O21" s="728">
        <v>0</v>
      </c>
      <c r="P21" s="728">
        <v>0</v>
      </c>
      <c r="Q21" s="728">
        <v>0</v>
      </c>
      <c r="R21" s="728">
        <v>0</v>
      </c>
      <c r="S21" s="728">
        <v>0</v>
      </c>
      <c r="T21" s="728">
        <v>0</v>
      </c>
      <c r="U21" s="728">
        <v>0</v>
      </c>
      <c r="V21" s="728">
        <v>0</v>
      </c>
      <c r="W21" s="728">
        <v>0</v>
      </c>
      <c r="X21" s="728">
        <v>0</v>
      </c>
      <c r="Y21" s="728">
        <v>0</v>
      </c>
      <c r="Z21" s="728">
        <v>0</v>
      </c>
      <c r="AA21" s="734">
        <v>0</v>
      </c>
    </row>
    <row r="22" spans="1:27" ht="12.6" thickBot="1">
      <c r="A22" s="418">
        <v>1.5</v>
      </c>
      <c r="B22" s="417" t="s">
        <v>466</v>
      </c>
      <c r="C22" s="677">
        <f t="shared" si="1"/>
        <v>0</v>
      </c>
      <c r="D22" s="679"/>
      <c r="E22" s="679"/>
      <c r="F22" s="679"/>
      <c r="G22" s="679"/>
      <c r="H22" s="679"/>
      <c r="I22" s="679"/>
      <c r="J22" s="679"/>
      <c r="K22" s="679"/>
      <c r="L22" s="679"/>
      <c r="M22" s="679"/>
      <c r="N22" s="679"/>
      <c r="O22" s="679"/>
      <c r="P22" s="679"/>
      <c r="Q22" s="679"/>
      <c r="R22" s="679"/>
      <c r="S22" s="679"/>
      <c r="T22" s="679"/>
      <c r="U22" s="679"/>
      <c r="V22" s="679"/>
      <c r="W22" s="679"/>
      <c r="X22" s="679"/>
      <c r="Y22" s="679"/>
      <c r="Z22" s="679"/>
      <c r="AA22" s="680"/>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topLeftCell="A7" zoomScale="80" zoomScaleNormal="80" workbookViewId="0">
      <selection activeCell="B10" sqref="B10"/>
    </sheetView>
  </sheetViews>
  <sheetFormatPr defaultColWidth="8.77734375" defaultRowHeight="13.8"/>
  <cols>
    <col min="1" max="1" width="8.77734375" style="525"/>
    <col min="2" max="2" width="69.21875" style="526" customWidth="1"/>
    <col min="3" max="3" width="15.44140625" style="494" bestFit="1" customWidth="1"/>
    <col min="4" max="4" width="14.44140625" style="494" customWidth="1"/>
    <col min="5" max="5" width="13.21875" style="494" customWidth="1"/>
    <col min="6" max="6" width="13.88671875" style="494" bestFit="1" customWidth="1"/>
    <col min="7" max="8" width="13.21875" style="494" customWidth="1"/>
    <col min="9" max="16384" width="8.77734375" style="494"/>
  </cols>
  <sheetData>
    <row r="1" spans="1:8">
      <c r="A1" s="132" t="s">
        <v>31</v>
      </c>
      <c r="B1" s="493" t="str">
        <f>'Info '!C2</f>
        <v>JSC "CREDOBANK"</v>
      </c>
      <c r="C1" s="493"/>
    </row>
    <row r="2" spans="1:8">
      <c r="A2" s="132" t="s">
        <v>32</v>
      </c>
      <c r="B2" s="495">
        <f>'1. key ratios '!B2</f>
        <v>45838</v>
      </c>
      <c r="C2" s="493"/>
    </row>
    <row r="3" spans="1:8">
      <c r="A3" s="132"/>
      <c r="B3" s="493"/>
      <c r="C3" s="493"/>
    </row>
    <row r="4" spans="1:8" ht="21" customHeight="1">
      <c r="A4" s="755" t="s">
        <v>7</v>
      </c>
      <c r="B4" s="756" t="s">
        <v>522</v>
      </c>
      <c r="C4" s="758" t="s">
        <v>523</v>
      </c>
      <c r="D4" s="758"/>
      <c r="E4" s="758"/>
      <c r="F4" s="758" t="s">
        <v>524</v>
      </c>
      <c r="G4" s="758"/>
      <c r="H4" s="759"/>
    </row>
    <row r="5" spans="1:8" ht="21" customHeight="1">
      <c r="A5" s="755"/>
      <c r="B5" s="757"/>
      <c r="C5" s="496" t="s">
        <v>33</v>
      </c>
      <c r="D5" s="496" t="s">
        <v>34</v>
      </c>
      <c r="E5" s="496" t="s">
        <v>35</v>
      </c>
      <c r="F5" s="496" t="s">
        <v>33</v>
      </c>
      <c r="G5" s="496" t="s">
        <v>34</v>
      </c>
      <c r="H5" s="496" t="s">
        <v>35</v>
      </c>
    </row>
    <row r="6" spans="1:8" ht="26.55" customHeight="1">
      <c r="A6" s="755"/>
      <c r="B6" s="497" t="s">
        <v>525</v>
      </c>
      <c r="C6" s="760"/>
      <c r="D6" s="761"/>
      <c r="E6" s="761"/>
      <c r="F6" s="761"/>
      <c r="G6" s="761"/>
      <c r="H6" s="762"/>
    </row>
    <row r="7" spans="1:8" ht="22.95" customHeight="1">
      <c r="A7" s="498">
        <v>1</v>
      </c>
      <c r="B7" s="499" t="s">
        <v>526</v>
      </c>
      <c r="C7" s="689">
        <f>SUM(C8:C10)</f>
        <v>293062810.35000002</v>
      </c>
      <c r="D7" s="689">
        <f>SUM(D8:D10)</f>
        <v>198086075.55338246</v>
      </c>
      <c r="E7" s="597">
        <f>C7+D7</f>
        <v>491148885.90338248</v>
      </c>
      <c r="F7" s="690">
        <f>SUM(F8:F10)</f>
        <v>185397966.5</v>
      </c>
      <c r="G7" s="690">
        <f>SUM(G8:G10)</f>
        <v>171109276.51999998</v>
      </c>
      <c r="H7" s="597">
        <f>F7+G7</f>
        <v>356507243.01999998</v>
      </c>
    </row>
    <row r="8" spans="1:8" ht="14.4">
      <c r="A8" s="498">
        <v>1.1000000000000001</v>
      </c>
      <c r="B8" s="500" t="s">
        <v>527</v>
      </c>
      <c r="C8" s="596">
        <v>59745103.449999996</v>
      </c>
      <c r="D8" s="596">
        <v>45160966.380000003</v>
      </c>
      <c r="E8" s="597">
        <f t="shared" ref="E8:E36" si="0">C8+D8</f>
        <v>104906069.83</v>
      </c>
      <c r="F8" s="602">
        <v>48554469.75</v>
      </c>
      <c r="G8" s="602">
        <v>40279658.359999999</v>
      </c>
      <c r="H8" s="597">
        <f t="shared" ref="H8:H36" si="1">F8+G8</f>
        <v>88834128.109999999</v>
      </c>
    </row>
    <row r="9" spans="1:8" ht="14.4">
      <c r="A9" s="498">
        <v>1.2</v>
      </c>
      <c r="B9" s="500" t="s">
        <v>792</v>
      </c>
      <c r="C9" s="596">
        <v>231569818.48999998</v>
      </c>
      <c r="D9" s="596">
        <v>65427754.559999973</v>
      </c>
      <c r="E9" s="597">
        <f t="shared" si="0"/>
        <v>296997573.04999995</v>
      </c>
      <c r="F9" s="602">
        <v>136315599.5</v>
      </c>
      <c r="G9" s="602">
        <v>51420799.060000002</v>
      </c>
      <c r="H9" s="597">
        <f t="shared" si="1"/>
        <v>187736398.56</v>
      </c>
    </row>
    <row r="10" spans="1:8" ht="14.4">
      <c r="A10" s="498">
        <v>1.3</v>
      </c>
      <c r="B10" s="500" t="s">
        <v>529</v>
      </c>
      <c r="C10" s="596">
        <v>1747888.41</v>
      </c>
      <c r="D10" s="596">
        <v>87497354.613382488</v>
      </c>
      <c r="E10" s="597">
        <f t="shared" si="0"/>
        <v>89245243.023382485</v>
      </c>
      <c r="F10" s="602">
        <v>527897.25</v>
      </c>
      <c r="G10" s="602">
        <v>79408819.099999994</v>
      </c>
      <c r="H10" s="597">
        <f t="shared" si="1"/>
        <v>79936716.349999994</v>
      </c>
    </row>
    <row r="11" spans="1:8" ht="14.4">
      <c r="A11" s="498">
        <v>2</v>
      </c>
      <c r="B11" s="501" t="s">
        <v>530</v>
      </c>
      <c r="C11" s="689">
        <v>2958401.69</v>
      </c>
      <c r="D11" s="596">
        <v>0</v>
      </c>
      <c r="E11" s="597">
        <f t="shared" si="0"/>
        <v>2958401.69</v>
      </c>
      <c r="F11" s="690">
        <v>906908.67</v>
      </c>
      <c r="G11" s="531"/>
      <c r="H11" s="597">
        <f t="shared" si="1"/>
        <v>906908.67</v>
      </c>
    </row>
    <row r="12" spans="1:8" ht="14.4">
      <c r="A12" s="498">
        <v>2.1</v>
      </c>
      <c r="B12" s="502" t="s">
        <v>531</v>
      </c>
      <c r="C12" s="596">
        <v>2958401.69</v>
      </c>
      <c r="D12" s="596">
        <v>0</v>
      </c>
      <c r="E12" s="597">
        <f t="shared" si="0"/>
        <v>2958401.69</v>
      </c>
      <c r="F12" s="602">
        <v>906908.67</v>
      </c>
      <c r="G12" s="531"/>
      <c r="H12" s="597">
        <f t="shared" si="1"/>
        <v>906908.67</v>
      </c>
    </row>
    <row r="13" spans="1:8" ht="26.55" customHeight="1">
      <c r="A13" s="498">
        <v>3</v>
      </c>
      <c r="B13" s="503" t="s">
        <v>532</v>
      </c>
      <c r="C13" s="596"/>
      <c r="D13" s="596"/>
      <c r="E13" s="597">
        <f t="shared" si="0"/>
        <v>0</v>
      </c>
      <c r="F13" s="531"/>
      <c r="G13" s="531"/>
      <c r="H13" s="597">
        <f t="shared" si="1"/>
        <v>0</v>
      </c>
    </row>
    <row r="14" spans="1:8" ht="26.55" customHeight="1">
      <c r="A14" s="498">
        <v>4</v>
      </c>
      <c r="B14" s="504" t="s">
        <v>533</v>
      </c>
      <c r="C14" s="596"/>
      <c r="D14" s="596"/>
      <c r="E14" s="597">
        <f t="shared" si="0"/>
        <v>0</v>
      </c>
      <c r="F14" s="531"/>
      <c r="G14" s="531"/>
      <c r="H14" s="597">
        <f t="shared" si="1"/>
        <v>0</v>
      </c>
    </row>
    <row r="15" spans="1:8" ht="24.45" customHeight="1">
      <c r="A15" s="498">
        <v>5</v>
      </c>
      <c r="B15" s="505" t="s">
        <v>534</v>
      </c>
      <c r="C15" s="598">
        <f>SUM(C16:C18)</f>
        <v>0</v>
      </c>
      <c r="D15" s="598">
        <f>SUM(D16:D18)</f>
        <v>0</v>
      </c>
      <c r="E15" s="599">
        <f t="shared" si="0"/>
        <v>0</v>
      </c>
      <c r="F15" s="603">
        <f>SUM(F16:F18)</f>
        <v>0</v>
      </c>
      <c r="G15" s="603">
        <f>SUM(G16:G18)</f>
        <v>0</v>
      </c>
      <c r="H15" s="599">
        <f t="shared" si="1"/>
        <v>0</v>
      </c>
    </row>
    <row r="16" spans="1:8" ht="14.4">
      <c r="A16" s="498">
        <v>5.0999999999999996</v>
      </c>
      <c r="B16" s="506" t="s">
        <v>535</v>
      </c>
      <c r="C16" s="596"/>
      <c r="D16" s="596"/>
      <c r="E16" s="597">
        <f t="shared" si="0"/>
        <v>0</v>
      </c>
      <c r="F16" s="531"/>
      <c r="G16" s="531"/>
      <c r="H16" s="597">
        <f t="shared" si="1"/>
        <v>0</v>
      </c>
    </row>
    <row r="17" spans="1:8" ht="14.4">
      <c r="A17" s="498">
        <v>5.2</v>
      </c>
      <c r="B17" s="506" t="s">
        <v>536</v>
      </c>
      <c r="C17" s="596"/>
      <c r="D17" s="596"/>
      <c r="E17" s="597">
        <f t="shared" si="0"/>
        <v>0</v>
      </c>
      <c r="F17" s="531"/>
      <c r="G17" s="531"/>
      <c r="H17" s="597">
        <f t="shared" si="1"/>
        <v>0</v>
      </c>
    </row>
    <row r="18" spans="1:8" ht="14.4">
      <c r="A18" s="498">
        <v>5.3</v>
      </c>
      <c r="B18" s="507" t="s">
        <v>537</v>
      </c>
      <c r="C18" s="596"/>
      <c r="D18" s="596"/>
      <c r="E18" s="597">
        <f t="shared" si="0"/>
        <v>0</v>
      </c>
      <c r="F18" s="531"/>
      <c r="G18" s="531"/>
      <c r="H18" s="597">
        <f t="shared" si="1"/>
        <v>0</v>
      </c>
    </row>
    <row r="19" spans="1:8" ht="14.4">
      <c r="A19" s="498">
        <v>6</v>
      </c>
      <c r="B19" s="503" t="s">
        <v>538</v>
      </c>
      <c r="C19" s="691">
        <f>SUM(C20:C21)</f>
        <v>2500092209.8597374</v>
      </c>
      <c r="D19" s="691">
        <f>SUM(D20:D21)</f>
        <v>281592742.03001547</v>
      </c>
      <c r="E19" s="597">
        <f t="shared" si="0"/>
        <v>2781684951.8897529</v>
      </c>
      <c r="F19" s="690">
        <f>SUM(F20:F21)</f>
        <v>1983660982.8453</v>
      </c>
      <c r="G19" s="690">
        <f>SUM(G20:G21)</f>
        <v>228424004.96383023</v>
      </c>
      <c r="H19" s="597">
        <f t="shared" si="1"/>
        <v>2212084987.8091302</v>
      </c>
    </row>
    <row r="20" spans="1:8" ht="14.4">
      <c r="A20" s="498">
        <v>6.1</v>
      </c>
      <c r="B20" s="506" t="s">
        <v>536</v>
      </c>
      <c r="C20" s="596">
        <v>73312067.549999997</v>
      </c>
      <c r="D20" s="596"/>
      <c r="E20" s="597">
        <f t="shared" si="0"/>
        <v>73312067.549999997</v>
      </c>
      <c r="F20" s="602">
        <v>19745284.289999999</v>
      </c>
      <c r="G20" s="602"/>
      <c r="H20" s="597">
        <f t="shared" si="1"/>
        <v>19745284.289999999</v>
      </c>
    </row>
    <row r="21" spans="1:8" ht="14.4">
      <c r="A21" s="498">
        <v>6.2</v>
      </c>
      <c r="B21" s="507" t="s">
        <v>537</v>
      </c>
      <c r="C21" s="596">
        <v>2426780142.3097372</v>
      </c>
      <c r="D21" s="596">
        <v>281592742.03001547</v>
      </c>
      <c r="E21" s="597">
        <f t="shared" si="0"/>
        <v>2708372884.3397527</v>
      </c>
      <c r="F21" s="602">
        <v>1963915698.5553</v>
      </c>
      <c r="G21" s="602">
        <v>228424004.96383023</v>
      </c>
      <c r="H21" s="597">
        <f t="shared" si="1"/>
        <v>2192339703.5191302</v>
      </c>
    </row>
    <row r="22" spans="1:8" ht="14.4">
      <c r="A22" s="498">
        <v>7</v>
      </c>
      <c r="B22" s="501" t="s">
        <v>539</v>
      </c>
      <c r="C22" s="596">
        <v>2202413.5</v>
      </c>
      <c r="D22" s="596"/>
      <c r="E22" s="597">
        <f t="shared" si="0"/>
        <v>2202413.5</v>
      </c>
      <c r="F22" s="531">
        <v>1737632.6</v>
      </c>
      <c r="G22" s="531"/>
      <c r="H22" s="597">
        <f t="shared" si="1"/>
        <v>1737632.6</v>
      </c>
    </row>
    <row r="23" spans="1:8" ht="14.4">
      <c r="A23" s="498">
        <v>8</v>
      </c>
      <c r="B23" s="508" t="s">
        <v>540</v>
      </c>
      <c r="C23" s="596"/>
      <c r="D23" s="596"/>
      <c r="E23" s="597">
        <f t="shared" si="0"/>
        <v>0</v>
      </c>
      <c r="F23" s="531"/>
      <c r="G23" s="531"/>
      <c r="H23" s="597">
        <f t="shared" si="1"/>
        <v>0</v>
      </c>
    </row>
    <row r="24" spans="1:8" ht="14.4">
      <c r="A24" s="498">
        <v>9</v>
      </c>
      <c r="B24" s="504" t="s">
        <v>541</v>
      </c>
      <c r="C24" s="691">
        <f>SUM(C25:C26)</f>
        <v>53619535.339999974</v>
      </c>
      <c r="D24" s="691">
        <f>SUM(D25:D26)</f>
        <v>0</v>
      </c>
      <c r="E24" s="597">
        <f t="shared" si="0"/>
        <v>53619535.339999974</v>
      </c>
      <c r="F24" s="690">
        <f>SUM(F25:F26)</f>
        <v>46309270.910000011</v>
      </c>
      <c r="G24" s="692">
        <f>SUM(G25:G26)</f>
        <v>0</v>
      </c>
      <c r="H24" s="597">
        <f t="shared" si="1"/>
        <v>46309270.910000011</v>
      </c>
    </row>
    <row r="25" spans="1:8" ht="14.4">
      <c r="A25" s="498">
        <v>9.1</v>
      </c>
      <c r="B25" s="506" t="s">
        <v>542</v>
      </c>
      <c r="C25" s="596">
        <v>53619535.339999974</v>
      </c>
      <c r="D25" s="596"/>
      <c r="E25" s="597">
        <f t="shared" si="0"/>
        <v>53619535.339999974</v>
      </c>
      <c r="F25" s="602">
        <v>46309270.910000011</v>
      </c>
      <c r="G25" s="531"/>
      <c r="H25" s="597">
        <f t="shared" si="1"/>
        <v>46309270.910000011</v>
      </c>
    </row>
    <row r="26" spans="1:8" ht="14.4">
      <c r="A26" s="498">
        <v>9.1999999999999993</v>
      </c>
      <c r="B26" s="506" t="s">
        <v>543</v>
      </c>
      <c r="C26" s="596"/>
      <c r="D26" s="596"/>
      <c r="E26" s="597">
        <f t="shared" si="0"/>
        <v>0</v>
      </c>
      <c r="F26" s="531"/>
      <c r="G26" s="531"/>
      <c r="H26" s="597">
        <f t="shared" si="1"/>
        <v>0</v>
      </c>
    </row>
    <row r="27" spans="1:8" ht="14.4">
      <c r="A27" s="498">
        <v>10</v>
      </c>
      <c r="B27" s="504" t="s">
        <v>544</v>
      </c>
      <c r="C27" s="691">
        <f>SUM(C28:C29)</f>
        <v>33263478.05999998</v>
      </c>
      <c r="D27" s="596">
        <f>SUM(D28:D29)</f>
        <v>0</v>
      </c>
      <c r="E27" s="597">
        <f t="shared" si="0"/>
        <v>33263478.05999998</v>
      </c>
      <c r="F27" s="690">
        <f>SUM(F28:F29)</f>
        <v>25359073.809999995</v>
      </c>
      <c r="G27" s="531">
        <f>SUM(G28:G29)</f>
        <v>0</v>
      </c>
      <c r="H27" s="597">
        <f t="shared" si="1"/>
        <v>25359073.809999995</v>
      </c>
    </row>
    <row r="28" spans="1:8" ht="14.4">
      <c r="A28" s="498">
        <v>10.1</v>
      </c>
      <c r="B28" s="506" t="s">
        <v>545</v>
      </c>
      <c r="C28" s="596"/>
      <c r="D28" s="596"/>
      <c r="E28" s="597">
        <f t="shared" si="0"/>
        <v>0</v>
      </c>
      <c r="F28" s="531"/>
      <c r="G28" s="531"/>
      <c r="H28" s="597">
        <f t="shared" si="1"/>
        <v>0</v>
      </c>
    </row>
    <row r="29" spans="1:8" ht="14.4">
      <c r="A29" s="498">
        <v>10.199999999999999</v>
      </c>
      <c r="B29" s="506" t="s">
        <v>546</v>
      </c>
      <c r="C29" s="596">
        <v>33263478.05999998</v>
      </c>
      <c r="D29" s="596"/>
      <c r="E29" s="597">
        <f t="shared" si="0"/>
        <v>33263478.05999998</v>
      </c>
      <c r="F29" s="531">
        <v>25359073.809999995</v>
      </c>
      <c r="G29" s="531"/>
      <c r="H29" s="597">
        <f t="shared" si="1"/>
        <v>25359073.809999995</v>
      </c>
    </row>
    <row r="30" spans="1:8" ht="14.4">
      <c r="A30" s="498">
        <v>11</v>
      </c>
      <c r="B30" s="504" t="s">
        <v>547</v>
      </c>
      <c r="C30" s="596">
        <f>SUM(C31:C32)</f>
        <v>0</v>
      </c>
      <c r="D30" s="596">
        <f>SUM(D31:D32)</f>
        <v>0</v>
      </c>
      <c r="E30" s="597">
        <f t="shared" si="0"/>
        <v>0</v>
      </c>
      <c r="F30" s="531">
        <f>SUM(F31:F32)</f>
        <v>0</v>
      </c>
      <c r="G30" s="531">
        <f>SUM(G31:G32)</f>
        <v>0</v>
      </c>
      <c r="H30" s="597">
        <f t="shared" si="1"/>
        <v>0</v>
      </c>
    </row>
    <row r="31" spans="1:8" ht="14.4">
      <c r="A31" s="498">
        <v>11.1</v>
      </c>
      <c r="B31" s="506" t="s">
        <v>548</v>
      </c>
      <c r="C31" s="596"/>
      <c r="D31" s="596"/>
      <c r="E31" s="597">
        <f t="shared" si="0"/>
        <v>0</v>
      </c>
      <c r="F31" s="531"/>
      <c r="G31" s="531"/>
      <c r="H31" s="597">
        <f t="shared" si="1"/>
        <v>0</v>
      </c>
    </row>
    <row r="32" spans="1:8" ht="14.4">
      <c r="A32" s="498">
        <v>11.2</v>
      </c>
      <c r="B32" s="506" t="s">
        <v>549</v>
      </c>
      <c r="C32" s="596"/>
      <c r="D32" s="596"/>
      <c r="E32" s="597">
        <f t="shared" si="0"/>
        <v>0</v>
      </c>
      <c r="F32" s="531"/>
      <c r="G32" s="531"/>
      <c r="H32" s="597">
        <f t="shared" si="1"/>
        <v>0</v>
      </c>
    </row>
    <row r="33" spans="1:8" ht="14.4">
      <c r="A33" s="498">
        <v>13</v>
      </c>
      <c r="B33" s="504" t="s">
        <v>550</v>
      </c>
      <c r="C33" s="691">
        <v>52896928.969999999</v>
      </c>
      <c r="D33" s="691">
        <v>7032611.9500000104</v>
      </c>
      <c r="E33" s="597">
        <f t="shared" si="0"/>
        <v>59929540.920000009</v>
      </c>
      <c r="F33" s="690">
        <v>47877446.290000014</v>
      </c>
      <c r="G33" s="690">
        <v>4529475.2</v>
      </c>
      <c r="H33" s="597">
        <f t="shared" si="1"/>
        <v>52406921.490000017</v>
      </c>
    </row>
    <row r="34" spans="1:8" ht="14.4">
      <c r="A34" s="498">
        <v>13.1</v>
      </c>
      <c r="B34" s="509" t="s">
        <v>551</v>
      </c>
      <c r="C34" s="596">
        <v>26038814.609999999</v>
      </c>
      <c r="D34" s="596"/>
      <c r="E34" s="597">
        <f t="shared" si="0"/>
        <v>26038814.609999999</v>
      </c>
      <c r="F34" s="602">
        <v>16518198.929999992</v>
      </c>
      <c r="G34" s="602"/>
      <c r="H34" s="597">
        <f t="shared" si="1"/>
        <v>16518198.929999992</v>
      </c>
    </row>
    <row r="35" spans="1:8" ht="14.4">
      <c r="A35" s="498">
        <v>13.2</v>
      </c>
      <c r="B35" s="509" t="s">
        <v>552</v>
      </c>
      <c r="C35" s="596"/>
      <c r="D35" s="596"/>
      <c r="E35" s="597">
        <f t="shared" si="0"/>
        <v>0</v>
      </c>
      <c r="F35" s="531"/>
      <c r="G35" s="531"/>
      <c r="H35" s="597">
        <f t="shared" si="1"/>
        <v>0</v>
      </c>
    </row>
    <row r="36" spans="1:8" ht="14.4">
      <c r="A36" s="498">
        <v>14</v>
      </c>
      <c r="B36" s="510" t="s">
        <v>553</v>
      </c>
      <c r="C36" s="691">
        <f>SUM(C7,C11,C13,C14,C15,C19,C22,C23,C24,C27,C30,C33)</f>
        <v>2938095777.7697372</v>
      </c>
      <c r="D36" s="691">
        <f>SUM(D7,D11,D13,D14,D15,D19,D22,D23,D24,D27,D30,D33)</f>
        <v>486711429.53339791</v>
      </c>
      <c r="E36" s="597">
        <f t="shared" si="0"/>
        <v>3424807207.3031349</v>
      </c>
      <c r="F36" s="690">
        <f>SUM(F7,F11,F13,F14,F15,F19,F22,F23,F24,F27,F30,F33)</f>
        <v>2291249281.6252995</v>
      </c>
      <c r="G36" s="690">
        <f>SUM(G7,G11,G13,G14,G15,G19,G22,G23,G24,G27,G30,G33)</f>
        <v>404062756.6838302</v>
      </c>
      <c r="H36" s="597">
        <f t="shared" si="1"/>
        <v>2695312038.3091297</v>
      </c>
    </row>
    <row r="37" spans="1:8" ht="22.5" customHeight="1">
      <c r="A37" s="498"/>
      <c r="B37" s="511" t="s">
        <v>554</v>
      </c>
      <c r="C37" s="763"/>
      <c r="D37" s="764"/>
      <c r="E37" s="764"/>
      <c r="F37" s="764"/>
      <c r="G37" s="764"/>
      <c r="H37" s="765"/>
    </row>
    <row r="38" spans="1:8" ht="14.4">
      <c r="A38" s="498">
        <v>15</v>
      </c>
      <c r="B38" s="512" t="s">
        <v>555</v>
      </c>
      <c r="C38" s="693">
        <v>3962499.94</v>
      </c>
      <c r="D38" s="600"/>
      <c r="E38" s="601">
        <f>C38+D38</f>
        <v>3962499.94</v>
      </c>
      <c r="F38" s="690">
        <v>3227465.49</v>
      </c>
      <c r="G38" s="531"/>
      <c r="H38" s="601">
        <f>F38+G38</f>
        <v>3227465.49</v>
      </c>
    </row>
    <row r="39" spans="1:8" ht="14.4">
      <c r="A39" s="513">
        <v>15.1</v>
      </c>
      <c r="B39" s="514" t="s">
        <v>531</v>
      </c>
      <c r="C39" s="600">
        <v>3962499.94</v>
      </c>
      <c r="D39" s="600"/>
      <c r="E39" s="601">
        <f t="shared" ref="E39:E53" si="2">C39+D39</f>
        <v>3962499.94</v>
      </c>
      <c r="F39" s="602">
        <v>3227465.49</v>
      </c>
      <c r="G39" s="531"/>
      <c r="H39" s="601">
        <f t="shared" ref="H39:H53" si="3">F39+G39</f>
        <v>3227465.49</v>
      </c>
    </row>
    <row r="40" spans="1:8" ht="24" customHeight="1">
      <c r="A40" s="513">
        <v>16</v>
      </c>
      <c r="B40" s="501" t="s">
        <v>556</v>
      </c>
      <c r="C40" s="600"/>
      <c r="D40" s="600"/>
      <c r="E40" s="601">
        <f t="shared" si="2"/>
        <v>0</v>
      </c>
      <c r="F40" s="531"/>
      <c r="G40" s="531"/>
      <c r="H40" s="601">
        <f t="shared" si="3"/>
        <v>0</v>
      </c>
    </row>
    <row r="41" spans="1:8" ht="14.4">
      <c r="A41" s="513">
        <v>17</v>
      </c>
      <c r="B41" s="501" t="s">
        <v>557</v>
      </c>
      <c r="C41" s="693">
        <f>SUM(C42:C45)</f>
        <v>2004170231.1499965</v>
      </c>
      <c r="D41" s="693">
        <f>SUM(D42:D45)</f>
        <v>762534302.30720019</v>
      </c>
      <c r="E41" s="601">
        <f t="shared" si="2"/>
        <v>2766704533.4571967</v>
      </c>
      <c r="F41" s="690">
        <f>SUM(F42:F45)</f>
        <v>1629266078.2800164</v>
      </c>
      <c r="G41" s="690">
        <f>SUM(G42:G45)</f>
        <v>546670398.93390095</v>
      </c>
      <c r="H41" s="601">
        <f t="shared" si="3"/>
        <v>2175936477.2139173</v>
      </c>
    </row>
    <row r="42" spans="1:8" ht="14.4">
      <c r="A42" s="513">
        <v>17.100000000000001</v>
      </c>
      <c r="B42" s="515" t="s">
        <v>558</v>
      </c>
      <c r="C42" s="600">
        <v>959688428.08999658</v>
      </c>
      <c r="D42" s="600">
        <v>441908296.87720037</v>
      </c>
      <c r="E42" s="601">
        <f t="shared" si="2"/>
        <v>1401596724.9671969</v>
      </c>
      <c r="F42" s="602">
        <v>726628693.50001621</v>
      </c>
      <c r="G42" s="602">
        <v>322941507.42390102</v>
      </c>
      <c r="H42" s="601">
        <f t="shared" si="3"/>
        <v>1049570200.9239173</v>
      </c>
    </row>
    <row r="43" spans="1:8" ht="14.4">
      <c r="A43" s="513">
        <v>17.2</v>
      </c>
      <c r="B43" s="516" t="s">
        <v>559</v>
      </c>
      <c r="C43" s="600">
        <v>1026015299.02</v>
      </c>
      <c r="D43" s="600">
        <v>315833182.94999981</v>
      </c>
      <c r="E43" s="601">
        <f t="shared" si="2"/>
        <v>1341848481.9699998</v>
      </c>
      <c r="F43" s="602">
        <v>886696816.26000011</v>
      </c>
      <c r="G43" s="602">
        <v>217395956.12</v>
      </c>
      <c r="H43" s="601">
        <f t="shared" si="3"/>
        <v>1104092772.3800001</v>
      </c>
    </row>
    <row r="44" spans="1:8" ht="14.4">
      <c r="A44" s="513">
        <v>17.3</v>
      </c>
      <c r="B44" s="515" t="s">
        <v>560</v>
      </c>
      <c r="C44" s="600"/>
      <c r="D44" s="600"/>
      <c r="E44" s="601">
        <f t="shared" si="2"/>
        <v>0</v>
      </c>
      <c r="F44" s="531"/>
      <c r="G44" s="531"/>
      <c r="H44" s="601">
        <f t="shared" si="3"/>
        <v>0</v>
      </c>
    </row>
    <row r="45" spans="1:8" ht="14.4">
      <c r="A45" s="513">
        <v>17.399999999999999</v>
      </c>
      <c r="B45" s="515" t="s">
        <v>561</v>
      </c>
      <c r="C45" s="600">
        <v>18466504.039999999</v>
      </c>
      <c r="D45" s="600">
        <v>4792822.4800000004</v>
      </c>
      <c r="E45" s="601">
        <f t="shared" si="2"/>
        <v>23259326.52</v>
      </c>
      <c r="F45" s="602">
        <v>15940568.52</v>
      </c>
      <c r="G45" s="602">
        <v>6332935.3899999997</v>
      </c>
      <c r="H45" s="601">
        <f t="shared" si="3"/>
        <v>22273503.91</v>
      </c>
    </row>
    <row r="46" spans="1:8" ht="14.4">
      <c r="A46" s="513">
        <v>18</v>
      </c>
      <c r="B46" s="504" t="s">
        <v>562</v>
      </c>
      <c r="C46" s="600">
        <v>1768709.2000000002</v>
      </c>
      <c r="D46" s="600"/>
      <c r="E46" s="601">
        <f t="shared" si="2"/>
        <v>1768709.2000000002</v>
      </c>
      <c r="F46" s="531"/>
      <c r="G46" s="531"/>
      <c r="H46" s="601">
        <f t="shared" si="3"/>
        <v>0</v>
      </c>
    </row>
    <row r="47" spans="1:8" ht="14.4">
      <c r="A47" s="513">
        <v>19</v>
      </c>
      <c r="B47" s="504" t="s">
        <v>563</v>
      </c>
      <c r="C47" s="693">
        <f>SUM(C48:C49)</f>
        <v>9217250.7799999937</v>
      </c>
      <c r="D47" s="600">
        <f>SUM(D48:D49)</f>
        <v>0</v>
      </c>
      <c r="E47" s="601">
        <f t="shared" si="2"/>
        <v>9217250.7799999937</v>
      </c>
      <c r="F47" s="692">
        <f>SUM(F48:F49)</f>
        <v>6841829.4399999958</v>
      </c>
      <c r="G47" s="692">
        <f>SUM(G48:G49)</f>
        <v>0</v>
      </c>
      <c r="H47" s="601">
        <f t="shared" si="3"/>
        <v>6841829.4399999958</v>
      </c>
    </row>
    <row r="48" spans="1:8" ht="14.4">
      <c r="A48" s="513">
        <v>19.100000000000001</v>
      </c>
      <c r="B48" s="517" t="s">
        <v>564</v>
      </c>
      <c r="C48" s="600">
        <v>3651432.5699999947</v>
      </c>
      <c r="D48" s="600"/>
      <c r="E48" s="601">
        <f t="shared" si="2"/>
        <v>3651432.5699999947</v>
      </c>
      <c r="F48" s="602">
        <v>1741235.5999999968</v>
      </c>
      <c r="G48" s="531"/>
      <c r="H48" s="601">
        <f t="shared" si="3"/>
        <v>1741235.5999999968</v>
      </c>
    </row>
    <row r="49" spans="1:8" ht="14.4">
      <c r="A49" s="513">
        <v>19.2</v>
      </c>
      <c r="B49" s="518" t="s">
        <v>565</v>
      </c>
      <c r="C49" s="600">
        <v>5565818.21</v>
      </c>
      <c r="D49" s="600"/>
      <c r="E49" s="601">
        <f t="shared" si="2"/>
        <v>5565818.21</v>
      </c>
      <c r="F49" s="602">
        <v>5100593.8399999989</v>
      </c>
      <c r="G49" s="531"/>
      <c r="H49" s="601">
        <f t="shared" si="3"/>
        <v>5100593.8399999989</v>
      </c>
    </row>
    <row r="50" spans="1:8" ht="14.4">
      <c r="A50" s="513">
        <v>20</v>
      </c>
      <c r="B50" s="519" t="s">
        <v>566</v>
      </c>
      <c r="C50" s="600">
        <v>54315880.219999999</v>
      </c>
      <c r="D50" s="600">
        <v>116661039.03</v>
      </c>
      <c r="E50" s="601">
        <f t="shared" si="2"/>
        <v>170976919.25</v>
      </c>
      <c r="F50" s="602">
        <v>62688217.670000002</v>
      </c>
      <c r="G50" s="602">
        <v>66522853.489999995</v>
      </c>
      <c r="H50" s="601">
        <f t="shared" si="3"/>
        <v>129211071.16</v>
      </c>
    </row>
    <row r="51" spans="1:8" ht="14.4">
      <c r="A51" s="513">
        <v>21</v>
      </c>
      <c r="B51" s="508" t="s">
        <v>567</v>
      </c>
      <c r="C51" s="600">
        <v>48194509.819999993</v>
      </c>
      <c r="D51" s="600">
        <v>2742761.1199999973</v>
      </c>
      <c r="E51" s="601">
        <f t="shared" si="2"/>
        <v>50937270.93999999</v>
      </c>
      <c r="F51" s="602">
        <v>42975384.690000013</v>
      </c>
      <c r="G51" s="602">
        <v>4249822.3400000036</v>
      </c>
      <c r="H51" s="601">
        <f t="shared" si="3"/>
        <v>47225207.030000016</v>
      </c>
    </row>
    <row r="52" spans="1:8" ht="14.4">
      <c r="A52" s="513">
        <v>21.1</v>
      </c>
      <c r="B52" s="516" t="s">
        <v>568</v>
      </c>
      <c r="C52" s="600"/>
      <c r="D52" s="600"/>
      <c r="E52" s="601">
        <f t="shared" si="2"/>
        <v>0</v>
      </c>
      <c r="F52" s="531"/>
      <c r="G52" s="531"/>
      <c r="H52" s="601">
        <f t="shared" si="3"/>
        <v>0</v>
      </c>
    </row>
    <row r="53" spans="1:8" ht="14.4">
      <c r="A53" s="513">
        <v>22</v>
      </c>
      <c r="B53" s="520" t="s">
        <v>569</v>
      </c>
      <c r="C53" s="600">
        <f>SUM(C38,C40,C41,C46,C47,C50,C51)</f>
        <v>2121629081.1099966</v>
      </c>
      <c r="D53" s="600">
        <f>SUM(D38,D40,D41,D46,D47,D50,D51)</f>
        <v>881938102.45720017</v>
      </c>
      <c r="E53" s="601">
        <f t="shared" si="2"/>
        <v>3003567183.5671968</v>
      </c>
      <c r="F53" s="602">
        <f>SUM(F38,F40,F41,F46,F47,F50,F51)</f>
        <v>1744998975.5700166</v>
      </c>
      <c r="G53" s="602">
        <f>SUM(G38,G40,G41,G46,G47,G50,G51)</f>
        <v>617443074.763901</v>
      </c>
      <c r="H53" s="601">
        <f t="shared" si="3"/>
        <v>2362442050.3339176</v>
      </c>
    </row>
    <row r="54" spans="1:8" ht="24" customHeight="1">
      <c r="A54" s="513"/>
      <c r="B54" s="521" t="s">
        <v>570</v>
      </c>
      <c r="C54" s="752"/>
      <c r="D54" s="753"/>
      <c r="E54" s="753"/>
      <c r="F54" s="753"/>
      <c r="G54" s="753"/>
      <c r="H54" s="754"/>
    </row>
    <row r="55" spans="1:8" ht="14.4">
      <c r="A55" s="513">
        <v>23</v>
      </c>
      <c r="B55" s="530" t="s">
        <v>710</v>
      </c>
      <c r="C55" s="600">
        <v>5270620</v>
      </c>
      <c r="D55" s="600"/>
      <c r="E55" s="601">
        <f>C55+D55</f>
        <v>5270620</v>
      </c>
      <c r="F55" s="602">
        <v>5236850</v>
      </c>
      <c r="G55" s="600"/>
      <c r="H55" s="601">
        <f>F55+G55</f>
        <v>5236850</v>
      </c>
    </row>
    <row r="56" spans="1:8" ht="14.4">
      <c r="A56" s="513">
        <v>24</v>
      </c>
      <c r="B56" s="519" t="s">
        <v>572</v>
      </c>
      <c r="C56" s="600"/>
      <c r="D56" s="600"/>
      <c r="E56" s="601">
        <f t="shared" ref="E56:E69" si="4">C56+D56</f>
        <v>0</v>
      </c>
      <c r="F56" s="602"/>
      <c r="G56" s="600"/>
      <c r="H56" s="601">
        <f t="shared" ref="H56:H69" si="5">F56+G56</f>
        <v>0</v>
      </c>
    </row>
    <row r="57" spans="1:8" ht="14.4">
      <c r="A57" s="513">
        <v>25</v>
      </c>
      <c r="B57" s="504" t="s">
        <v>573</v>
      </c>
      <c r="C57" s="600">
        <v>41797125.18</v>
      </c>
      <c r="D57" s="600"/>
      <c r="E57" s="601">
        <f t="shared" si="4"/>
        <v>41797125.18</v>
      </c>
      <c r="F57" s="602">
        <v>38936573.159999996</v>
      </c>
      <c r="G57" s="600"/>
      <c r="H57" s="601">
        <f t="shared" si="5"/>
        <v>38936573.159999996</v>
      </c>
    </row>
    <row r="58" spans="1:8" ht="14.4">
      <c r="A58" s="513">
        <v>26</v>
      </c>
      <c r="B58" s="504" t="s">
        <v>574</v>
      </c>
      <c r="C58" s="600"/>
      <c r="D58" s="600"/>
      <c r="E58" s="601">
        <f t="shared" si="4"/>
        <v>0</v>
      </c>
      <c r="F58" s="531"/>
      <c r="G58" s="600"/>
      <c r="H58" s="601">
        <f t="shared" si="5"/>
        <v>0</v>
      </c>
    </row>
    <row r="59" spans="1:8" ht="14.4">
      <c r="A59" s="513">
        <v>27</v>
      </c>
      <c r="B59" s="504" t="s">
        <v>575</v>
      </c>
      <c r="C59" s="600">
        <f>SUM(C60:C61)</f>
        <v>0</v>
      </c>
      <c r="D59" s="600">
        <f>SUM(D60:D61)</f>
        <v>0</v>
      </c>
      <c r="E59" s="601">
        <f t="shared" si="4"/>
        <v>0</v>
      </c>
      <c r="F59" s="531"/>
      <c r="G59" s="600"/>
      <c r="H59" s="601">
        <f t="shared" si="5"/>
        <v>0</v>
      </c>
    </row>
    <row r="60" spans="1:8" ht="14.4">
      <c r="A60" s="513">
        <v>27.1</v>
      </c>
      <c r="B60" s="515" t="s">
        <v>576</v>
      </c>
      <c r="C60" s="600"/>
      <c r="D60" s="600"/>
      <c r="E60" s="601">
        <f t="shared" si="4"/>
        <v>0</v>
      </c>
      <c r="F60" s="531"/>
      <c r="G60" s="600"/>
      <c r="H60" s="601">
        <f t="shared" si="5"/>
        <v>0</v>
      </c>
    </row>
    <row r="61" spans="1:8" ht="14.4">
      <c r="A61" s="513">
        <v>27.2</v>
      </c>
      <c r="B61" s="515" t="s">
        <v>577</v>
      </c>
      <c r="C61" s="600"/>
      <c r="D61" s="600"/>
      <c r="E61" s="601">
        <f t="shared" si="4"/>
        <v>0</v>
      </c>
      <c r="F61" s="531"/>
      <c r="G61" s="600"/>
      <c r="H61" s="601">
        <f t="shared" si="5"/>
        <v>0</v>
      </c>
    </row>
    <row r="62" spans="1:8" ht="14.4">
      <c r="A62" s="513">
        <v>28</v>
      </c>
      <c r="B62" s="522" t="s">
        <v>578</v>
      </c>
      <c r="C62" s="600"/>
      <c r="D62" s="600"/>
      <c r="E62" s="601">
        <f t="shared" si="4"/>
        <v>0</v>
      </c>
      <c r="F62" s="531"/>
      <c r="G62" s="600"/>
      <c r="H62" s="601">
        <f t="shared" si="5"/>
        <v>0</v>
      </c>
    </row>
    <row r="63" spans="1:8" ht="14.4">
      <c r="A63" s="513">
        <v>29</v>
      </c>
      <c r="B63" s="504" t="s">
        <v>579</v>
      </c>
      <c r="C63" s="600">
        <f>SUM(C64:C66)</f>
        <v>0</v>
      </c>
      <c r="D63" s="600">
        <f>SUM(D64:D66)</f>
        <v>0</v>
      </c>
      <c r="E63" s="601">
        <f t="shared" si="4"/>
        <v>0</v>
      </c>
      <c r="F63" s="531"/>
      <c r="G63" s="600"/>
      <c r="H63" s="601">
        <f t="shared" si="5"/>
        <v>0</v>
      </c>
    </row>
    <row r="64" spans="1:8" ht="14.4">
      <c r="A64" s="513">
        <v>29.1</v>
      </c>
      <c r="B64" s="507" t="s">
        <v>580</v>
      </c>
      <c r="C64" s="600"/>
      <c r="D64" s="600"/>
      <c r="E64" s="601">
        <f t="shared" si="4"/>
        <v>0</v>
      </c>
      <c r="F64" s="531"/>
      <c r="G64" s="600"/>
      <c r="H64" s="601">
        <f t="shared" si="5"/>
        <v>0</v>
      </c>
    </row>
    <row r="65" spans="1:8" ht="25.05" customHeight="1">
      <c r="A65" s="513">
        <v>29.2</v>
      </c>
      <c r="B65" s="517" t="s">
        <v>581</v>
      </c>
      <c r="C65" s="600"/>
      <c r="D65" s="600"/>
      <c r="E65" s="601">
        <f t="shared" si="4"/>
        <v>0</v>
      </c>
      <c r="F65" s="531"/>
      <c r="G65" s="600"/>
      <c r="H65" s="601">
        <f t="shared" si="5"/>
        <v>0</v>
      </c>
    </row>
    <row r="66" spans="1:8" ht="22.5" customHeight="1">
      <c r="A66" s="513">
        <v>29.3</v>
      </c>
      <c r="B66" s="517" t="s">
        <v>582</v>
      </c>
      <c r="C66" s="600"/>
      <c r="D66" s="600"/>
      <c r="E66" s="601">
        <f t="shared" si="4"/>
        <v>0</v>
      </c>
      <c r="F66" s="531"/>
      <c r="G66" s="600"/>
      <c r="H66" s="601">
        <f t="shared" si="5"/>
        <v>0</v>
      </c>
    </row>
    <row r="67" spans="1:8" ht="14.4">
      <c r="A67" s="513">
        <v>30</v>
      </c>
      <c r="B67" s="504" t="s">
        <v>583</v>
      </c>
      <c r="C67" s="600">
        <v>374172278.06696802</v>
      </c>
      <c r="D67" s="600"/>
      <c r="E67" s="601">
        <f t="shared" si="4"/>
        <v>374172278.06696802</v>
      </c>
      <c r="F67" s="602">
        <v>288696564.04002368</v>
      </c>
      <c r="G67" s="600"/>
      <c r="H67" s="601">
        <f t="shared" si="5"/>
        <v>288696564.04002368</v>
      </c>
    </row>
    <row r="68" spans="1:8">
      <c r="A68" s="513">
        <v>31</v>
      </c>
      <c r="B68" s="523" t="s">
        <v>584</v>
      </c>
      <c r="C68" s="600">
        <f>SUM(C55,C56,C57,C58,C59,C62,C63,C67)</f>
        <v>421240023.24696803</v>
      </c>
      <c r="D68" s="600">
        <f>SUM(D55,D56,D57,D58,D59,D62,D63,D67)</f>
        <v>0</v>
      </c>
      <c r="E68" s="601">
        <f t="shared" si="4"/>
        <v>421240023.24696803</v>
      </c>
      <c r="F68" s="600">
        <f>SUM(F55,F56,F57,F58,F59,F62,F63,F67)</f>
        <v>332869987.20002365</v>
      </c>
      <c r="G68" s="600">
        <f>SUM(G55,G56,G57,G58,G59,G62,G63,G67)</f>
        <v>0</v>
      </c>
      <c r="H68" s="601">
        <f t="shared" si="5"/>
        <v>332869987.20002365</v>
      </c>
    </row>
    <row r="69" spans="1:8">
      <c r="A69" s="513">
        <v>32</v>
      </c>
      <c r="B69" s="524" t="s">
        <v>585</v>
      </c>
      <c r="C69" s="600">
        <f>SUM(C53,C68)</f>
        <v>2542869104.3569646</v>
      </c>
      <c r="D69" s="600">
        <f>SUM(D53,D68)</f>
        <v>881938102.45720017</v>
      </c>
      <c r="E69" s="601">
        <f t="shared" si="4"/>
        <v>3424807206.8141646</v>
      </c>
      <c r="F69" s="600">
        <f>SUM(F53,F68)</f>
        <v>2077868962.7700403</v>
      </c>
      <c r="G69" s="600">
        <f>SUM(G53,G68)</f>
        <v>617443074.763901</v>
      </c>
      <c r="H69" s="601">
        <f t="shared" si="5"/>
        <v>2695312037.5339413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topLeftCell="C6" zoomScale="80" zoomScaleNormal="80" workbookViewId="0">
      <selection activeCell="I7" sqref="I7:L32"/>
    </sheetView>
  </sheetViews>
  <sheetFormatPr defaultColWidth="9.21875" defaultRowHeight="12"/>
  <cols>
    <col min="1" max="1" width="11.77734375" style="392" bestFit="1" customWidth="1"/>
    <col min="2" max="2" width="93.44140625" style="392" customWidth="1"/>
    <col min="3" max="3" width="14.6640625" style="392" customWidth="1"/>
    <col min="4" max="5" width="16.109375" style="392" customWidth="1"/>
    <col min="6" max="6" width="16.109375" style="410" customWidth="1"/>
    <col min="7" max="7" width="25.21875" style="410" customWidth="1"/>
    <col min="8" max="8" width="16.109375" style="392" customWidth="1"/>
    <col min="9" max="11" width="16.109375" style="410" customWidth="1"/>
    <col min="12" max="12" width="26.21875" style="410" customWidth="1"/>
    <col min="13" max="16384" width="9.21875" style="392"/>
  </cols>
  <sheetData>
    <row r="1" spans="1:12" ht="13.8">
      <c r="A1" s="308" t="s">
        <v>31</v>
      </c>
      <c r="B1" s="378" t="str">
        <f>'Info '!C2</f>
        <v>JSC "CREDOBANK"</v>
      </c>
      <c r="F1" s="392"/>
      <c r="G1" s="392"/>
      <c r="I1" s="392"/>
      <c r="J1" s="392"/>
      <c r="K1" s="392"/>
      <c r="L1" s="392"/>
    </row>
    <row r="2" spans="1:12">
      <c r="A2" s="308" t="s">
        <v>32</v>
      </c>
      <c r="B2" s="377">
        <f>'1. key ratios '!B2</f>
        <v>45838</v>
      </c>
      <c r="F2" s="392"/>
      <c r="G2" s="392"/>
      <c r="I2" s="392"/>
      <c r="J2" s="392"/>
      <c r="K2" s="392"/>
      <c r="L2" s="392"/>
    </row>
    <row r="3" spans="1:12">
      <c r="A3" s="309" t="s">
        <v>467</v>
      </c>
      <c r="F3" s="392"/>
      <c r="G3" s="392"/>
      <c r="I3" s="392"/>
      <c r="J3" s="392"/>
      <c r="K3" s="392"/>
      <c r="L3" s="392"/>
    </row>
    <row r="4" spans="1:12">
      <c r="F4" s="392"/>
      <c r="G4" s="392"/>
      <c r="I4" s="392"/>
      <c r="J4" s="392"/>
      <c r="K4" s="392"/>
      <c r="L4" s="392"/>
    </row>
    <row r="5" spans="1:12" ht="37.5" customHeight="1">
      <c r="A5" s="817" t="s">
        <v>484</v>
      </c>
      <c r="B5" s="818"/>
      <c r="C5" s="863" t="s">
        <v>468</v>
      </c>
      <c r="D5" s="864"/>
      <c r="E5" s="864"/>
      <c r="F5" s="864"/>
      <c r="G5" s="864"/>
      <c r="H5" s="863" t="s">
        <v>628</v>
      </c>
      <c r="I5" s="865"/>
      <c r="J5" s="865"/>
      <c r="K5" s="865"/>
      <c r="L5" s="866"/>
    </row>
    <row r="6" spans="1:12" ht="39.450000000000003" customHeight="1">
      <c r="A6" s="821"/>
      <c r="B6" s="822"/>
      <c r="C6" s="311"/>
      <c r="D6" s="390" t="s">
        <v>649</v>
      </c>
      <c r="E6" s="390" t="s">
        <v>648</v>
      </c>
      <c r="F6" s="390" t="s">
        <v>647</v>
      </c>
      <c r="G6" s="390" t="s">
        <v>646</v>
      </c>
      <c r="H6" s="411"/>
      <c r="I6" s="390" t="s">
        <v>649</v>
      </c>
      <c r="J6" s="390" t="s">
        <v>648</v>
      </c>
      <c r="K6" s="390" t="s">
        <v>647</v>
      </c>
      <c r="L6" s="390" t="s">
        <v>646</v>
      </c>
    </row>
    <row r="7" spans="1:12">
      <c r="A7" s="381">
        <v>1</v>
      </c>
      <c r="B7" s="396" t="s">
        <v>487</v>
      </c>
      <c r="C7" s="681">
        <f>SUM(D7:G7)</f>
        <v>23938171.640000001</v>
      </c>
      <c r="D7" s="664">
        <v>23373563.289999999</v>
      </c>
      <c r="E7" s="664">
        <v>475413.59</v>
      </c>
      <c r="F7" s="682">
        <v>89194.76</v>
      </c>
      <c r="G7" s="682">
        <v>0</v>
      </c>
      <c r="H7" s="665">
        <f>SUM(I7:L7)</f>
        <v>390789.75</v>
      </c>
      <c r="I7" s="682">
        <v>220018.46</v>
      </c>
      <c r="J7" s="682">
        <v>97728.06</v>
      </c>
      <c r="K7" s="682">
        <v>73043.23</v>
      </c>
      <c r="L7" s="682">
        <v>0</v>
      </c>
    </row>
    <row r="8" spans="1:12">
      <c r="A8" s="381">
        <v>2</v>
      </c>
      <c r="B8" s="396" t="s">
        <v>400</v>
      </c>
      <c r="C8" s="681">
        <f t="shared" ref="C8:C32" si="0">SUM(D8:G8)</f>
        <v>16973629.009999998</v>
      </c>
      <c r="D8" s="664">
        <v>16660784.01</v>
      </c>
      <c r="E8" s="664">
        <v>287866.17</v>
      </c>
      <c r="F8" s="682">
        <v>24978.83</v>
      </c>
      <c r="G8" s="682">
        <v>0</v>
      </c>
      <c r="H8" s="665">
        <f t="shared" ref="H8:H32" si="1">SUM(I8:L8)</f>
        <v>221062.36000000002</v>
      </c>
      <c r="I8" s="682">
        <v>133749.5</v>
      </c>
      <c r="J8" s="682">
        <v>66853.91</v>
      </c>
      <c r="K8" s="682">
        <v>20458.95</v>
      </c>
      <c r="L8" s="682">
        <v>0</v>
      </c>
    </row>
    <row r="9" spans="1:12">
      <c r="A9" s="381">
        <v>3</v>
      </c>
      <c r="B9" s="396" t="s">
        <v>401</v>
      </c>
      <c r="C9" s="681">
        <f t="shared" si="0"/>
        <v>7587735.0899999999</v>
      </c>
      <c r="D9" s="664">
        <v>7280815.3799999999</v>
      </c>
      <c r="E9" s="664">
        <v>236363.89</v>
      </c>
      <c r="F9" s="683">
        <v>70555.820000000007</v>
      </c>
      <c r="G9" s="683">
        <v>0</v>
      </c>
      <c r="H9" s="665">
        <f t="shared" si="1"/>
        <v>192061.74000000002</v>
      </c>
      <c r="I9" s="683">
        <v>94132.38</v>
      </c>
      <c r="J9" s="683">
        <v>39862.83</v>
      </c>
      <c r="K9" s="683">
        <v>58066.53</v>
      </c>
      <c r="L9" s="683">
        <v>0</v>
      </c>
    </row>
    <row r="10" spans="1:12">
      <c r="A10" s="381">
        <v>4</v>
      </c>
      <c r="B10" s="396" t="s">
        <v>488</v>
      </c>
      <c r="C10" s="681">
        <f t="shared" si="0"/>
        <v>42209868.480000004</v>
      </c>
      <c r="D10" s="664">
        <v>42198373.700000003</v>
      </c>
      <c r="E10" s="664">
        <v>11494.78</v>
      </c>
      <c r="F10" s="683">
        <v>0</v>
      </c>
      <c r="G10" s="683">
        <v>0</v>
      </c>
      <c r="H10" s="665">
        <f t="shared" si="1"/>
        <v>107159.18000000001</v>
      </c>
      <c r="I10" s="683">
        <v>105376.57</v>
      </c>
      <c r="J10" s="683">
        <v>1782.61</v>
      </c>
      <c r="K10" s="683">
        <v>0</v>
      </c>
      <c r="L10" s="683">
        <v>0</v>
      </c>
    </row>
    <row r="11" spans="1:12">
      <c r="A11" s="381">
        <v>5</v>
      </c>
      <c r="B11" s="396" t="s">
        <v>402</v>
      </c>
      <c r="C11" s="681">
        <f t="shared" si="0"/>
        <v>43900583.789999999</v>
      </c>
      <c r="D11" s="664">
        <v>43158293.409999996</v>
      </c>
      <c r="E11" s="664">
        <v>700576.29</v>
      </c>
      <c r="F11" s="683">
        <v>41714.089999999997</v>
      </c>
      <c r="G11" s="683">
        <v>0</v>
      </c>
      <c r="H11" s="665">
        <f t="shared" si="1"/>
        <v>239292.15999999997</v>
      </c>
      <c r="I11" s="683">
        <v>141908.71</v>
      </c>
      <c r="J11" s="683">
        <v>71140.39</v>
      </c>
      <c r="K11" s="683">
        <v>26243.06</v>
      </c>
      <c r="L11" s="683">
        <v>0</v>
      </c>
    </row>
    <row r="12" spans="1:12">
      <c r="A12" s="381">
        <v>6</v>
      </c>
      <c r="B12" s="396" t="s">
        <v>403</v>
      </c>
      <c r="C12" s="681">
        <f t="shared" si="0"/>
        <v>17474331.370000001</v>
      </c>
      <c r="D12" s="664">
        <v>16721811.49</v>
      </c>
      <c r="E12" s="664">
        <v>630703.35999999999</v>
      </c>
      <c r="F12" s="683">
        <v>121816.52</v>
      </c>
      <c r="G12" s="683">
        <v>0</v>
      </c>
      <c r="H12" s="665">
        <f t="shared" si="1"/>
        <v>317361.25</v>
      </c>
      <c r="I12" s="683">
        <v>85148.44</v>
      </c>
      <c r="J12" s="683">
        <v>139443.85</v>
      </c>
      <c r="K12" s="683">
        <v>92768.960000000006</v>
      </c>
      <c r="L12" s="683">
        <v>0</v>
      </c>
    </row>
    <row r="13" spans="1:12">
      <c r="A13" s="381">
        <v>7</v>
      </c>
      <c r="B13" s="396" t="s">
        <v>404</v>
      </c>
      <c r="C13" s="681">
        <f t="shared" si="0"/>
        <v>4628713.99</v>
      </c>
      <c r="D13" s="664">
        <v>4164927.51</v>
      </c>
      <c r="E13" s="664">
        <v>394900.37</v>
      </c>
      <c r="F13" s="683">
        <v>68886.11</v>
      </c>
      <c r="G13" s="683">
        <v>0</v>
      </c>
      <c r="H13" s="665">
        <f t="shared" si="1"/>
        <v>164717.85</v>
      </c>
      <c r="I13" s="683">
        <v>32859.94</v>
      </c>
      <c r="J13" s="683">
        <v>75501.210000000006</v>
      </c>
      <c r="K13" s="683">
        <v>56356.7</v>
      </c>
      <c r="L13" s="683">
        <v>0</v>
      </c>
    </row>
    <row r="14" spans="1:12">
      <c r="A14" s="381">
        <v>8</v>
      </c>
      <c r="B14" s="396" t="s">
        <v>405</v>
      </c>
      <c r="C14" s="681">
        <f t="shared" si="0"/>
        <v>192698682.53999999</v>
      </c>
      <c r="D14" s="664">
        <v>183491629.63999999</v>
      </c>
      <c r="E14" s="664">
        <v>7466543.7800000003</v>
      </c>
      <c r="F14" s="683">
        <v>1734546.38</v>
      </c>
      <c r="G14" s="683">
        <v>5962.74</v>
      </c>
      <c r="H14" s="665">
        <f t="shared" si="1"/>
        <v>4148586.74</v>
      </c>
      <c r="I14" s="683">
        <v>1343149.61</v>
      </c>
      <c r="J14" s="683">
        <v>1464428.64</v>
      </c>
      <c r="K14" s="683">
        <v>1340940.03</v>
      </c>
      <c r="L14" s="683">
        <v>68.459999999999994</v>
      </c>
    </row>
    <row r="15" spans="1:12">
      <c r="A15" s="381">
        <v>9</v>
      </c>
      <c r="B15" s="396" t="s">
        <v>406</v>
      </c>
      <c r="C15" s="681">
        <f t="shared" si="0"/>
        <v>37574921.400000006</v>
      </c>
      <c r="D15" s="664">
        <v>36073003.210000001</v>
      </c>
      <c r="E15" s="664">
        <v>1236389.1299999999</v>
      </c>
      <c r="F15" s="683">
        <v>265529.06</v>
      </c>
      <c r="G15" s="683">
        <v>0</v>
      </c>
      <c r="H15" s="665">
        <f t="shared" si="1"/>
        <v>784475.2</v>
      </c>
      <c r="I15" s="683">
        <v>283660.46999999997</v>
      </c>
      <c r="J15" s="683">
        <v>284725.15999999997</v>
      </c>
      <c r="K15" s="683">
        <v>216089.57</v>
      </c>
      <c r="L15" s="683">
        <v>0</v>
      </c>
    </row>
    <row r="16" spans="1:12">
      <c r="A16" s="381">
        <v>10</v>
      </c>
      <c r="B16" s="396" t="s">
        <v>407</v>
      </c>
      <c r="C16" s="681">
        <f t="shared" si="0"/>
        <v>18330157.370000001</v>
      </c>
      <c r="D16" s="664">
        <v>17463429.199999999</v>
      </c>
      <c r="E16" s="664">
        <v>691855.76</v>
      </c>
      <c r="F16" s="683">
        <v>174872.41</v>
      </c>
      <c r="G16" s="683">
        <v>0</v>
      </c>
      <c r="H16" s="665">
        <f t="shared" si="1"/>
        <v>386266.48</v>
      </c>
      <c r="I16" s="683">
        <v>127280.79</v>
      </c>
      <c r="J16" s="683">
        <v>114175.18</v>
      </c>
      <c r="K16" s="683">
        <v>144810.51</v>
      </c>
      <c r="L16" s="683">
        <v>0</v>
      </c>
    </row>
    <row r="17" spans="1:12">
      <c r="A17" s="381">
        <v>11</v>
      </c>
      <c r="B17" s="396" t="s">
        <v>408</v>
      </c>
      <c r="C17" s="681">
        <f t="shared" si="0"/>
        <v>8461611.6399999987</v>
      </c>
      <c r="D17" s="664">
        <v>8029980.2199999997</v>
      </c>
      <c r="E17" s="664">
        <v>360053.22</v>
      </c>
      <c r="F17" s="683">
        <v>65122.02</v>
      </c>
      <c r="G17" s="683">
        <v>6456.18</v>
      </c>
      <c r="H17" s="665">
        <f t="shared" si="1"/>
        <v>207156.4</v>
      </c>
      <c r="I17" s="683">
        <v>75070.94</v>
      </c>
      <c r="J17" s="683">
        <v>77953.149999999994</v>
      </c>
      <c r="K17" s="683">
        <v>54058.19</v>
      </c>
      <c r="L17" s="683">
        <v>74.12</v>
      </c>
    </row>
    <row r="18" spans="1:12">
      <c r="A18" s="381">
        <v>12</v>
      </c>
      <c r="B18" s="396" t="s">
        <v>409</v>
      </c>
      <c r="C18" s="681">
        <f t="shared" si="0"/>
        <v>145983419.84999999</v>
      </c>
      <c r="D18" s="664">
        <v>139391879.44999999</v>
      </c>
      <c r="E18" s="664">
        <v>5399815.6900000004</v>
      </c>
      <c r="F18" s="683">
        <v>1191724.71</v>
      </c>
      <c r="G18" s="683">
        <v>0</v>
      </c>
      <c r="H18" s="665">
        <f t="shared" si="1"/>
        <v>3314138.99</v>
      </c>
      <c r="I18" s="683">
        <v>1054087.6200000001</v>
      </c>
      <c r="J18" s="683">
        <v>1296675.45</v>
      </c>
      <c r="K18" s="683">
        <v>963375.92</v>
      </c>
      <c r="L18" s="683">
        <v>0</v>
      </c>
    </row>
    <row r="19" spans="1:12">
      <c r="A19" s="381">
        <v>13</v>
      </c>
      <c r="B19" s="396" t="s">
        <v>410</v>
      </c>
      <c r="C19" s="681">
        <f t="shared" si="0"/>
        <v>24297949.630000003</v>
      </c>
      <c r="D19" s="664">
        <v>22972336.670000002</v>
      </c>
      <c r="E19" s="664">
        <v>1158690.6200000001</v>
      </c>
      <c r="F19" s="683">
        <v>166922.34</v>
      </c>
      <c r="G19" s="683">
        <v>0</v>
      </c>
      <c r="H19" s="665">
        <f t="shared" si="1"/>
        <v>669309.01</v>
      </c>
      <c r="I19" s="683">
        <v>253710.74</v>
      </c>
      <c r="J19" s="683">
        <v>277947.49</v>
      </c>
      <c r="K19" s="683">
        <v>137650.78</v>
      </c>
      <c r="L19" s="683">
        <v>0</v>
      </c>
    </row>
    <row r="20" spans="1:12">
      <c r="A20" s="381">
        <v>14</v>
      </c>
      <c r="B20" s="396" t="s">
        <v>411</v>
      </c>
      <c r="C20" s="681">
        <f t="shared" si="0"/>
        <v>80043274.910000011</v>
      </c>
      <c r="D20" s="664">
        <v>76469240.170000002</v>
      </c>
      <c r="E20" s="664">
        <v>3425870.76</v>
      </c>
      <c r="F20" s="683">
        <v>148163.98000000001</v>
      </c>
      <c r="G20" s="683">
        <v>0</v>
      </c>
      <c r="H20" s="665">
        <f t="shared" si="1"/>
        <v>797523.7</v>
      </c>
      <c r="I20" s="683">
        <v>333452.37</v>
      </c>
      <c r="J20" s="683">
        <v>343860.51</v>
      </c>
      <c r="K20" s="683">
        <v>120210.82</v>
      </c>
      <c r="L20" s="683">
        <v>0</v>
      </c>
    </row>
    <row r="21" spans="1:12">
      <c r="A21" s="381">
        <v>15</v>
      </c>
      <c r="B21" s="396" t="s">
        <v>412</v>
      </c>
      <c r="C21" s="681">
        <f t="shared" si="0"/>
        <v>55847681.57</v>
      </c>
      <c r="D21" s="664">
        <v>52896267.590000004</v>
      </c>
      <c r="E21" s="664">
        <v>2527921.98</v>
      </c>
      <c r="F21" s="683">
        <v>423492</v>
      </c>
      <c r="G21" s="683">
        <v>0</v>
      </c>
      <c r="H21" s="665">
        <f t="shared" si="1"/>
        <v>1262126.1200000001</v>
      </c>
      <c r="I21" s="683">
        <v>474129.46</v>
      </c>
      <c r="J21" s="683">
        <v>451606.67</v>
      </c>
      <c r="K21" s="683">
        <v>336389.99</v>
      </c>
      <c r="L21" s="683">
        <v>0</v>
      </c>
    </row>
    <row r="22" spans="1:12">
      <c r="A22" s="381">
        <v>16</v>
      </c>
      <c r="B22" s="396" t="s">
        <v>413</v>
      </c>
      <c r="C22" s="681">
        <f t="shared" si="0"/>
        <v>14454613.690000001</v>
      </c>
      <c r="D22" s="664">
        <v>12847519.42</v>
      </c>
      <c r="E22" s="664">
        <v>1470964.05</v>
      </c>
      <c r="F22" s="683">
        <v>136130.22</v>
      </c>
      <c r="G22" s="683">
        <v>0</v>
      </c>
      <c r="H22" s="665">
        <f t="shared" si="1"/>
        <v>438623.33999999997</v>
      </c>
      <c r="I22" s="683">
        <v>89224.52</v>
      </c>
      <c r="J22" s="683">
        <v>245268.16</v>
      </c>
      <c r="K22" s="683">
        <v>104130.66</v>
      </c>
      <c r="L22" s="683">
        <v>0</v>
      </c>
    </row>
    <row r="23" spans="1:12">
      <c r="A23" s="381">
        <v>17</v>
      </c>
      <c r="B23" s="396" t="s">
        <v>491</v>
      </c>
      <c r="C23" s="681">
        <f t="shared" si="0"/>
        <v>930497.18</v>
      </c>
      <c r="D23" s="664">
        <v>905004.16</v>
      </c>
      <c r="E23" s="664">
        <v>19216.88</v>
      </c>
      <c r="F23" s="683">
        <v>6276.14</v>
      </c>
      <c r="G23" s="683">
        <v>0</v>
      </c>
      <c r="H23" s="665">
        <f t="shared" si="1"/>
        <v>18860.39</v>
      </c>
      <c r="I23" s="683">
        <v>9091.56</v>
      </c>
      <c r="J23" s="683">
        <v>4605.37</v>
      </c>
      <c r="K23" s="683">
        <v>5163.46</v>
      </c>
      <c r="L23" s="683">
        <v>0</v>
      </c>
    </row>
    <row r="24" spans="1:12">
      <c r="A24" s="381">
        <v>18</v>
      </c>
      <c r="B24" s="396" t="s">
        <v>414</v>
      </c>
      <c r="C24" s="681">
        <f t="shared" si="0"/>
        <v>4383892.0199999996</v>
      </c>
      <c r="D24" s="664">
        <v>4211964.17</v>
      </c>
      <c r="E24" s="664">
        <v>142091.06</v>
      </c>
      <c r="F24" s="683">
        <v>29836.79</v>
      </c>
      <c r="G24" s="683">
        <v>0</v>
      </c>
      <c r="H24" s="665">
        <f t="shared" si="1"/>
        <v>97389.65</v>
      </c>
      <c r="I24" s="683">
        <v>46737.440000000002</v>
      </c>
      <c r="J24" s="683">
        <v>26142.560000000001</v>
      </c>
      <c r="K24" s="683">
        <v>24509.65</v>
      </c>
      <c r="L24" s="683">
        <v>0</v>
      </c>
    </row>
    <row r="25" spans="1:12">
      <c r="A25" s="381">
        <v>19</v>
      </c>
      <c r="B25" s="396" t="s">
        <v>415</v>
      </c>
      <c r="C25" s="681">
        <f t="shared" si="0"/>
        <v>7513013.2500000009</v>
      </c>
      <c r="D25" s="664">
        <v>7112306.1500000004</v>
      </c>
      <c r="E25" s="664">
        <v>238595.9</v>
      </c>
      <c r="F25" s="683">
        <v>162111.20000000001</v>
      </c>
      <c r="G25" s="683">
        <v>0</v>
      </c>
      <c r="H25" s="665">
        <f t="shared" si="1"/>
        <v>255061.05</v>
      </c>
      <c r="I25" s="683">
        <v>47460.87</v>
      </c>
      <c r="J25" s="683">
        <v>73269.5</v>
      </c>
      <c r="K25" s="683">
        <v>134330.68</v>
      </c>
      <c r="L25" s="683">
        <v>0</v>
      </c>
    </row>
    <row r="26" spans="1:12">
      <c r="A26" s="381">
        <v>20</v>
      </c>
      <c r="B26" s="396" t="s">
        <v>490</v>
      </c>
      <c r="C26" s="681">
        <f t="shared" si="0"/>
        <v>20532626.529999997</v>
      </c>
      <c r="D26" s="664">
        <v>20227146.469999999</v>
      </c>
      <c r="E26" s="664">
        <v>229512.66</v>
      </c>
      <c r="F26" s="683">
        <v>75967.399999999994</v>
      </c>
      <c r="G26" s="683">
        <v>0</v>
      </c>
      <c r="H26" s="665">
        <f t="shared" si="1"/>
        <v>245964.52</v>
      </c>
      <c r="I26" s="683">
        <v>137134.79999999999</v>
      </c>
      <c r="J26" s="683">
        <v>46417.06</v>
      </c>
      <c r="K26" s="683">
        <v>62412.66</v>
      </c>
      <c r="L26" s="683">
        <v>0</v>
      </c>
    </row>
    <row r="27" spans="1:12">
      <c r="A27" s="381">
        <v>21</v>
      </c>
      <c r="B27" s="396" t="s">
        <v>416</v>
      </c>
      <c r="C27" s="681">
        <f t="shared" si="0"/>
        <v>2833232.9099999997</v>
      </c>
      <c r="D27" s="664">
        <v>2795081.8</v>
      </c>
      <c r="E27" s="664">
        <v>27310.09</v>
      </c>
      <c r="F27" s="683">
        <v>10841.02</v>
      </c>
      <c r="G27" s="683">
        <v>0</v>
      </c>
      <c r="H27" s="665">
        <f t="shared" si="1"/>
        <v>30949.08</v>
      </c>
      <c r="I27" s="683">
        <v>18992.36</v>
      </c>
      <c r="J27" s="683">
        <v>3132.85</v>
      </c>
      <c r="K27" s="683">
        <v>8823.8700000000008</v>
      </c>
      <c r="L27" s="683">
        <v>0</v>
      </c>
    </row>
    <row r="28" spans="1:12">
      <c r="A28" s="381">
        <v>22</v>
      </c>
      <c r="B28" s="396" t="s">
        <v>417</v>
      </c>
      <c r="C28" s="681">
        <f t="shared" si="0"/>
        <v>1360573.74</v>
      </c>
      <c r="D28" s="664">
        <v>1319328.98</v>
      </c>
      <c r="E28" s="664">
        <v>5930.41</v>
      </c>
      <c r="F28" s="683">
        <v>35314.35</v>
      </c>
      <c r="G28" s="683">
        <v>0</v>
      </c>
      <c r="H28" s="665">
        <f t="shared" si="1"/>
        <v>39226.71</v>
      </c>
      <c r="I28" s="683">
        <v>7282.97</v>
      </c>
      <c r="J28" s="683">
        <v>2629.96</v>
      </c>
      <c r="K28" s="683">
        <v>29313.78</v>
      </c>
      <c r="L28" s="683">
        <v>0</v>
      </c>
    </row>
    <row r="29" spans="1:12">
      <c r="A29" s="381">
        <v>23</v>
      </c>
      <c r="B29" s="396" t="s">
        <v>418</v>
      </c>
      <c r="C29" s="681">
        <f t="shared" si="0"/>
        <v>648797306.23000014</v>
      </c>
      <c r="D29" s="664">
        <v>610148023.32000005</v>
      </c>
      <c r="E29" s="664">
        <v>30071453.129999999</v>
      </c>
      <c r="F29" s="683">
        <v>8555803.3200000003</v>
      </c>
      <c r="G29" s="683">
        <v>22026.46</v>
      </c>
      <c r="H29" s="665">
        <f t="shared" si="1"/>
        <v>19320455.530000001</v>
      </c>
      <c r="I29" s="683">
        <v>5653069.3099999996</v>
      </c>
      <c r="J29" s="683">
        <v>6865398.9500000002</v>
      </c>
      <c r="K29" s="683">
        <v>6800041.3300000001</v>
      </c>
      <c r="L29" s="683">
        <v>1945.94</v>
      </c>
    </row>
    <row r="30" spans="1:12">
      <c r="A30" s="381">
        <v>24</v>
      </c>
      <c r="B30" s="396" t="s">
        <v>489</v>
      </c>
      <c r="C30" s="681">
        <f t="shared" si="0"/>
        <v>1002018777.36</v>
      </c>
      <c r="D30" s="664">
        <v>951297902.96000004</v>
      </c>
      <c r="E30" s="664">
        <v>42194282.039999999</v>
      </c>
      <c r="F30" s="683">
        <v>8526592.3599999994</v>
      </c>
      <c r="G30" s="683">
        <v>0</v>
      </c>
      <c r="H30" s="665">
        <f t="shared" si="1"/>
        <v>24166006.760000002</v>
      </c>
      <c r="I30" s="683">
        <v>8481603</v>
      </c>
      <c r="J30" s="683">
        <v>8714519.2100000009</v>
      </c>
      <c r="K30" s="683">
        <v>6969884.5499999998</v>
      </c>
      <c r="L30" s="683">
        <v>0</v>
      </c>
    </row>
    <row r="31" spans="1:12">
      <c r="A31" s="381">
        <v>25</v>
      </c>
      <c r="B31" s="396" t="s">
        <v>419</v>
      </c>
      <c r="C31" s="681">
        <f t="shared" si="0"/>
        <v>272283773.09000003</v>
      </c>
      <c r="D31" s="664">
        <v>260566321.40000001</v>
      </c>
      <c r="E31" s="664">
        <v>8124166.0099999998</v>
      </c>
      <c r="F31" s="683">
        <v>3587290.86</v>
      </c>
      <c r="G31" s="683">
        <v>5994.82</v>
      </c>
      <c r="H31" s="665">
        <f t="shared" si="1"/>
        <v>6999845.6099999994</v>
      </c>
      <c r="I31" s="683">
        <v>2250011.1</v>
      </c>
      <c r="J31" s="683">
        <v>1975121.4</v>
      </c>
      <c r="K31" s="683">
        <v>2774644.28</v>
      </c>
      <c r="L31" s="683">
        <v>68.83</v>
      </c>
    </row>
    <row r="32" spans="1:12">
      <c r="A32" s="381">
        <v>26</v>
      </c>
      <c r="B32" s="396" t="s">
        <v>486</v>
      </c>
      <c r="C32" s="681">
        <f t="shared" si="0"/>
        <v>80534548.950000003</v>
      </c>
      <c r="D32" s="664">
        <v>76139922.379999995</v>
      </c>
      <c r="E32" s="664">
        <v>3418405.93</v>
      </c>
      <c r="F32" s="683">
        <v>976220.64</v>
      </c>
      <c r="G32" s="683">
        <v>0</v>
      </c>
      <c r="H32" s="665">
        <f t="shared" si="1"/>
        <v>2406293.2599999998</v>
      </c>
      <c r="I32" s="683">
        <v>827505.74</v>
      </c>
      <c r="J32" s="683">
        <v>785862.75</v>
      </c>
      <c r="K32" s="683">
        <v>792924.77</v>
      </c>
      <c r="L32" s="683">
        <v>0</v>
      </c>
    </row>
    <row r="33" spans="1:12">
      <c r="A33" s="381">
        <v>27</v>
      </c>
      <c r="B33" s="439" t="s">
        <v>65</v>
      </c>
      <c r="C33" s="681">
        <f>SUM(C7:C32)</f>
        <v>2775593587.23</v>
      </c>
      <c r="D33" s="681">
        <f t="shared" ref="D33:G33" si="2">SUM(D7:D32)</f>
        <v>2637916856.1500001</v>
      </c>
      <c r="E33" s="681">
        <f t="shared" si="2"/>
        <v>110946387.55000001</v>
      </c>
      <c r="F33" s="681">
        <f t="shared" si="2"/>
        <v>26689903.329999998</v>
      </c>
      <c r="G33" s="681">
        <f t="shared" si="2"/>
        <v>40440.199999999997</v>
      </c>
      <c r="H33" s="665">
        <f>SUM(H7:H32)</f>
        <v>67220702.830000013</v>
      </c>
      <c r="I33" s="684">
        <f>SUM(I7:I32)</f>
        <v>22325849.669999998</v>
      </c>
      <c r="J33" s="684">
        <f t="shared" ref="J33:L33" si="3">SUM(J7:J32)</f>
        <v>23546052.879999999</v>
      </c>
      <c r="K33" s="684">
        <f t="shared" si="3"/>
        <v>21346642.93</v>
      </c>
      <c r="L33" s="684">
        <f t="shared" si="3"/>
        <v>2157.35</v>
      </c>
    </row>
    <row r="35" spans="1:12">
      <c r="B35" s="438"/>
      <c r="C35" s="438"/>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topLeftCell="C1" zoomScale="80" zoomScaleNormal="80" workbookViewId="0">
      <selection activeCell="C6" sqref="C6:K11"/>
    </sheetView>
  </sheetViews>
  <sheetFormatPr defaultColWidth="8.77734375" defaultRowHeight="12"/>
  <cols>
    <col min="1" max="1" width="11.77734375" style="440" bestFit="1" customWidth="1"/>
    <col min="2" max="2" width="68.77734375" style="440" customWidth="1"/>
    <col min="3" max="11" width="28.21875" style="440" customWidth="1"/>
    <col min="12" max="16384" width="8.77734375" style="440"/>
  </cols>
  <sheetData>
    <row r="1" spans="1:11" s="392" customFormat="1" ht="13.8">
      <c r="A1" s="308" t="s">
        <v>31</v>
      </c>
      <c r="B1" s="378" t="str">
        <f>'Info '!C2</f>
        <v>JSC "CREDOBANK"</v>
      </c>
    </row>
    <row r="2" spans="1:11" s="392" customFormat="1">
      <c r="A2" s="308" t="s">
        <v>32</v>
      </c>
      <c r="B2" s="377">
        <f>'1. key ratios '!B2</f>
        <v>45838</v>
      </c>
    </row>
    <row r="3" spans="1:11" s="392" customFormat="1">
      <c r="A3" s="309" t="s">
        <v>469</v>
      </c>
    </row>
    <row r="4" spans="1:11">
      <c r="C4" s="443" t="s">
        <v>663</v>
      </c>
      <c r="D4" s="443" t="s">
        <v>662</v>
      </c>
      <c r="E4" s="443" t="s">
        <v>661</v>
      </c>
      <c r="F4" s="443" t="s">
        <v>660</v>
      </c>
      <c r="G4" s="443" t="s">
        <v>659</v>
      </c>
      <c r="H4" s="443" t="s">
        <v>658</v>
      </c>
      <c r="I4" s="443" t="s">
        <v>657</v>
      </c>
      <c r="J4" s="443" t="s">
        <v>656</v>
      </c>
      <c r="K4" s="443" t="s">
        <v>655</v>
      </c>
    </row>
    <row r="5" spans="1:11" ht="103.95" customHeight="1">
      <c r="A5" s="867" t="s">
        <v>654</v>
      </c>
      <c r="B5" s="868"/>
      <c r="C5" s="442" t="s">
        <v>470</v>
      </c>
      <c r="D5" s="442" t="s">
        <v>471</v>
      </c>
      <c r="E5" s="442" t="s">
        <v>472</v>
      </c>
      <c r="F5" s="442" t="s">
        <v>473</v>
      </c>
      <c r="G5" s="442" t="s">
        <v>474</v>
      </c>
      <c r="H5" s="442" t="s">
        <v>475</v>
      </c>
      <c r="I5" s="442" t="s">
        <v>476</v>
      </c>
      <c r="J5" s="442" t="s">
        <v>477</v>
      </c>
      <c r="K5" s="442" t="s">
        <v>478</v>
      </c>
    </row>
    <row r="6" spans="1:11">
      <c r="A6" s="381">
        <v>1</v>
      </c>
      <c r="B6" s="381" t="s">
        <v>438</v>
      </c>
      <c r="C6" s="728">
        <v>7691463.8841344118</v>
      </c>
      <c r="D6" s="728">
        <v>60792.117947795196</v>
      </c>
      <c r="E6" s="728"/>
      <c r="F6" s="728"/>
      <c r="G6" s="728">
        <v>936797906.89899874</v>
      </c>
      <c r="H6" s="728"/>
      <c r="I6" s="728">
        <v>115327126.91958702</v>
      </c>
      <c r="J6" s="728">
        <v>310280607.66444266</v>
      </c>
      <c r="K6" s="728">
        <v>1405435689.7268791</v>
      </c>
    </row>
    <row r="7" spans="1:11">
      <c r="A7" s="381">
        <v>2</v>
      </c>
      <c r="B7" s="381" t="s">
        <v>479</v>
      </c>
      <c r="C7" s="728"/>
      <c r="D7" s="728"/>
      <c r="E7" s="728"/>
      <c r="F7" s="728"/>
      <c r="G7" s="728"/>
      <c r="H7" s="728"/>
      <c r="I7" s="728"/>
      <c r="J7" s="728"/>
      <c r="K7" s="728"/>
    </row>
    <row r="8" spans="1:11">
      <c r="A8" s="381">
        <v>3</v>
      </c>
      <c r="B8" s="381" t="s">
        <v>446</v>
      </c>
      <c r="C8" s="728">
        <v>2750105.2671827162</v>
      </c>
      <c r="D8" s="728">
        <v>0</v>
      </c>
      <c r="E8" s="728"/>
      <c r="F8" s="728"/>
      <c r="G8" s="728">
        <v>16891267.418685801</v>
      </c>
      <c r="H8" s="728"/>
      <c r="I8" s="728">
        <v>361835.53796483198</v>
      </c>
      <c r="J8" s="728">
        <v>11405082.149614032</v>
      </c>
      <c r="K8" s="728">
        <v>353866670.16553003</v>
      </c>
    </row>
    <row r="9" spans="1:11">
      <c r="A9" s="381">
        <v>4</v>
      </c>
      <c r="B9" s="401" t="s">
        <v>480</v>
      </c>
      <c r="C9" s="741">
        <v>0</v>
      </c>
      <c r="D9" s="741">
        <v>0</v>
      </c>
      <c r="E9" s="741"/>
      <c r="F9" s="741"/>
      <c r="G9" s="741">
        <v>1675580.979344144</v>
      </c>
      <c r="H9" s="741"/>
      <c r="I9" s="741">
        <v>2194597.1212767079</v>
      </c>
      <c r="J9" s="741">
        <v>3092494.1432630001</v>
      </c>
      <c r="K9" s="741">
        <v>19767667.970288798</v>
      </c>
    </row>
    <row r="10" spans="1:11">
      <c r="A10" s="381">
        <v>5</v>
      </c>
      <c r="B10" s="401" t="s">
        <v>481</v>
      </c>
      <c r="C10" s="741"/>
      <c r="D10" s="741"/>
      <c r="E10" s="741"/>
      <c r="F10" s="741"/>
      <c r="G10" s="741"/>
      <c r="H10" s="741"/>
      <c r="I10" s="741"/>
      <c r="J10" s="741"/>
      <c r="K10" s="741"/>
    </row>
    <row r="11" spans="1:11">
      <c r="A11" s="381">
        <v>6</v>
      </c>
      <c r="B11" s="401" t="s">
        <v>482</v>
      </c>
      <c r="C11" s="741"/>
      <c r="D11" s="741"/>
      <c r="E11" s="741"/>
      <c r="F11" s="741"/>
      <c r="G11" s="741"/>
      <c r="H11" s="741"/>
      <c r="I11" s="741"/>
      <c r="J11" s="741"/>
      <c r="K11" s="741"/>
    </row>
    <row r="13" spans="1:11" ht="13.8">
      <c r="B13" s="441"/>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topLeftCell="B1" zoomScale="80" zoomScaleNormal="80" workbookViewId="0">
      <selection activeCell="C20" sqref="C20"/>
    </sheetView>
  </sheetViews>
  <sheetFormatPr defaultColWidth="8.77734375" defaultRowHeight="14.4"/>
  <cols>
    <col min="1" max="1" width="10" style="444" bestFit="1" customWidth="1"/>
    <col min="2" max="2" width="71.77734375" style="444" customWidth="1"/>
    <col min="3" max="3" width="11.6640625" style="444" bestFit="1" customWidth="1"/>
    <col min="4" max="7" width="15.5546875" style="444" customWidth="1"/>
    <col min="8" max="8" width="11.6640625" style="444" bestFit="1" customWidth="1"/>
    <col min="9" max="12" width="17.21875" style="444" customWidth="1"/>
    <col min="13" max="13" width="10.6640625" style="444" bestFit="1" customWidth="1"/>
    <col min="14" max="17" width="16.21875" style="444" customWidth="1"/>
    <col min="18" max="18" width="12.21875" style="444" bestFit="1" customWidth="1"/>
    <col min="19" max="19" width="46.88671875" style="444" bestFit="1" customWidth="1"/>
    <col min="20" max="20" width="43.44140625" style="444" bestFit="1" customWidth="1"/>
    <col min="21" max="21" width="45.88671875" style="444" bestFit="1" customWidth="1"/>
    <col min="22" max="22" width="43.33203125" style="444" bestFit="1" customWidth="1"/>
    <col min="23" max="16384" width="8.77734375" style="444"/>
  </cols>
  <sheetData>
    <row r="1" spans="1:22">
      <c r="A1" s="308" t="s">
        <v>31</v>
      </c>
      <c r="B1" s="378" t="str">
        <f>'Info '!C2</f>
        <v>JSC "CREDOBANK"</v>
      </c>
    </row>
    <row r="2" spans="1:22">
      <c r="A2" s="308" t="s">
        <v>32</v>
      </c>
      <c r="B2" s="377">
        <f>'1. key ratios '!B2</f>
        <v>45838</v>
      </c>
    </row>
    <row r="3" spans="1:22">
      <c r="A3" s="309" t="s">
        <v>497</v>
      </c>
      <c r="B3" s="392"/>
    </row>
    <row r="4" spans="1:22">
      <c r="A4" s="309"/>
      <c r="B4" s="392"/>
    </row>
    <row r="5" spans="1:22" ht="24" customHeight="1">
      <c r="A5" s="869" t="s">
        <v>498</v>
      </c>
      <c r="B5" s="870"/>
      <c r="C5" s="874" t="s">
        <v>664</v>
      </c>
      <c r="D5" s="874"/>
      <c r="E5" s="874"/>
      <c r="F5" s="874"/>
      <c r="G5" s="874"/>
      <c r="H5" s="874" t="s">
        <v>516</v>
      </c>
      <c r="I5" s="874"/>
      <c r="J5" s="874"/>
      <c r="K5" s="874"/>
      <c r="L5" s="874"/>
      <c r="M5" s="874" t="s">
        <v>628</v>
      </c>
      <c r="N5" s="874"/>
      <c r="O5" s="874"/>
      <c r="P5" s="874"/>
      <c r="Q5" s="874"/>
      <c r="R5" s="873" t="s">
        <v>499</v>
      </c>
      <c r="S5" s="873" t="s">
        <v>513</v>
      </c>
      <c r="T5" s="873" t="s">
        <v>514</v>
      </c>
      <c r="U5" s="873" t="s">
        <v>672</v>
      </c>
      <c r="V5" s="873" t="s">
        <v>673</v>
      </c>
    </row>
    <row r="6" spans="1:22" ht="36" customHeight="1">
      <c r="A6" s="871"/>
      <c r="B6" s="872"/>
      <c r="C6" s="453"/>
      <c r="D6" s="390" t="s">
        <v>649</v>
      </c>
      <c r="E6" s="390" t="s">
        <v>648</v>
      </c>
      <c r="F6" s="390" t="s">
        <v>647</v>
      </c>
      <c r="G6" s="390" t="s">
        <v>646</v>
      </c>
      <c r="H6" s="453"/>
      <c r="I6" s="390" t="s">
        <v>649</v>
      </c>
      <c r="J6" s="390" t="s">
        <v>648</v>
      </c>
      <c r="K6" s="390" t="s">
        <v>647</v>
      </c>
      <c r="L6" s="390" t="s">
        <v>646</v>
      </c>
      <c r="M6" s="453"/>
      <c r="N6" s="390" t="s">
        <v>649</v>
      </c>
      <c r="O6" s="390" t="s">
        <v>648</v>
      </c>
      <c r="P6" s="390" t="s">
        <v>647</v>
      </c>
      <c r="Q6" s="390" t="s">
        <v>646</v>
      </c>
      <c r="R6" s="873"/>
      <c r="S6" s="873"/>
      <c r="T6" s="873"/>
      <c r="U6" s="873"/>
      <c r="V6" s="873"/>
    </row>
    <row r="7" spans="1:22">
      <c r="A7" s="448">
        <v>1</v>
      </c>
      <c r="B7" s="452" t="s">
        <v>507</v>
      </c>
      <c r="C7" s="686">
        <f>SUM(D7:G7)</f>
        <v>29257292.894600067</v>
      </c>
      <c r="D7" s="685">
        <v>27476964.614600066</v>
      </c>
      <c r="E7" s="685">
        <v>884542.94000000041</v>
      </c>
      <c r="F7" s="685">
        <v>874196.32000000007</v>
      </c>
      <c r="G7" s="685">
        <v>21589.02</v>
      </c>
      <c r="H7" s="742">
        <f>SUM(I7:L7)</f>
        <v>30020416.905993141</v>
      </c>
      <c r="I7" s="741">
        <v>27933093.533135358</v>
      </c>
      <c r="J7" s="741">
        <v>950333.38001253165</v>
      </c>
      <c r="K7" s="741">
        <v>1114963.5361268539</v>
      </c>
      <c r="L7" s="741">
        <v>22026.456718398302</v>
      </c>
      <c r="M7" s="742">
        <f>SUM(N7:Q7)</f>
        <v>1456467.7394787341</v>
      </c>
      <c r="N7" s="741">
        <v>315966.16290143499</v>
      </c>
      <c r="O7" s="741">
        <v>349673.63829341793</v>
      </c>
      <c r="P7" s="741">
        <v>788881.99441637972</v>
      </c>
      <c r="Q7" s="741">
        <v>1945.9438675016299</v>
      </c>
      <c r="R7" s="741">
        <v>24868</v>
      </c>
      <c r="S7" s="744">
        <v>0.21029999999999999</v>
      </c>
      <c r="T7" s="744">
        <v>0.299234</v>
      </c>
      <c r="U7" s="744">
        <v>0.23</v>
      </c>
      <c r="V7" s="745">
        <v>34.8307</v>
      </c>
    </row>
    <row r="8" spans="1:22">
      <c r="A8" s="448">
        <v>2</v>
      </c>
      <c r="B8" s="451" t="s">
        <v>506</v>
      </c>
      <c r="C8" s="686">
        <f t="shared" ref="C8:C18" si="0">SUM(D8:G8)</f>
        <v>1125221013.2266846</v>
      </c>
      <c r="D8" s="685">
        <v>1043029306.1100848</v>
      </c>
      <c r="E8" s="685">
        <v>70453829.156599686</v>
      </c>
      <c r="F8" s="685">
        <v>11737877.959999986</v>
      </c>
      <c r="G8" s="685">
        <v>0</v>
      </c>
      <c r="H8" s="742">
        <f t="shared" ref="H8:H18" si="1">SUM(I8:L8)</f>
        <v>1118974682.7877443</v>
      </c>
      <c r="I8" s="741">
        <v>1037236355.626755</v>
      </c>
      <c r="J8" s="741">
        <v>68296469.289119512</v>
      </c>
      <c r="K8" s="741">
        <v>13441857.87186984</v>
      </c>
      <c r="L8" s="741">
        <v>0</v>
      </c>
      <c r="M8" s="742">
        <f t="shared" ref="M8:M18" si="2">SUM(N8:Q8)</f>
        <v>35795802.060731038</v>
      </c>
      <c r="N8" s="741">
        <v>10507352.802929332</v>
      </c>
      <c r="O8" s="741">
        <v>14297016.904459538</v>
      </c>
      <c r="P8" s="741">
        <v>10991432.353342164</v>
      </c>
      <c r="Q8" s="741">
        <v>0</v>
      </c>
      <c r="R8" s="741">
        <v>163976</v>
      </c>
      <c r="S8" s="744">
        <v>0.2339</v>
      </c>
      <c r="T8" s="744">
        <v>0.314473</v>
      </c>
      <c r="U8" s="744">
        <v>0.22</v>
      </c>
      <c r="V8" s="745">
        <v>40.351799999999997</v>
      </c>
    </row>
    <row r="9" spans="1:22">
      <c r="A9" s="448">
        <v>3</v>
      </c>
      <c r="B9" s="451" t="s">
        <v>505</v>
      </c>
      <c r="C9" s="686">
        <f t="shared" si="0"/>
        <v>0</v>
      </c>
      <c r="D9" s="685">
        <v>0</v>
      </c>
      <c r="E9" s="685">
        <v>0</v>
      </c>
      <c r="F9" s="685">
        <v>0</v>
      </c>
      <c r="G9" s="685">
        <v>0</v>
      </c>
      <c r="H9" s="742">
        <f t="shared" si="1"/>
        <v>0</v>
      </c>
      <c r="I9" s="741">
        <v>0</v>
      </c>
      <c r="J9" s="741">
        <v>0</v>
      </c>
      <c r="K9" s="741">
        <v>0</v>
      </c>
      <c r="L9" s="741">
        <v>0</v>
      </c>
      <c r="M9" s="742">
        <f t="shared" si="2"/>
        <v>0</v>
      </c>
      <c r="N9" s="741">
        <v>0</v>
      </c>
      <c r="O9" s="741">
        <v>0</v>
      </c>
      <c r="P9" s="741">
        <v>0</v>
      </c>
      <c r="Q9" s="741">
        <v>0</v>
      </c>
      <c r="R9" s="741">
        <v>0</v>
      </c>
      <c r="S9" s="744">
        <v>0</v>
      </c>
      <c r="T9" s="744">
        <v>0</v>
      </c>
      <c r="U9" s="744">
        <v>0</v>
      </c>
      <c r="V9" s="745">
        <v>0</v>
      </c>
    </row>
    <row r="10" spans="1:22">
      <c r="A10" s="448">
        <v>4</v>
      </c>
      <c r="B10" s="451" t="s">
        <v>504</v>
      </c>
      <c r="C10" s="686">
        <f t="shared" si="0"/>
        <v>251442680.69999769</v>
      </c>
      <c r="D10" s="685">
        <v>241410889.5399977</v>
      </c>
      <c r="E10" s="685">
        <v>6815926.0500000017</v>
      </c>
      <c r="F10" s="685">
        <v>3215865.1099999975</v>
      </c>
      <c r="G10" s="685">
        <v>0</v>
      </c>
      <c r="H10" s="742">
        <f t="shared" si="1"/>
        <v>269629778.17447174</v>
      </c>
      <c r="I10" s="741">
        <v>256296043.40293261</v>
      </c>
      <c r="J10" s="741">
        <v>8299668.8605244104</v>
      </c>
      <c r="K10" s="741">
        <v>5034065.9110147087</v>
      </c>
      <c r="L10" s="741">
        <v>0</v>
      </c>
      <c r="M10" s="742">
        <f t="shared" si="2"/>
        <v>10117785.512209559</v>
      </c>
      <c r="N10" s="741">
        <v>3544825.3260316164</v>
      </c>
      <c r="O10" s="741">
        <v>2475563.3284787829</v>
      </c>
      <c r="P10" s="741">
        <v>4097396.8576991591</v>
      </c>
      <c r="Q10" s="741">
        <v>0</v>
      </c>
      <c r="R10" s="741">
        <v>283339</v>
      </c>
      <c r="S10" s="744">
        <v>9.5799999999999996E-2</v>
      </c>
      <c r="T10" s="744">
        <v>0.19442899999999999</v>
      </c>
      <c r="U10" s="744">
        <v>0.14000000000000001</v>
      </c>
      <c r="V10" s="745">
        <v>16.832799999999999</v>
      </c>
    </row>
    <row r="11" spans="1:22">
      <c r="A11" s="448">
        <v>5</v>
      </c>
      <c r="B11" s="451" t="s">
        <v>503</v>
      </c>
      <c r="C11" s="686">
        <f t="shared" si="0"/>
        <v>1433381.4922</v>
      </c>
      <c r="D11" s="685">
        <v>1433381.4922</v>
      </c>
      <c r="E11" s="685">
        <v>0</v>
      </c>
      <c r="F11" s="685">
        <v>0</v>
      </c>
      <c r="G11" s="685">
        <v>0</v>
      </c>
      <c r="H11" s="742">
        <f t="shared" si="1"/>
        <v>1479896.65049247</v>
      </c>
      <c r="I11" s="741">
        <v>1479896.65049247</v>
      </c>
      <c r="J11" s="741">
        <v>0</v>
      </c>
      <c r="K11" s="741">
        <v>0</v>
      </c>
      <c r="L11" s="741">
        <v>0</v>
      </c>
      <c r="M11" s="742">
        <f t="shared" si="2"/>
        <v>3948.8241034473504</v>
      </c>
      <c r="N11" s="741">
        <v>3948.8241034473504</v>
      </c>
      <c r="O11" s="741">
        <v>0</v>
      </c>
      <c r="P11" s="741">
        <v>0</v>
      </c>
      <c r="Q11" s="741">
        <v>0</v>
      </c>
      <c r="R11" s="741">
        <v>20</v>
      </c>
      <c r="S11" s="744">
        <v>0.10340000000000001</v>
      </c>
      <c r="T11" s="744">
        <v>0.12723400000000001</v>
      </c>
      <c r="U11" s="744">
        <v>0.11</v>
      </c>
      <c r="V11" s="745">
        <v>8.7218999999999998</v>
      </c>
    </row>
    <row r="12" spans="1:22">
      <c r="A12" s="448">
        <v>6</v>
      </c>
      <c r="B12" s="451" t="s">
        <v>502</v>
      </c>
      <c r="C12" s="686">
        <f t="shared" si="0"/>
        <v>74574073.419999525</v>
      </c>
      <c r="D12" s="685">
        <v>70675784.729999527</v>
      </c>
      <c r="E12" s="685">
        <v>2225794.7699999991</v>
      </c>
      <c r="F12" s="685">
        <v>1672493.9199999997</v>
      </c>
      <c r="G12" s="685">
        <v>0</v>
      </c>
      <c r="H12" s="742">
        <f t="shared" si="1"/>
        <v>74880062.465704829</v>
      </c>
      <c r="I12" s="741">
        <v>70965099.87927869</v>
      </c>
      <c r="J12" s="741">
        <v>2236094.5243322616</v>
      </c>
      <c r="K12" s="741">
        <v>1678868.0620938889</v>
      </c>
      <c r="L12" s="741">
        <v>0</v>
      </c>
      <c r="M12" s="742">
        <f t="shared" si="2"/>
        <v>3283865.0766828097</v>
      </c>
      <c r="N12" s="741">
        <v>1035723.7546567321</v>
      </c>
      <c r="O12" s="741">
        <v>881591.00674988737</v>
      </c>
      <c r="P12" s="741">
        <v>1366550.3152761904</v>
      </c>
      <c r="Q12" s="741">
        <v>0</v>
      </c>
      <c r="R12" s="741">
        <v>120724</v>
      </c>
      <c r="S12" s="744">
        <v>0.34989999999999999</v>
      </c>
      <c r="T12" s="744">
        <v>0.42072199999999998</v>
      </c>
      <c r="U12" s="744">
        <v>0.34</v>
      </c>
      <c r="V12" s="745">
        <v>322.78730000000002</v>
      </c>
    </row>
    <row r="13" spans="1:22">
      <c r="A13" s="448">
        <v>7</v>
      </c>
      <c r="B13" s="451" t="s">
        <v>501</v>
      </c>
      <c r="C13" s="686">
        <f t="shared" si="0"/>
        <v>286272843.62710088</v>
      </c>
      <c r="D13" s="687">
        <f>SUM(D14:D16)</f>
        <v>282179288.41710085</v>
      </c>
      <c r="E13" s="687">
        <f t="shared" ref="E13:G13" si="3">SUM(E14:E16)</f>
        <v>2940454.3699999996</v>
      </c>
      <c r="F13" s="687">
        <f t="shared" si="3"/>
        <v>1147162.4300000004</v>
      </c>
      <c r="G13" s="687">
        <f t="shared" si="3"/>
        <v>5938.41</v>
      </c>
      <c r="H13" s="742">
        <f t="shared" si="1"/>
        <v>287920921.26605874</v>
      </c>
      <c r="I13" s="743">
        <f>SUM(I14:I16)</f>
        <v>283795500.37421501</v>
      </c>
      <c r="J13" s="743">
        <f t="shared" ref="J13:L13" si="4">SUM(J14:J16)</f>
        <v>2852279.8290643408</v>
      </c>
      <c r="K13" s="743">
        <f t="shared" si="4"/>
        <v>1267178.3276614812</v>
      </c>
      <c r="L13" s="743">
        <f t="shared" si="4"/>
        <v>5962.7351178919598</v>
      </c>
      <c r="M13" s="742">
        <f t="shared" si="2"/>
        <v>2748201.5601411201</v>
      </c>
      <c r="N13" s="743">
        <f>SUM(N14:N16)</f>
        <v>1241424.7302981245</v>
      </c>
      <c r="O13" s="743">
        <f t="shared" ref="O13:Q13" si="5">SUM(O14:O16)</f>
        <v>620692.45080613578</v>
      </c>
      <c r="P13" s="743">
        <f t="shared" si="5"/>
        <v>886015.92047161772</v>
      </c>
      <c r="Q13" s="743">
        <f t="shared" si="5"/>
        <v>68.458565241934394</v>
      </c>
      <c r="R13" s="743">
        <v>11842</v>
      </c>
      <c r="S13" s="744">
        <v>0.1545</v>
      </c>
      <c r="T13" s="744">
        <v>0.18937399999999999</v>
      </c>
      <c r="U13" s="744">
        <v>0.15129999999999999</v>
      </c>
      <c r="V13" s="745">
        <v>100.6557</v>
      </c>
    </row>
    <row r="14" spans="1:22">
      <c r="A14" s="446">
        <v>7.1</v>
      </c>
      <c r="B14" s="445" t="s">
        <v>510</v>
      </c>
      <c r="C14" s="686">
        <f t="shared" si="0"/>
        <v>198538421.78370073</v>
      </c>
      <c r="D14" s="685">
        <v>197687249.09370074</v>
      </c>
      <c r="E14" s="685">
        <v>134157.19</v>
      </c>
      <c r="F14" s="685">
        <v>717015.50000000012</v>
      </c>
      <c r="G14" s="685">
        <v>0</v>
      </c>
      <c r="H14" s="742">
        <f t="shared" si="1"/>
        <v>200602250.58407378</v>
      </c>
      <c r="I14" s="741">
        <v>199685420.77273402</v>
      </c>
      <c r="J14" s="741">
        <v>134793.9738181984</v>
      </c>
      <c r="K14" s="741">
        <v>782035.83752155525</v>
      </c>
      <c r="L14" s="741">
        <v>0</v>
      </c>
      <c r="M14" s="742">
        <f t="shared" si="2"/>
        <v>1127905.086734144</v>
      </c>
      <c r="N14" s="741">
        <v>594268.98272744007</v>
      </c>
      <c r="O14" s="741">
        <v>44247.222286118253</v>
      </c>
      <c r="P14" s="741">
        <v>489388.88172058581</v>
      </c>
      <c r="Q14" s="741">
        <v>0</v>
      </c>
      <c r="R14" s="741">
        <v>2255</v>
      </c>
      <c r="S14" s="744">
        <v>0.13980000000000001</v>
      </c>
      <c r="T14" s="744">
        <v>0.16490099999999999</v>
      </c>
      <c r="U14" s="744">
        <v>0.13</v>
      </c>
      <c r="V14" s="745">
        <v>123.0521</v>
      </c>
    </row>
    <row r="15" spans="1:22">
      <c r="A15" s="446">
        <v>7.2</v>
      </c>
      <c r="B15" s="445" t="s">
        <v>512</v>
      </c>
      <c r="C15" s="686">
        <f t="shared" si="0"/>
        <v>3843227.8121999996</v>
      </c>
      <c r="D15" s="685">
        <v>3774100.5521999998</v>
      </c>
      <c r="E15" s="685">
        <v>69127.259999999995</v>
      </c>
      <c r="F15" s="685">
        <v>0</v>
      </c>
      <c r="G15" s="685">
        <v>0</v>
      </c>
      <c r="H15" s="742">
        <f t="shared" si="1"/>
        <v>3856541.0530443741</v>
      </c>
      <c r="I15" s="741">
        <v>3788047.3133609467</v>
      </c>
      <c r="J15" s="741">
        <v>68493.739683427601</v>
      </c>
      <c r="K15" s="741">
        <v>0</v>
      </c>
      <c r="L15" s="741">
        <v>0</v>
      </c>
      <c r="M15" s="742">
        <f t="shared" si="2"/>
        <v>29867.013972543333</v>
      </c>
      <c r="N15" s="741">
        <v>9382.3646520942293</v>
      </c>
      <c r="O15" s="741">
        <v>20484.649320449102</v>
      </c>
      <c r="P15" s="741">
        <v>0</v>
      </c>
      <c r="Q15" s="741">
        <v>0</v>
      </c>
      <c r="R15" s="741">
        <v>52</v>
      </c>
      <c r="S15" s="744">
        <v>0.1298</v>
      </c>
      <c r="T15" s="744">
        <v>0.15659000000000001</v>
      </c>
      <c r="U15" s="744">
        <v>0.12</v>
      </c>
      <c r="V15" s="745">
        <v>94.546300000000002</v>
      </c>
    </row>
    <row r="16" spans="1:22">
      <c r="A16" s="446">
        <v>7.3</v>
      </c>
      <c r="B16" s="445" t="s">
        <v>509</v>
      </c>
      <c r="C16" s="686">
        <f t="shared" si="0"/>
        <v>83891194.031200111</v>
      </c>
      <c r="D16" s="685">
        <v>80717938.771200106</v>
      </c>
      <c r="E16" s="685">
        <v>2737169.9199999995</v>
      </c>
      <c r="F16" s="685">
        <v>430146.93000000023</v>
      </c>
      <c r="G16" s="685">
        <v>5938.41</v>
      </c>
      <c r="H16" s="742">
        <f t="shared" si="1"/>
        <v>83462129.628940567</v>
      </c>
      <c r="I16" s="741">
        <v>80322032.288120031</v>
      </c>
      <c r="J16" s="741">
        <v>2648992.1155627146</v>
      </c>
      <c r="K16" s="741">
        <v>485142.49013992591</v>
      </c>
      <c r="L16" s="741">
        <v>5962.7351178919598</v>
      </c>
      <c r="M16" s="742">
        <f t="shared" si="2"/>
        <v>1590429.4594344324</v>
      </c>
      <c r="N16" s="741">
        <v>637773.38291859021</v>
      </c>
      <c r="O16" s="741">
        <v>555960.57919956848</v>
      </c>
      <c r="P16" s="741">
        <v>396627.03875103191</v>
      </c>
      <c r="Q16" s="741">
        <v>68.458565241934394</v>
      </c>
      <c r="R16" s="741">
        <v>9535</v>
      </c>
      <c r="S16" s="744">
        <v>0.19420000000000001</v>
      </c>
      <c r="T16" s="744">
        <v>0.25506200000000001</v>
      </c>
      <c r="U16" s="744">
        <v>0.2</v>
      </c>
      <c r="V16" s="745">
        <v>47.931899999999999</v>
      </c>
    </row>
    <row r="17" spans="1:22">
      <c r="A17" s="448">
        <v>8</v>
      </c>
      <c r="B17" s="451" t="s">
        <v>508</v>
      </c>
      <c r="C17" s="686">
        <f t="shared" si="0"/>
        <v>0</v>
      </c>
      <c r="D17" s="685">
        <v>0</v>
      </c>
      <c r="E17" s="685">
        <v>0</v>
      </c>
      <c r="F17" s="685">
        <v>0</v>
      </c>
      <c r="G17" s="685">
        <v>0</v>
      </c>
      <c r="H17" s="742">
        <f t="shared" si="1"/>
        <v>0</v>
      </c>
      <c r="I17" s="741">
        <v>0</v>
      </c>
      <c r="J17" s="741">
        <v>0</v>
      </c>
      <c r="K17" s="741">
        <v>0</v>
      </c>
      <c r="L17" s="741">
        <v>0</v>
      </c>
      <c r="M17" s="742">
        <f t="shared" si="2"/>
        <v>0</v>
      </c>
      <c r="N17" s="741">
        <v>0</v>
      </c>
      <c r="O17" s="741">
        <v>0</v>
      </c>
      <c r="P17" s="741">
        <v>0</v>
      </c>
      <c r="Q17" s="741">
        <v>0</v>
      </c>
      <c r="R17" s="741">
        <v>0</v>
      </c>
      <c r="S17" s="744">
        <v>0</v>
      </c>
      <c r="T17" s="744">
        <v>0</v>
      </c>
      <c r="U17" s="744">
        <v>0</v>
      </c>
      <c r="V17" s="745">
        <v>0</v>
      </c>
    </row>
    <row r="18" spans="1:22">
      <c r="A18" s="450">
        <v>9</v>
      </c>
      <c r="B18" s="449" t="s">
        <v>500</v>
      </c>
      <c r="C18" s="686">
        <f t="shared" si="0"/>
        <v>7387930.095499998</v>
      </c>
      <c r="D18" s="688">
        <v>7319098.6654999983</v>
      </c>
      <c r="E18" s="688">
        <v>57559.799999999988</v>
      </c>
      <c r="F18" s="688">
        <v>11271.63</v>
      </c>
      <c r="G18" s="688">
        <v>0</v>
      </c>
      <c r="H18" s="742">
        <f t="shared" si="1"/>
        <v>7869639.8398018898</v>
      </c>
      <c r="I18" s="688">
        <v>7792618.2958629886</v>
      </c>
      <c r="J18" s="688">
        <v>63902.395932647341</v>
      </c>
      <c r="K18" s="688">
        <v>13119.14800625343</v>
      </c>
      <c r="L18" s="688">
        <v>0</v>
      </c>
      <c r="M18" s="742">
        <f t="shared" si="2"/>
        <v>123923.12662784831</v>
      </c>
      <c r="N18" s="688">
        <v>95634.424931544883</v>
      </c>
      <c r="O18" s="688">
        <v>17540.06737701485</v>
      </c>
      <c r="P18" s="688">
        <v>10748.634319288563</v>
      </c>
      <c r="Q18" s="688">
        <v>0</v>
      </c>
      <c r="R18" s="688">
        <v>2434</v>
      </c>
      <c r="S18" s="744">
        <v>7.0199999999999999E-2</v>
      </c>
      <c r="T18" s="744">
        <v>9.1934000000000002E-2</v>
      </c>
      <c r="U18" s="744">
        <v>0.04</v>
      </c>
      <c r="V18" s="745">
        <v>45.182200000000002</v>
      </c>
    </row>
    <row r="19" spans="1:22">
      <c r="A19" s="448">
        <v>10</v>
      </c>
      <c r="B19" s="447" t="s">
        <v>511</v>
      </c>
      <c r="C19" s="686">
        <f>SUM(C7:C13)+C17+C18</f>
        <v>1775589215.4560828</v>
      </c>
      <c r="D19" s="686">
        <f t="shared" ref="D19:G19" si="6">SUM(D7:D13)+D17+D18</f>
        <v>1673524713.5694828</v>
      </c>
      <c r="E19" s="686">
        <f t="shared" si="6"/>
        <v>83378107.086599678</v>
      </c>
      <c r="F19" s="686">
        <f t="shared" si="6"/>
        <v>18658867.369999982</v>
      </c>
      <c r="G19" s="686">
        <f t="shared" si="6"/>
        <v>27527.43</v>
      </c>
      <c r="H19" s="742">
        <f>SUM(H7:H13)+H17+H18</f>
        <v>1790775398.0902672</v>
      </c>
      <c r="I19" s="742">
        <f t="shared" ref="I19:L19" si="7">SUM(I7:I13)+I17+I18</f>
        <v>1685498607.7626722</v>
      </c>
      <c r="J19" s="742">
        <f t="shared" si="7"/>
        <v>82698748.278985694</v>
      </c>
      <c r="K19" s="742">
        <f t="shared" si="7"/>
        <v>22550052.856773023</v>
      </c>
      <c r="L19" s="742">
        <f t="shared" si="7"/>
        <v>27989.191836290262</v>
      </c>
      <c r="M19" s="742">
        <f>SUM(M7:M13)+M17+M18</f>
        <v>53529993.899974555</v>
      </c>
      <c r="N19" s="742">
        <f t="shared" ref="N19:Q19" si="8">SUM(N7:N13)+N17+N18</f>
        <v>16744876.025852231</v>
      </c>
      <c r="O19" s="742">
        <f t="shared" si="8"/>
        <v>18642077.396164779</v>
      </c>
      <c r="P19" s="742">
        <f t="shared" si="8"/>
        <v>18141026.075524796</v>
      </c>
      <c r="Q19" s="742">
        <f t="shared" si="8"/>
        <v>2014.4024327435643</v>
      </c>
      <c r="R19" s="746">
        <v>607203</v>
      </c>
      <c r="S19" s="744">
        <v>0.19</v>
      </c>
      <c r="T19" s="744">
        <v>0.27</v>
      </c>
      <c r="U19" s="744">
        <v>0.20100000000000001</v>
      </c>
      <c r="V19" s="745">
        <v>58.509599999999999</v>
      </c>
    </row>
    <row r="20" spans="1:22" ht="24">
      <c r="A20" s="446">
        <v>10.1</v>
      </c>
      <c r="B20" s="445" t="s">
        <v>515</v>
      </c>
      <c r="C20" s="686">
        <f>SUM(D20:G20)</f>
        <v>2715921.9100000006</v>
      </c>
      <c r="D20" s="685">
        <v>2583087.5000000005</v>
      </c>
      <c r="E20" s="685">
        <v>129683.82999999999</v>
      </c>
      <c r="F20" s="685">
        <v>3150.58</v>
      </c>
      <c r="G20" s="685">
        <v>0</v>
      </c>
      <c r="H20" s="742">
        <f>SUM(I20:L20)</f>
        <v>2727859.9774948601</v>
      </c>
      <c r="I20" s="741">
        <v>2598110.7331688292</v>
      </c>
      <c r="J20" s="741">
        <v>125827.90693066284</v>
      </c>
      <c r="K20" s="741">
        <v>3921.3373953682699</v>
      </c>
      <c r="L20" s="741">
        <v>0</v>
      </c>
      <c r="M20" s="742">
        <f>SUM(N20:Q20)</f>
        <v>66773.295448638746</v>
      </c>
      <c r="N20" s="741">
        <v>29445.497832397319</v>
      </c>
      <c r="O20" s="741">
        <v>34136.088209615569</v>
      </c>
      <c r="P20" s="741">
        <v>3191.7094066258601</v>
      </c>
      <c r="Q20" s="741">
        <v>0</v>
      </c>
      <c r="R20" s="741">
        <v>1138</v>
      </c>
      <c r="S20" s="744">
        <v>0.2044</v>
      </c>
      <c r="T20" s="744">
        <v>0.28256999999999999</v>
      </c>
      <c r="U20" s="744">
        <v>0.21640000000000001</v>
      </c>
      <c r="V20" s="745">
        <v>41.418399999999998</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ignoredErrors>
    <ignoredError sqref="D13:G13 M7:Q20"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A25" zoomScale="80" zoomScaleNormal="80" workbookViewId="0">
      <selection activeCell="F6" sqref="F6:G45"/>
    </sheetView>
  </sheetViews>
  <sheetFormatPr defaultRowHeight="14.4"/>
  <cols>
    <col min="2" max="2" width="66.6640625" customWidth="1"/>
    <col min="3" max="8" width="17.77734375" customWidth="1"/>
  </cols>
  <sheetData>
    <row r="1" spans="1:8" s="5" customFormat="1" ht="13.8">
      <c r="A1" s="2" t="s">
        <v>31</v>
      </c>
      <c r="B1" s="3" t="str">
        <f>'Info '!C2</f>
        <v>JSC "CREDOBANK"</v>
      </c>
      <c r="C1" s="3"/>
      <c r="D1" s="4"/>
      <c r="E1" s="4"/>
      <c r="F1" s="4"/>
      <c r="G1" s="4"/>
    </row>
    <row r="2" spans="1:8" s="5" customFormat="1" ht="13.8">
      <c r="A2" s="2" t="s">
        <v>32</v>
      </c>
      <c r="B2" s="265">
        <f>'1. key ratios '!B2</f>
        <v>45838</v>
      </c>
      <c r="C2" s="3"/>
      <c r="D2" s="4"/>
      <c r="E2" s="4"/>
      <c r="F2" s="4"/>
      <c r="G2" s="4"/>
    </row>
    <row r="4" spans="1:8">
      <c r="A4" s="766" t="s">
        <v>7</v>
      </c>
      <c r="B4" s="768" t="s">
        <v>586</v>
      </c>
      <c r="C4" s="758" t="s">
        <v>523</v>
      </c>
      <c r="D4" s="758"/>
      <c r="E4" s="758"/>
      <c r="F4" s="758" t="s">
        <v>524</v>
      </c>
      <c r="G4" s="758"/>
      <c r="H4" s="759"/>
    </row>
    <row r="5" spans="1:8" ht="15.45" customHeight="1">
      <c r="A5" s="767"/>
      <c r="B5" s="769"/>
      <c r="C5" s="339" t="s">
        <v>33</v>
      </c>
      <c r="D5" s="339" t="s">
        <v>34</v>
      </c>
      <c r="E5" s="339" t="s">
        <v>35</v>
      </c>
      <c r="F5" s="339" t="s">
        <v>33</v>
      </c>
      <c r="G5" s="339" t="s">
        <v>34</v>
      </c>
      <c r="H5" s="339" t="s">
        <v>35</v>
      </c>
    </row>
    <row r="6" spans="1:8">
      <c r="A6" s="340">
        <v>1</v>
      </c>
      <c r="B6" s="341" t="s">
        <v>587</v>
      </c>
      <c r="C6" s="690">
        <f>SUM(C7:C12)</f>
        <v>295044668.15999341</v>
      </c>
      <c r="D6" s="690">
        <f>SUM(D7:D12)</f>
        <v>13800429.680000007</v>
      </c>
      <c r="E6" s="604">
        <f>C6+D6</f>
        <v>308845097.83999342</v>
      </c>
      <c r="F6" s="690">
        <f>SUM(F7:F12)</f>
        <v>234356605.46001977</v>
      </c>
      <c r="G6" s="690">
        <f>SUM(G7:G12)</f>
        <v>10921772.76000002</v>
      </c>
      <c r="H6" s="604">
        <f>F6+G6</f>
        <v>245278378.22001979</v>
      </c>
    </row>
    <row r="7" spans="1:8">
      <c r="A7" s="340">
        <v>1.1000000000000001</v>
      </c>
      <c r="B7" s="342" t="s">
        <v>530</v>
      </c>
      <c r="C7" s="602"/>
      <c r="D7" s="602"/>
      <c r="E7" s="604">
        <f t="shared" ref="E7:E45" si="0">C7+D7</f>
        <v>0</v>
      </c>
      <c r="F7" s="602"/>
      <c r="G7" s="602"/>
      <c r="H7" s="604">
        <f t="shared" ref="H7:H45" si="1">F7+G7</f>
        <v>0</v>
      </c>
    </row>
    <row r="8" spans="1:8">
      <c r="A8" s="340">
        <v>1.2</v>
      </c>
      <c r="B8" s="342" t="s">
        <v>532</v>
      </c>
      <c r="C8" s="602"/>
      <c r="D8" s="602"/>
      <c r="E8" s="604">
        <f t="shared" si="0"/>
        <v>0</v>
      </c>
      <c r="F8" s="602"/>
      <c r="G8" s="602"/>
      <c r="H8" s="604">
        <f t="shared" si="1"/>
        <v>0</v>
      </c>
    </row>
    <row r="9" spans="1:8" ht="21.45" customHeight="1">
      <c r="A9" s="340">
        <v>1.3</v>
      </c>
      <c r="B9" s="342" t="s">
        <v>588</v>
      </c>
      <c r="C9" s="602"/>
      <c r="D9" s="602"/>
      <c r="E9" s="604">
        <f t="shared" si="0"/>
        <v>0</v>
      </c>
      <c r="F9" s="602"/>
      <c r="G9" s="602"/>
      <c r="H9" s="604">
        <f t="shared" si="1"/>
        <v>0</v>
      </c>
    </row>
    <row r="10" spans="1:8">
      <c r="A10" s="340">
        <v>1.4</v>
      </c>
      <c r="B10" s="342" t="s">
        <v>534</v>
      </c>
      <c r="C10" s="602"/>
      <c r="D10" s="602"/>
      <c r="E10" s="604">
        <f t="shared" si="0"/>
        <v>0</v>
      </c>
      <c r="F10" s="602"/>
      <c r="G10" s="602"/>
      <c r="H10" s="604">
        <f t="shared" si="1"/>
        <v>0</v>
      </c>
    </row>
    <row r="11" spans="1:8">
      <c r="A11" s="340">
        <v>1.5</v>
      </c>
      <c r="B11" s="342" t="s">
        <v>538</v>
      </c>
      <c r="C11" s="602">
        <v>295044668.15999341</v>
      </c>
      <c r="D11" s="602">
        <v>13800429.680000007</v>
      </c>
      <c r="E11" s="604">
        <f t="shared" si="0"/>
        <v>308845097.83999342</v>
      </c>
      <c r="F11" s="602">
        <v>234356605.46001977</v>
      </c>
      <c r="G11" s="602">
        <v>10921772.76000002</v>
      </c>
      <c r="H11" s="604">
        <f t="shared" si="1"/>
        <v>245278378.22001979</v>
      </c>
    </row>
    <row r="12" spans="1:8">
      <c r="A12" s="340">
        <v>1.6</v>
      </c>
      <c r="B12" s="343" t="s">
        <v>420</v>
      </c>
      <c r="C12" s="602"/>
      <c r="D12" s="602"/>
      <c r="E12" s="604">
        <f t="shared" si="0"/>
        <v>0</v>
      </c>
      <c r="F12" s="602"/>
      <c r="G12" s="602"/>
      <c r="H12" s="604">
        <f t="shared" si="1"/>
        <v>0</v>
      </c>
    </row>
    <row r="13" spans="1:8">
      <c r="A13" s="340">
        <v>2</v>
      </c>
      <c r="B13" s="344" t="s">
        <v>589</v>
      </c>
      <c r="C13" s="690">
        <f>SUM(C14:C17)</f>
        <v>-108218794.48999999</v>
      </c>
      <c r="D13" s="690">
        <f>SUM(D14:D17)</f>
        <v>-14795788.439999998</v>
      </c>
      <c r="E13" s="604">
        <f t="shared" si="0"/>
        <v>-123014582.92999999</v>
      </c>
      <c r="F13" s="690">
        <f>SUM(F14:F17)</f>
        <v>-94149604.890000015</v>
      </c>
      <c r="G13" s="690">
        <f>SUM(G14:G17)</f>
        <v>-10257382.689999998</v>
      </c>
      <c r="H13" s="604">
        <f t="shared" si="1"/>
        <v>-104406987.58000001</v>
      </c>
    </row>
    <row r="14" spans="1:8">
      <c r="A14" s="340">
        <v>2.1</v>
      </c>
      <c r="B14" s="342" t="s">
        <v>590</v>
      </c>
      <c r="C14" s="602"/>
      <c r="D14" s="602"/>
      <c r="E14" s="604">
        <f t="shared" si="0"/>
        <v>0</v>
      </c>
      <c r="F14" s="602"/>
      <c r="G14" s="602"/>
      <c r="H14" s="604">
        <f t="shared" si="1"/>
        <v>0</v>
      </c>
    </row>
    <row r="15" spans="1:8" ht="24.45" customHeight="1">
      <c r="A15" s="340">
        <v>2.2000000000000002</v>
      </c>
      <c r="B15" s="342" t="s">
        <v>591</v>
      </c>
      <c r="C15" s="602"/>
      <c r="D15" s="602"/>
      <c r="E15" s="604">
        <f t="shared" si="0"/>
        <v>0</v>
      </c>
      <c r="F15" s="602"/>
      <c r="G15" s="602"/>
      <c r="H15" s="604">
        <f t="shared" si="1"/>
        <v>0</v>
      </c>
    </row>
    <row r="16" spans="1:8" ht="20.55" customHeight="1">
      <c r="A16" s="340">
        <v>2.2999999999999998</v>
      </c>
      <c r="B16" s="342" t="s">
        <v>592</v>
      </c>
      <c r="C16" s="602">
        <v>-108218794.48999999</v>
      </c>
      <c r="D16" s="602">
        <v>-14795788.439999998</v>
      </c>
      <c r="E16" s="604">
        <f t="shared" si="0"/>
        <v>-123014582.92999999</v>
      </c>
      <c r="F16" s="602">
        <v>-94149604.890000015</v>
      </c>
      <c r="G16" s="602">
        <v>-10257382.689999998</v>
      </c>
      <c r="H16" s="604">
        <f t="shared" si="1"/>
        <v>-104406987.58000001</v>
      </c>
    </row>
    <row r="17" spans="1:8">
      <c r="A17" s="340">
        <v>2.4</v>
      </c>
      <c r="B17" s="342" t="s">
        <v>593</v>
      </c>
      <c r="C17" s="602"/>
      <c r="D17" s="602"/>
      <c r="E17" s="604">
        <f t="shared" si="0"/>
        <v>0</v>
      </c>
      <c r="F17" s="602"/>
      <c r="G17" s="602"/>
      <c r="H17" s="604">
        <f t="shared" si="1"/>
        <v>0</v>
      </c>
    </row>
    <row r="18" spans="1:8">
      <c r="A18" s="340">
        <v>3</v>
      </c>
      <c r="B18" s="344" t="s">
        <v>594</v>
      </c>
      <c r="C18" s="602"/>
      <c r="D18" s="602"/>
      <c r="E18" s="604">
        <f t="shared" si="0"/>
        <v>0</v>
      </c>
      <c r="F18" s="602"/>
      <c r="G18" s="602"/>
      <c r="H18" s="604">
        <f t="shared" si="1"/>
        <v>0</v>
      </c>
    </row>
    <row r="19" spans="1:8">
      <c r="A19" s="340">
        <v>4</v>
      </c>
      <c r="B19" s="344" t="s">
        <v>595</v>
      </c>
      <c r="C19" s="602">
        <v>30490832.460000008</v>
      </c>
      <c r="D19" s="602">
        <v>5412996.6100000069</v>
      </c>
      <c r="E19" s="604">
        <f t="shared" si="0"/>
        <v>35903829.070000015</v>
      </c>
      <c r="F19" s="602">
        <v>25946054.460000001</v>
      </c>
      <c r="G19" s="602">
        <v>4495919.66</v>
      </c>
      <c r="H19" s="604">
        <f t="shared" si="1"/>
        <v>30441974.120000001</v>
      </c>
    </row>
    <row r="20" spans="1:8">
      <c r="A20" s="340">
        <v>5</v>
      </c>
      <c r="B20" s="344" t="s">
        <v>596</v>
      </c>
      <c r="C20" s="602">
        <v>-10742842.739999998</v>
      </c>
      <c r="D20" s="602">
        <v>-6156663.1499999985</v>
      </c>
      <c r="E20" s="604">
        <f t="shared" si="0"/>
        <v>-16899505.889999997</v>
      </c>
      <c r="F20" s="602">
        <v>-8085111.4600000028</v>
      </c>
      <c r="G20" s="602">
        <v>-3513750.4500000011</v>
      </c>
      <c r="H20" s="604">
        <f t="shared" si="1"/>
        <v>-11598861.910000004</v>
      </c>
    </row>
    <row r="21" spans="1:8" ht="24" customHeight="1">
      <c r="A21" s="340">
        <v>6</v>
      </c>
      <c r="B21" s="344" t="s">
        <v>597</v>
      </c>
      <c r="C21" s="602"/>
      <c r="D21" s="602"/>
      <c r="E21" s="604">
        <f t="shared" si="0"/>
        <v>0</v>
      </c>
      <c r="F21" s="602"/>
      <c r="G21" s="602"/>
      <c r="H21" s="604">
        <f t="shared" si="1"/>
        <v>0</v>
      </c>
    </row>
    <row r="22" spans="1:8" ht="18.45" customHeight="1">
      <c r="A22" s="340">
        <v>7</v>
      </c>
      <c r="B22" s="344" t="s">
        <v>598</v>
      </c>
      <c r="C22" s="602">
        <v>-10365235</v>
      </c>
      <c r="D22" s="602"/>
      <c r="E22" s="604">
        <f t="shared" si="0"/>
        <v>-10365235</v>
      </c>
      <c r="F22" s="602">
        <v>-5877632.7699999483</v>
      </c>
      <c r="G22" s="602"/>
      <c r="H22" s="604">
        <f t="shared" si="1"/>
        <v>-5877632.7699999483</v>
      </c>
    </row>
    <row r="23" spans="1:8" ht="25.5" customHeight="1">
      <c r="A23" s="340">
        <v>8</v>
      </c>
      <c r="B23" s="345" t="s">
        <v>599</v>
      </c>
      <c r="C23" s="602"/>
      <c r="D23" s="602"/>
      <c r="E23" s="604">
        <f t="shared" si="0"/>
        <v>0</v>
      </c>
      <c r="F23" s="602"/>
      <c r="G23" s="602"/>
      <c r="H23" s="604">
        <f t="shared" si="1"/>
        <v>0</v>
      </c>
    </row>
    <row r="24" spans="1:8" ht="34.5" customHeight="1">
      <c r="A24" s="340">
        <v>9</v>
      </c>
      <c r="B24" s="345" t="s">
        <v>600</v>
      </c>
      <c r="C24" s="602"/>
      <c r="D24" s="602"/>
      <c r="E24" s="604">
        <f t="shared" si="0"/>
        <v>0</v>
      </c>
      <c r="F24" s="602"/>
      <c r="G24" s="602"/>
      <c r="H24" s="604">
        <f t="shared" si="1"/>
        <v>0</v>
      </c>
    </row>
    <row r="25" spans="1:8">
      <c r="A25" s="340">
        <v>10</v>
      </c>
      <c r="B25" s="344" t="s">
        <v>601</v>
      </c>
      <c r="C25" s="602">
        <v>4846539.1399999997</v>
      </c>
      <c r="D25" s="602"/>
      <c r="E25" s="604">
        <f t="shared" si="0"/>
        <v>4846539.1399999997</v>
      </c>
      <c r="F25" s="602">
        <v>3029730.5</v>
      </c>
      <c r="G25" s="602"/>
      <c r="H25" s="604">
        <f t="shared" si="1"/>
        <v>3029730.5</v>
      </c>
    </row>
    <row r="26" spans="1:8">
      <c r="A26" s="340">
        <v>11</v>
      </c>
      <c r="B26" s="346" t="s">
        <v>602</v>
      </c>
      <c r="C26" s="602">
        <v>15544.129999999997</v>
      </c>
      <c r="D26" s="602"/>
      <c r="E26" s="604">
        <f t="shared" si="0"/>
        <v>15544.129999999997</v>
      </c>
      <c r="F26" s="602">
        <v>96157.060000000085</v>
      </c>
      <c r="G26" s="602"/>
      <c r="H26" s="604">
        <f t="shared" si="1"/>
        <v>96157.060000000085</v>
      </c>
    </row>
    <row r="27" spans="1:8">
      <c r="A27" s="340">
        <v>12</v>
      </c>
      <c r="B27" s="344" t="s">
        <v>603</v>
      </c>
      <c r="C27" s="602">
        <v>713885.54999999993</v>
      </c>
      <c r="D27" s="602">
        <v>15023.479999999981</v>
      </c>
      <c r="E27" s="604">
        <f t="shared" si="0"/>
        <v>728909.02999999991</v>
      </c>
      <c r="F27" s="602">
        <v>731186.7699999999</v>
      </c>
      <c r="G27" s="602">
        <v>462</v>
      </c>
      <c r="H27" s="604">
        <f t="shared" si="1"/>
        <v>731648.7699999999</v>
      </c>
    </row>
    <row r="28" spans="1:8">
      <c r="A28" s="340">
        <v>13</v>
      </c>
      <c r="B28" s="347" t="s">
        <v>604</v>
      </c>
      <c r="C28" s="698">
        <v>-13673322.449999997</v>
      </c>
      <c r="D28" s="698">
        <v>-497535.35000000149</v>
      </c>
      <c r="E28" s="604">
        <f t="shared" si="0"/>
        <v>-14170857.799999999</v>
      </c>
      <c r="F28" s="602">
        <v>-12854218.830000002</v>
      </c>
      <c r="G28" s="602">
        <v>-369307.49000000022</v>
      </c>
      <c r="H28" s="604">
        <f t="shared" si="1"/>
        <v>-13223526.320000002</v>
      </c>
    </row>
    <row r="29" spans="1:8">
      <c r="A29" s="340">
        <v>14</v>
      </c>
      <c r="B29" s="348" t="s">
        <v>605</v>
      </c>
      <c r="C29" s="690">
        <f>SUM(C30:C31)</f>
        <v>-77861672.080000028</v>
      </c>
      <c r="D29" s="690">
        <f>SUM(D30:D31)</f>
        <v>-650914.78999999992</v>
      </c>
      <c r="E29" s="604">
        <f t="shared" si="0"/>
        <v>-78512586.870000035</v>
      </c>
      <c r="F29" s="690">
        <f>SUM(F30:F31)</f>
        <v>-67221197.329999998</v>
      </c>
      <c r="G29" s="690">
        <f>SUM(G30:G31)</f>
        <v>-771700.89</v>
      </c>
      <c r="H29" s="604">
        <f t="shared" si="1"/>
        <v>-67992898.219999999</v>
      </c>
    </row>
    <row r="30" spans="1:8">
      <c r="A30" s="340">
        <v>14.1</v>
      </c>
      <c r="B30" s="323" t="s">
        <v>606</v>
      </c>
      <c r="C30" s="602">
        <v>-73971656.880000025</v>
      </c>
      <c r="D30" s="602">
        <v>-95056.85</v>
      </c>
      <c r="E30" s="604">
        <f t="shared" si="0"/>
        <v>-74066713.730000019</v>
      </c>
      <c r="F30" s="602">
        <v>-64211217.640000001</v>
      </c>
      <c r="G30" s="602">
        <v>-83421.36</v>
      </c>
      <c r="H30" s="604">
        <f t="shared" si="1"/>
        <v>-64294639</v>
      </c>
    </row>
    <row r="31" spans="1:8">
      <c r="A31" s="340">
        <v>14.2</v>
      </c>
      <c r="B31" s="323" t="s">
        <v>607</v>
      </c>
      <c r="C31" s="602">
        <v>-3890015.2</v>
      </c>
      <c r="D31" s="602">
        <v>-555857.93999999994</v>
      </c>
      <c r="E31" s="604">
        <f t="shared" si="0"/>
        <v>-4445873.1400000006</v>
      </c>
      <c r="F31" s="602">
        <v>-3009979.6899999995</v>
      </c>
      <c r="G31" s="602">
        <v>-688279.53</v>
      </c>
      <c r="H31" s="604">
        <f t="shared" si="1"/>
        <v>-3698259.2199999997</v>
      </c>
    </row>
    <row r="32" spans="1:8">
      <c r="A32" s="340">
        <v>15</v>
      </c>
      <c r="B32" s="344" t="s">
        <v>608</v>
      </c>
      <c r="C32" s="602">
        <v>-11068145.91</v>
      </c>
      <c r="D32" s="602"/>
      <c r="E32" s="604">
        <f t="shared" si="0"/>
        <v>-11068145.91</v>
      </c>
      <c r="F32" s="602">
        <v>-10488751.75</v>
      </c>
      <c r="G32" s="602"/>
      <c r="H32" s="604">
        <f t="shared" si="1"/>
        <v>-10488751.75</v>
      </c>
    </row>
    <row r="33" spans="1:8" ht="22.5" customHeight="1">
      <c r="A33" s="340">
        <v>16</v>
      </c>
      <c r="B33" s="321" t="s">
        <v>609</v>
      </c>
      <c r="C33" s="602"/>
      <c r="D33" s="602"/>
      <c r="E33" s="604">
        <f t="shared" si="0"/>
        <v>0</v>
      </c>
      <c r="F33" s="602"/>
      <c r="G33" s="602"/>
      <c r="H33" s="604">
        <f t="shared" si="1"/>
        <v>0</v>
      </c>
    </row>
    <row r="34" spans="1:8">
      <c r="A34" s="340">
        <v>17</v>
      </c>
      <c r="B34" s="344" t="s">
        <v>610</v>
      </c>
      <c r="C34" s="690">
        <f>SUM(C35:C36)</f>
        <v>-991120.42</v>
      </c>
      <c r="D34" s="690">
        <f>SUM(D35:D36)</f>
        <v>0</v>
      </c>
      <c r="E34" s="604">
        <f t="shared" si="0"/>
        <v>-991120.42</v>
      </c>
      <c r="F34" s="602">
        <f>SUM(F35:F36)</f>
        <v>0</v>
      </c>
      <c r="G34" s="602">
        <f>SUM(G35:G36)</f>
        <v>0</v>
      </c>
      <c r="H34" s="604">
        <f t="shared" si="1"/>
        <v>0</v>
      </c>
    </row>
    <row r="35" spans="1:8">
      <c r="A35" s="340">
        <v>17.100000000000001</v>
      </c>
      <c r="B35" s="323" t="s">
        <v>611</v>
      </c>
      <c r="C35" s="698">
        <v>-991120.42</v>
      </c>
      <c r="D35" s="698"/>
      <c r="E35" s="604">
        <f t="shared" si="0"/>
        <v>-991120.42</v>
      </c>
      <c r="F35" s="602"/>
      <c r="G35" s="602"/>
      <c r="H35" s="604">
        <f t="shared" si="1"/>
        <v>0</v>
      </c>
    </row>
    <row r="36" spans="1:8">
      <c r="A36" s="340">
        <v>17.2</v>
      </c>
      <c r="B36" s="323" t="s">
        <v>612</v>
      </c>
      <c r="C36" s="602"/>
      <c r="D36" s="602"/>
      <c r="E36" s="604">
        <f t="shared" si="0"/>
        <v>0</v>
      </c>
      <c r="F36" s="602"/>
      <c r="G36" s="602"/>
      <c r="H36" s="604">
        <f t="shared" si="1"/>
        <v>0</v>
      </c>
    </row>
    <row r="37" spans="1:8" ht="41.55" customHeight="1">
      <c r="A37" s="340">
        <v>18</v>
      </c>
      <c r="B37" s="349" t="s">
        <v>613</v>
      </c>
      <c r="C37" s="690">
        <f>SUM(C38:C39)</f>
        <v>-43784512.930001862</v>
      </c>
      <c r="D37" s="690">
        <f>SUM(D38:D41)</f>
        <v>-300746.30999999499</v>
      </c>
      <c r="E37" s="604">
        <f t="shared" si="0"/>
        <v>-44085259.240001857</v>
      </c>
      <c r="F37" s="690">
        <f>SUM(F38:F39)</f>
        <v>-33858228.579996139</v>
      </c>
      <c r="G37" s="690">
        <f>SUM(G38:G39)</f>
        <v>-1075558.5599999949</v>
      </c>
      <c r="H37" s="604">
        <f t="shared" si="1"/>
        <v>-34933787.139996134</v>
      </c>
    </row>
    <row r="38" spans="1:8">
      <c r="A38" s="340">
        <v>18.100000000000001</v>
      </c>
      <c r="B38" s="350" t="s">
        <v>614</v>
      </c>
      <c r="C38" s="602"/>
      <c r="D38" s="602"/>
      <c r="E38" s="604">
        <f t="shared" si="0"/>
        <v>0</v>
      </c>
      <c r="F38" s="602"/>
      <c r="G38" s="602"/>
      <c r="H38" s="604">
        <f t="shared" si="1"/>
        <v>0</v>
      </c>
    </row>
    <row r="39" spans="1:8">
      <c r="A39" s="340">
        <v>18.2</v>
      </c>
      <c r="B39" s="350" t="s">
        <v>615</v>
      </c>
      <c r="C39" s="602">
        <v>-43784512.930001862</v>
      </c>
      <c r="D39" s="602">
        <f>-302050.309999995+1304</f>
        <v>-300746.30999999499</v>
      </c>
      <c r="E39" s="604">
        <f t="shared" si="0"/>
        <v>-44085259.240001857</v>
      </c>
      <c r="F39" s="602">
        <v>-33858228.579996139</v>
      </c>
      <c r="G39" s="602">
        <v>-1075558.5599999949</v>
      </c>
      <c r="H39" s="604">
        <f t="shared" si="1"/>
        <v>-34933787.139996134</v>
      </c>
    </row>
    <row r="40" spans="1:8" ht="24.45" customHeight="1">
      <c r="A40" s="340">
        <v>19</v>
      </c>
      <c r="B40" s="349" t="s">
        <v>616</v>
      </c>
      <c r="C40" s="602"/>
      <c r="D40" s="602"/>
      <c r="E40" s="604">
        <f t="shared" si="0"/>
        <v>0</v>
      </c>
      <c r="F40" s="602"/>
      <c r="G40" s="602"/>
      <c r="H40" s="604">
        <f t="shared" si="1"/>
        <v>0</v>
      </c>
    </row>
    <row r="41" spans="1:8" ht="17.55" customHeight="1">
      <c r="A41" s="340">
        <v>20</v>
      </c>
      <c r="B41" s="349" t="s">
        <v>617</v>
      </c>
      <c r="C41" s="602">
        <v>-32508</v>
      </c>
      <c r="D41" s="602"/>
      <c r="E41" s="604">
        <f t="shared" si="0"/>
        <v>-32508</v>
      </c>
      <c r="F41" s="602">
        <v>-958922.37</v>
      </c>
      <c r="G41" s="602"/>
      <c r="H41" s="604">
        <f t="shared" si="1"/>
        <v>-958922.37</v>
      </c>
    </row>
    <row r="42" spans="1:8" ht="26.55" customHeight="1">
      <c r="A42" s="340">
        <v>21</v>
      </c>
      <c r="B42" s="349" t="s">
        <v>618</v>
      </c>
      <c r="C42" s="602"/>
      <c r="D42" s="602"/>
      <c r="E42" s="604">
        <f t="shared" si="0"/>
        <v>0</v>
      </c>
      <c r="F42" s="602"/>
      <c r="G42" s="602"/>
      <c r="H42" s="604">
        <f t="shared" si="1"/>
        <v>0</v>
      </c>
    </row>
    <row r="43" spans="1:8">
      <c r="A43" s="340">
        <v>22</v>
      </c>
      <c r="B43" s="351" t="s">
        <v>619</v>
      </c>
      <c r="C43" s="690">
        <f>SUM(C6,C13,C18,C19,C20,C21,C22,C23,C24,C25,C26,C27,C28,C29,C32,C33,C34,C37,C40,C41,C42)</f>
        <v>54373315.419991516</v>
      </c>
      <c r="D43" s="690">
        <f>SUM(D6,D13,D18,D19,D20,D21,D22,D23,D24,D25,D26,D27,D28,D29,D32,D33,D34,D37,D40,D41,D42)</f>
        <v>-3173198.2699999786</v>
      </c>
      <c r="E43" s="604">
        <f t="shared" si="0"/>
        <v>51200117.149991535</v>
      </c>
      <c r="F43" s="690">
        <f>SUM(F6,F13,F18,F19,F20,F21,F22,F23,F24,F25,F26,F27,F28,F29,F32,F33,F34,F37,F40,F41,F42)</f>
        <v>30666066.270023663</v>
      </c>
      <c r="G43" s="690">
        <f>SUM(G6,G13,G18,G19,G20,G21,G22,G23,G24,G25,G26,G27,G28,G29,G32,G33,G34,G37,G40,G41,G42)</f>
        <v>-569545.65999997349</v>
      </c>
      <c r="H43" s="604">
        <f t="shared" si="1"/>
        <v>30096520.610023689</v>
      </c>
    </row>
    <row r="44" spans="1:8">
      <c r="A44" s="340">
        <v>23</v>
      </c>
      <c r="B44" s="351" t="s">
        <v>620</v>
      </c>
      <c r="C44" s="602">
        <v>10240023.43</v>
      </c>
      <c r="D44" s="602"/>
      <c r="E44" s="604">
        <f t="shared" si="0"/>
        <v>10240023.43</v>
      </c>
      <c r="F44" s="602">
        <v>6007221.5499999998</v>
      </c>
      <c r="G44" s="602"/>
      <c r="H44" s="604">
        <f t="shared" si="1"/>
        <v>6007221.5499999998</v>
      </c>
    </row>
    <row r="45" spans="1:8">
      <c r="A45" s="340">
        <v>24</v>
      </c>
      <c r="B45" s="352" t="s">
        <v>621</v>
      </c>
      <c r="C45" s="690">
        <f>C43-C44</f>
        <v>44133291.989991516</v>
      </c>
      <c r="D45" s="690">
        <f>D43-D44</f>
        <v>-3173198.2699999786</v>
      </c>
      <c r="E45" s="605">
        <f t="shared" si="0"/>
        <v>40960093.719991535</v>
      </c>
      <c r="F45" s="690">
        <f>F43-F44</f>
        <v>24658844.720023662</v>
      </c>
      <c r="G45" s="690">
        <f>G43-G44</f>
        <v>-569545.65999997349</v>
      </c>
      <c r="H45" s="604">
        <f t="shared" si="1"/>
        <v>24089299.060023688</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A21" zoomScale="80" zoomScaleNormal="80" workbookViewId="0">
      <selection activeCell="C38" sqref="C38:D38"/>
    </sheetView>
  </sheetViews>
  <sheetFormatPr defaultColWidth="8.77734375" defaultRowHeight="13.8"/>
  <cols>
    <col min="1" max="1" width="8.77734375" style="525"/>
    <col min="2" max="2" width="87.6640625" style="494" bestFit="1" customWidth="1"/>
    <col min="3" max="8" width="15.44140625" style="494" customWidth="1"/>
    <col min="9" max="16384" width="8.77734375" style="494"/>
  </cols>
  <sheetData>
    <row r="1" spans="1:8">
      <c r="A1" s="132" t="s">
        <v>31</v>
      </c>
      <c r="B1" s="493" t="str">
        <f>'Info '!C2</f>
        <v>JSC "CREDOBANK"</v>
      </c>
      <c r="C1" s="493"/>
    </row>
    <row r="2" spans="1:8">
      <c r="A2" s="132" t="s">
        <v>32</v>
      </c>
      <c r="B2" s="495">
        <f>'1. key ratios '!B2</f>
        <v>45838</v>
      </c>
      <c r="C2" s="493"/>
    </row>
    <row r="3" spans="1:8" ht="14.4" thickBot="1">
      <c r="A3" s="494"/>
    </row>
    <row r="4" spans="1:8">
      <c r="A4" s="770" t="s">
        <v>7</v>
      </c>
      <c r="B4" s="771" t="s">
        <v>95</v>
      </c>
      <c r="C4" s="772" t="s">
        <v>523</v>
      </c>
      <c r="D4" s="772"/>
      <c r="E4" s="772"/>
      <c r="F4" s="772" t="s">
        <v>524</v>
      </c>
      <c r="G4" s="772"/>
      <c r="H4" s="773"/>
    </row>
    <row r="5" spans="1:8">
      <c r="A5" s="770"/>
      <c r="B5" s="771"/>
      <c r="C5" s="339" t="s">
        <v>33</v>
      </c>
      <c r="D5" s="339" t="s">
        <v>34</v>
      </c>
      <c r="E5" s="339" t="s">
        <v>35</v>
      </c>
      <c r="F5" s="339" t="s">
        <v>33</v>
      </c>
      <c r="G5" s="339" t="s">
        <v>34</v>
      </c>
      <c r="H5" s="339" t="s">
        <v>35</v>
      </c>
    </row>
    <row r="6" spans="1:8">
      <c r="A6" s="368">
        <v>1</v>
      </c>
      <c r="B6" s="354" t="s">
        <v>622</v>
      </c>
      <c r="C6" s="532"/>
      <c r="D6" s="532"/>
      <c r="E6" s="529">
        <f t="shared" ref="E6:E43" si="0">C6+D6</f>
        <v>0</v>
      </c>
      <c r="F6" s="606"/>
      <c r="G6" s="606"/>
      <c r="H6" s="607">
        <f t="shared" ref="H6:H43" si="1">F6+G6</f>
        <v>0</v>
      </c>
    </row>
    <row r="7" spans="1:8">
      <c r="A7" s="368">
        <v>2</v>
      </c>
      <c r="B7" s="354" t="s">
        <v>184</v>
      </c>
      <c r="C7" s="532"/>
      <c r="D7" s="532"/>
      <c r="E7" s="529">
        <f t="shared" si="0"/>
        <v>0</v>
      </c>
      <c r="F7" s="606"/>
      <c r="G7" s="606"/>
      <c r="H7" s="607">
        <f t="shared" si="1"/>
        <v>0</v>
      </c>
    </row>
    <row r="8" spans="1:8">
      <c r="A8" s="368">
        <v>3</v>
      </c>
      <c r="B8" s="354" t="s">
        <v>194</v>
      </c>
      <c r="C8" s="694">
        <f>C9+C10</f>
        <v>1582565738.9199998</v>
      </c>
      <c r="D8" s="694">
        <f>D9+D10</f>
        <v>0</v>
      </c>
      <c r="E8" s="529">
        <f t="shared" si="0"/>
        <v>1582565738.9199998</v>
      </c>
      <c r="F8" s="695">
        <f>F9+F10</f>
        <v>1338576155.3399999</v>
      </c>
      <c r="G8" s="695">
        <f>G9+G10</f>
        <v>0</v>
      </c>
      <c r="H8" s="607">
        <f t="shared" si="1"/>
        <v>1338576155.3399999</v>
      </c>
    </row>
    <row r="9" spans="1:8">
      <c r="A9" s="368">
        <v>3.1</v>
      </c>
      <c r="B9" s="353" t="s">
        <v>185</v>
      </c>
      <c r="C9" s="532">
        <v>1582504946.8</v>
      </c>
      <c r="D9" s="532"/>
      <c r="E9" s="529">
        <f t="shared" si="0"/>
        <v>1582504946.8</v>
      </c>
      <c r="F9" s="606">
        <v>1338310050.3399999</v>
      </c>
      <c r="G9" s="606"/>
      <c r="H9" s="607">
        <f t="shared" si="1"/>
        <v>1338310050.3399999</v>
      </c>
    </row>
    <row r="10" spans="1:8">
      <c r="A10" s="368">
        <v>3.2</v>
      </c>
      <c r="B10" s="353" t="s">
        <v>181</v>
      </c>
      <c r="C10" s="532">
        <v>60792.12</v>
      </c>
      <c r="D10" s="532"/>
      <c r="E10" s="529">
        <f t="shared" si="0"/>
        <v>60792.12</v>
      </c>
      <c r="F10" s="606">
        <v>266105</v>
      </c>
      <c r="G10" s="606"/>
      <c r="H10" s="607">
        <f t="shared" si="1"/>
        <v>266105</v>
      </c>
    </row>
    <row r="11" spans="1:8">
      <c r="A11" s="368">
        <v>4</v>
      </c>
      <c r="B11" s="354" t="s">
        <v>183</v>
      </c>
      <c r="C11" s="532">
        <f>C12+C13</f>
        <v>0</v>
      </c>
      <c r="D11" s="532">
        <f>D12+D13</f>
        <v>0</v>
      </c>
      <c r="E11" s="529">
        <f t="shared" si="0"/>
        <v>0</v>
      </c>
      <c r="F11" s="606">
        <f>F12+F13</f>
        <v>0</v>
      </c>
      <c r="G11" s="606">
        <f>G12+G13</f>
        <v>0</v>
      </c>
      <c r="H11" s="607">
        <f t="shared" si="1"/>
        <v>0</v>
      </c>
    </row>
    <row r="12" spans="1:8">
      <c r="A12" s="368">
        <v>4.0999999999999996</v>
      </c>
      <c r="B12" s="353" t="s">
        <v>167</v>
      </c>
      <c r="C12" s="532"/>
      <c r="D12" s="532"/>
      <c r="E12" s="529">
        <f t="shared" si="0"/>
        <v>0</v>
      </c>
      <c r="F12" s="606"/>
      <c r="G12" s="606"/>
      <c r="H12" s="607">
        <f t="shared" si="1"/>
        <v>0</v>
      </c>
    </row>
    <row r="13" spans="1:8">
      <c r="A13" s="368">
        <v>4.2</v>
      </c>
      <c r="B13" s="353" t="s">
        <v>168</v>
      </c>
      <c r="C13" s="532"/>
      <c r="D13" s="532"/>
      <c r="E13" s="529">
        <f t="shared" si="0"/>
        <v>0</v>
      </c>
      <c r="F13" s="606"/>
      <c r="G13" s="606"/>
      <c r="H13" s="607">
        <f t="shared" si="1"/>
        <v>0</v>
      </c>
    </row>
    <row r="14" spans="1:8">
      <c r="A14" s="368">
        <v>5</v>
      </c>
      <c r="B14" s="354" t="s">
        <v>193</v>
      </c>
      <c r="C14" s="694">
        <f>C15+C16+C17+C23+C24+C25+C26</f>
        <v>2282252809.4699998</v>
      </c>
      <c r="D14" s="694">
        <f>D15+D16+D17+D23+D24+D25+D26</f>
        <v>1906520</v>
      </c>
      <c r="E14" s="529">
        <f t="shared" si="0"/>
        <v>2284159329.4699998</v>
      </c>
      <c r="F14" s="695">
        <f>F15+F16+F17+F23+F24+F25+F26</f>
        <v>1738313800.5200002</v>
      </c>
      <c r="G14" s="695">
        <f>G15+G16+G17+G23+G24+G25+G26</f>
        <v>1967070</v>
      </c>
      <c r="H14" s="607">
        <f t="shared" si="1"/>
        <v>1740280870.5200002</v>
      </c>
    </row>
    <row r="15" spans="1:8">
      <c r="A15" s="368">
        <v>5.0999999999999996</v>
      </c>
      <c r="B15" s="355" t="s">
        <v>171</v>
      </c>
      <c r="C15" s="532">
        <v>21781952.879999999</v>
      </c>
      <c r="D15" s="532">
        <v>1906520</v>
      </c>
      <c r="E15" s="529">
        <f t="shared" si="0"/>
        <v>23688472.879999999</v>
      </c>
      <c r="F15" s="606">
        <v>14461660.060000001</v>
      </c>
      <c r="G15" s="606">
        <v>1967070</v>
      </c>
      <c r="H15" s="607">
        <f t="shared" si="1"/>
        <v>16428730.060000001</v>
      </c>
    </row>
    <row r="16" spans="1:8">
      <c r="A16" s="368">
        <v>5.2</v>
      </c>
      <c r="B16" s="355" t="s">
        <v>170</v>
      </c>
      <c r="C16" s="532">
        <v>2028</v>
      </c>
      <c r="D16" s="532"/>
      <c r="E16" s="529">
        <f t="shared" si="0"/>
        <v>2028</v>
      </c>
      <c r="F16" s="606">
        <v>2028</v>
      </c>
      <c r="G16" s="606"/>
      <c r="H16" s="607">
        <f t="shared" si="1"/>
        <v>2028</v>
      </c>
    </row>
    <row r="17" spans="1:8">
      <c r="A17" s="368">
        <v>5.3</v>
      </c>
      <c r="B17" s="355" t="s">
        <v>169</v>
      </c>
      <c r="C17" s="694">
        <f>C18+C19+C20+C21+C22</f>
        <v>1992726309.1799998</v>
      </c>
      <c r="D17" s="694">
        <f>D18+D19+D20+D21+D22</f>
        <v>0</v>
      </c>
      <c r="E17" s="529">
        <f t="shared" si="0"/>
        <v>1992726309.1799998</v>
      </c>
      <c r="F17" s="694">
        <f>F18+F19+F20+F21+F22</f>
        <v>1539488761.3100002</v>
      </c>
      <c r="G17" s="606">
        <v>0</v>
      </c>
      <c r="H17" s="607">
        <f t="shared" si="1"/>
        <v>1539488761.3100002</v>
      </c>
    </row>
    <row r="18" spans="1:8">
      <c r="A18" s="368" t="s">
        <v>16</v>
      </c>
      <c r="B18" s="356" t="s">
        <v>37</v>
      </c>
      <c r="C18" s="532">
        <v>1432137045.8</v>
      </c>
      <c r="D18" s="532"/>
      <c r="E18" s="529">
        <f t="shared" si="0"/>
        <v>1432137045.8</v>
      </c>
      <c r="F18" s="606">
        <v>1142287850.72</v>
      </c>
      <c r="G18" s="606"/>
      <c r="H18" s="607">
        <f t="shared" si="1"/>
        <v>1142287850.72</v>
      </c>
    </row>
    <row r="19" spans="1:8">
      <c r="A19" s="368" t="s">
        <v>17</v>
      </c>
      <c r="B19" s="356" t="s">
        <v>38</v>
      </c>
      <c r="C19" s="532">
        <v>240567750.27000001</v>
      </c>
      <c r="D19" s="532"/>
      <c r="E19" s="529">
        <f t="shared" si="0"/>
        <v>240567750.27000001</v>
      </c>
      <c r="F19" s="606">
        <v>181088028.69999999</v>
      </c>
      <c r="G19" s="606"/>
      <c r="H19" s="607">
        <f t="shared" si="1"/>
        <v>181088028.69999999</v>
      </c>
    </row>
    <row r="20" spans="1:8">
      <c r="A20" s="368" t="s">
        <v>18</v>
      </c>
      <c r="B20" s="356" t="s">
        <v>39</v>
      </c>
      <c r="C20" s="532"/>
      <c r="D20" s="532"/>
      <c r="E20" s="529">
        <f t="shared" si="0"/>
        <v>0</v>
      </c>
      <c r="F20" s="606"/>
      <c r="G20" s="606"/>
      <c r="H20" s="607">
        <f t="shared" si="1"/>
        <v>0</v>
      </c>
    </row>
    <row r="21" spans="1:8">
      <c r="A21" s="368" t="s">
        <v>19</v>
      </c>
      <c r="B21" s="356" t="s">
        <v>40</v>
      </c>
      <c r="C21" s="532">
        <v>316136079</v>
      </c>
      <c r="D21" s="532"/>
      <c r="E21" s="529">
        <f t="shared" si="0"/>
        <v>316136079</v>
      </c>
      <c r="F21" s="606">
        <v>211570336.63</v>
      </c>
      <c r="G21" s="606"/>
      <c r="H21" s="607">
        <f t="shared" si="1"/>
        <v>211570336.63</v>
      </c>
    </row>
    <row r="22" spans="1:8">
      <c r="A22" s="368" t="s">
        <v>20</v>
      </c>
      <c r="B22" s="356" t="s">
        <v>41</v>
      </c>
      <c r="C22" s="532">
        <v>3885434.11</v>
      </c>
      <c r="D22" s="532"/>
      <c r="E22" s="529">
        <f t="shared" si="0"/>
        <v>3885434.11</v>
      </c>
      <c r="F22" s="606">
        <v>4542545.26</v>
      </c>
      <c r="G22" s="606"/>
      <c r="H22" s="607">
        <f t="shared" si="1"/>
        <v>4542545.26</v>
      </c>
    </row>
    <row r="23" spans="1:8">
      <c r="A23" s="368">
        <v>5.4</v>
      </c>
      <c r="B23" s="355" t="s">
        <v>172</v>
      </c>
      <c r="C23" s="532">
        <v>267742519.41</v>
      </c>
      <c r="D23" s="532"/>
      <c r="E23" s="529">
        <f t="shared" si="0"/>
        <v>267742519.41</v>
      </c>
      <c r="F23" s="606">
        <v>184361351.15000001</v>
      </c>
      <c r="G23" s="606"/>
      <c r="H23" s="607">
        <f t="shared" si="1"/>
        <v>184361351.15000001</v>
      </c>
    </row>
    <row r="24" spans="1:8">
      <c r="A24" s="368">
        <v>5.5</v>
      </c>
      <c r="B24" s="355" t="s">
        <v>173</v>
      </c>
      <c r="C24" s="532"/>
      <c r="D24" s="532"/>
      <c r="E24" s="529">
        <f t="shared" si="0"/>
        <v>0</v>
      </c>
      <c r="F24" s="606"/>
      <c r="G24" s="606"/>
      <c r="H24" s="607">
        <f t="shared" si="1"/>
        <v>0</v>
      </c>
    </row>
    <row r="25" spans="1:8">
      <c r="A25" s="368">
        <v>5.6</v>
      </c>
      <c r="B25" s="355" t="s">
        <v>174</v>
      </c>
      <c r="C25" s="532"/>
      <c r="D25" s="532"/>
      <c r="E25" s="529">
        <f t="shared" si="0"/>
        <v>0</v>
      </c>
      <c r="F25" s="606"/>
      <c r="G25" s="606"/>
      <c r="H25" s="607">
        <f t="shared" si="1"/>
        <v>0</v>
      </c>
    </row>
    <row r="26" spans="1:8">
      <c r="A26" s="368">
        <v>5.7</v>
      </c>
      <c r="B26" s="355" t="s">
        <v>41</v>
      </c>
      <c r="C26" s="532"/>
      <c r="D26" s="532"/>
      <c r="E26" s="529">
        <f t="shared" si="0"/>
        <v>0</v>
      </c>
      <c r="F26" s="606"/>
      <c r="G26" s="606"/>
      <c r="H26" s="607">
        <f t="shared" si="1"/>
        <v>0</v>
      </c>
    </row>
    <row r="27" spans="1:8">
      <c r="A27" s="368">
        <v>6</v>
      </c>
      <c r="B27" s="527" t="s">
        <v>623</v>
      </c>
      <c r="C27" s="532">
        <f>349727977-1768709</f>
        <v>347959268</v>
      </c>
      <c r="D27" s="532">
        <v>33248909</v>
      </c>
      <c r="E27" s="529">
        <f t="shared" si="0"/>
        <v>381208177</v>
      </c>
      <c r="F27" s="606">
        <v>51545873</v>
      </c>
      <c r="G27" s="606">
        <v>23239725</v>
      </c>
      <c r="H27" s="607">
        <f t="shared" si="1"/>
        <v>74785598</v>
      </c>
    </row>
    <row r="28" spans="1:8">
      <c r="A28" s="368">
        <v>7</v>
      </c>
      <c r="B28" s="527" t="s">
        <v>624</v>
      </c>
      <c r="C28" s="532">
        <v>2298081</v>
      </c>
      <c r="D28" s="532"/>
      <c r="E28" s="529">
        <f t="shared" si="0"/>
        <v>2298081</v>
      </c>
      <c r="F28" s="606">
        <v>970850</v>
      </c>
      <c r="G28" s="606"/>
      <c r="H28" s="607">
        <f t="shared" si="1"/>
        <v>970850</v>
      </c>
    </row>
    <row r="29" spans="1:8">
      <c r="A29" s="368">
        <v>8</v>
      </c>
      <c r="B29" s="527" t="s">
        <v>182</v>
      </c>
      <c r="C29" s="532"/>
      <c r="D29" s="532"/>
      <c r="E29" s="529">
        <f t="shared" si="0"/>
        <v>0</v>
      </c>
      <c r="F29" s="606"/>
      <c r="G29" s="606"/>
      <c r="H29" s="607">
        <f t="shared" si="1"/>
        <v>0</v>
      </c>
    </row>
    <row r="30" spans="1:8">
      <c r="A30" s="368">
        <v>9</v>
      </c>
      <c r="B30" s="528" t="s">
        <v>199</v>
      </c>
      <c r="C30" s="694">
        <f>C31+C32+C33+C34+C35+C36+C37</f>
        <v>405062133.5</v>
      </c>
      <c r="D30" s="694">
        <f>D31+D32+D33+D34+D35+D36+D37</f>
        <v>5659470</v>
      </c>
      <c r="E30" s="529">
        <f t="shared" si="0"/>
        <v>410721603.5</v>
      </c>
      <c r="F30" s="695">
        <f>F31+F32+F33+F34+F35+F36+F37</f>
        <v>219987866.94999999</v>
      </c>
      <c r="G30" s="695">
        <f>G31+G32+G33+G34+G35+G36+G37</f>
        <v>2307510</v>
      </c>
      <c r="H30" s="607">
        <f t="shared" si="1"/>
        <v>222295376.94999999</v>
      </c>
    </row>
    <row r="31" spans="1:8">
      <c r="A31" s="368">
        <v>9.1</v>
      </c>
      <c r="B31" s="357" t="s">
        <v>189</v>
      </c>
      <c r="C31" s="532"/>
      <c r="D31" s="532"/>
      <c r="E31" s="529">
        <f t="shared" si="0"/>
        <v>0</v>
      </c>
      <c r="F31" s="606"/>
      <c r="G31" s="606"/>
      <c r="H31" s="607">
        <f t="shared" si="1"/>
        <v>0</v>
      </c>
    </row>
    <row r="32" spans="1:8">
      <c r="A32" s="368">
        <v>9.1999999999999993</v>
      </c>
      <c r="B32" s="357" t="s">
        <v>190</v>
      </c>
      <c r="C32" s="532">
        <v>405062133.5</v>
      </c>
      <c r="D32" s="532">
        <v>5659470</v>
      </c>
      <c r="E32" s="529">
        <f t="shared" si="0"/>
        <v>410721603.5</v>
      </c>
      <c r="F32" s="606">
        <v>219987866.94999999</v>
      </c>
      <c r="G32" s="606">
        <v>2307510</v>
      </c>
      <c r="H32" s="607">
        <f t="shared" si="1"/>
        <v>222295376.94999999</v>
      </c>
    </row>
    <row r="33" spans="1:8">
      <c r="A33" s="368">
        <v>9.3000000000000007</v>
      </c>
      <c r="B33" s="357" t="s">
        <v>186</v>
      </c>
      <c r="C33" s="532"/>
      <c r="D33" s="532"/>
      <c r="E33" s="529">
        <f t="shared" si="0"/>
        <v>0</v>
      </c>
      <c r="F33" s="606"/>
      <c r="G33" s="606"/>
      <c r="H33" s="607">
        <f t="shared" si="1"/>
        <v>0</v>
      </c>
    </row>
    <row r="34" spans="1:8">
      <c r="A34" s="368">
        <v>9.4</v>
      </c>
      <c r="B34" s="357" t="s">
        <v>187</v>
      </c>
      <c r="C34" s="532"/>
      <c r="D34" s="532"/>
      <c r="E34" s="529">
        <f t="shared" si="0"/>
        <v>0</v>
      </c>
      <c r="F34" s="606"/>
      <c r="G34" s="606"/>
      <c r="H34" s="607">
        <f t="shared" si="1"/>
        <v>0</v>
      </c>
    </row>
    <row r="35" spans="1:8">
      <c r="A35" s="368">
        <v>9.5</v>
      </c>
      <c r="B35" s="357" t="s">
        <v>188</v>
      </c>
      <c r="C35" s="532"/>
      <c r="D35" s="532"/>
      <c r="E35" s="529">
        <f t="shared" si="0"/>
        <v>0</v>
      </c>
      <c r="F35" s="606"/>
      <c r="G35" s="606"/>
      <c r="H35" s="607">
        <f t="shared" si="1"/>
        <v>0</v>
      </c>
    </row>
    <row r="36" spans="1:8">
      <c r="A36" s="368">
        <v>9.6</v>
      </c>
      <c r="B36" s="357" t="s">
        <v>191</v>
      </c>
      <c r="C36" s="532"/>
      <c r="D36" s="532"/>
      <c r="E36" s="529">
        <f t="shared" si="0"/>
        <v>0</v>
      </c>
      <c r="F36" s="606"/>
      <c r="G36" s="606"/>
      <c r="H36" s="607">
        <f t="shared" si="1"/>
        <v>0</v>
      </c>
    </row>
    <row r="37" spans="1:8">
      <c r="A37" s="368">
        <v>9.6999999999999993</v>
      </c>
      <c r="B37" s="357" t="s">
        <v>192</v>
      </c>
      <c r="C37" s="532"/>
      <c r="D37" s="532"/>
      <c r="E37" s="529">
        <f t="shared" si="0"/>
        <v>0</v>
      </c>
      <c r="F37" s="606"/>
      <c r="G37" s="606"/>
      <c r="H37" s="607">
        <f t="shared" si="1"/>
        <v>0</v>
      </c>
    </row>
    <row r="38" spans="1:8">
      <c r="A38" s="368">
        <v>10</v>
      </c>
      <c r="B38" s="354" t="s">
        <v>195</v>
      </c>
      <c r="C38" s="694">
        <f>C41+C42</f>
        <v>299022017.65999997</v>
      </c>
      <c r="D38" s="694">
        <f>D41+D42</f>
        <v>4794699.4303619992</v>
      </c>
      <c r="E38" s="529">
        <f t="shared" si="0"/>
        <v>303816717.09036195</v>
      </c>
      <c r="F38" s="695">
        <f>F41+F42</f>
        <v>252273109</v>
      </c>
      <c r="G38" s="695">
        <f>G41+G42</f>
        <v>5571374</v>
      </c>
      <c r="H38" s="607">
        <f t="shared" si="1"/>
        <v>257844483</v>
      </c>
    </row>
    <row r="39" spans="1:8">
      <c r="A39" s="368">
        <v>10.1</v>
      </c>
      <c r="B39" s="357" t="s">
        <v>196</v>
      </c>
      <c r="C39" s="532">
        <v>11902338.150000002</v>
      </c>
      <c r="D39" s="532">
        <v>76894.472775999995</v>
      </c>
      <c r="E39" s="529">
        <f t="shared" si="0"/>
        <v>11979232.622776002</v>
      </c>
      <c r="F39" s="606">
        <v>10861979.660000004</v>
      </c>
      <c r="G39" s="606">
        <v>397167.98420399998</v>
      </c>
      <c r="H39" s="607">
        <f t="shared" si="1"/>
        <v>11259147.644204004</v>
      </c>
    </row>
    <row r="40" spans="1:8">
      <c r="A40" s="368">
        <v>10.199999999999999</v>
      </c>
      <c r="B40" s="357" t="s">
        <v>197</v>
      </c>
      <c r="C40" s="532">
        <v>7546418</v>
      </c>
      <c r="D40" s="532">
        <v>70814</v>
      </c>
      <c r="E40" s="529">
        <f t="shared" si="0"/>
        <v>7617232</v>
      </c>
      <c r="F40" s="606">
        <v>6667656.9700000044</v>
      </c>
      <c r="G40" s="606">
        <v>112496.34945899999</v>
      </c>
      <c r="H40" s="607">
        <f t="shared" si="1"/>
        <v>6780153.3194590043</v>
      </c>
    </row>
    <row r="41" spans="1:8">
      <c r="A41" s="368">
        <v>10.3</v>
      </c>
      <c r="B41" s="357" t="s">
        <v>200</v>
      </c>
      <c r="C41" s="532">
        <v>183118705.97</v>
      </c>
      <c r="D41" s="532">
        <v>3179188.4640949997</v>
      </c>
      <c r="E41" s="529">
        <f t="shared" si="0"/>
        <v>186297894.434095</v>
      </c>
      <c r="F41" s="606">
        <v>152047857</v>
      </c>
      <c r="G41" s="606">
        <v>3583873</v>
      </c>
      <c r="H41" s="607">
        <f t="shared" si="1"/>
        <v>155631730</v>
      </c>
    </row>
    <row r="42" spans="1:8" ht="26.4">
      <c r="A42" s="368">
        <v>10.4</v>
      </c>
      <c r="B42" s="357" t="s">
        <v>201</v>
      </c>
      <c r="C42" s="532">
        <v>115903311.68999994</v>
      </c>
      <c r="D42" s="532">
        <v>1615510.966267</v>
      </c>
      <c r="E42" s="529">
        <f t="shared" si="0"/>
        <v>117518822.65626694</v>
      </c>
      <c r="F42" s="606">
        <v>100225252</v>
      </c>
      <c r="G42" s="606">
        <v>1987501</v>
      </c>
      <c r="H42" s="607">
        <f t="shared" si="1"/>
        <v>102212753</v>
      </c>
    </row>
    <row r="43" spans="1:8" ht="14.4" thickBot="1">
      <c r="A43" s="368">
        <v>11</v>
      </c>
      <c r="B43" s="108" t="s">
        <v>198</v>
      </c>
      <c r="C43" s="532"/>
      <c r="D43" s="532"/>
      <c r="E43" s="529">
        <f t="shared" si="0"/>
        <v>0</v>
      </c>
      <c r="F43" s="606"/>
      <c r="G43" s="606"/>
      <c r="H43" s="607">
        <f t="shared" si="1"/>
        <v>0</v>
      </c>
    </row>
    <row r="44" spans="1:8">
      <c r="C44" s="358"/>
      <c r="D44" s="358"/>
      <c r="E44" s="358"/>
      <c r="F44" s="358"/>
      <c r="G44" s="358"/>
      <c r="H44" s="358"/>
    </row>
    <row r="45" spans="1:8">
      <c r="C45" s="358"/>
      <c r="D45" s="358"/>
      <c r="E45" s="358"/>
      <c r="F45" s="358"/>
      <c r="G45" s="358"/>
      <c r="H45" s="358"/>
    </row>
    <row r="46" spans="1:8">
      <c r="C46" s="358"/>
      <c r="D46" s="358"/>
      <c r="E46" s="358"/>
      <c r="F46" s="358"/>
      <c r="G46" s="358"/>
      <c r="H46" s="358"/>
    </row>
    <row r="47" spans="1:8">
      <c r="C47" s="358"/>
      <c r="D47" s="358"/>
      <c r="E47" s="358"/>
      <c r="F47" s="358"/>
      <c r="G47" s="358"/>
      <c r="H47" s="358"/>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tabSelected="1" zoomScale="80" zoomScaleNormal="80" workbookViewId="0">
      <pane xSplit="1" ySplit="4" topLeftCell="B5" activePane="bottomRight" state="frozen"/>
      <selection activeCell="B19" sqref="B19"/>
      <selection pane="topRight" activeCell="B19" sqref="B19"/>
      <selection pane="bottomLeft" activeCell="B19" sqref="B19"/>
      <selection pane="bottomRight" activeCell="G20" sqref="G20"/>
    </sheetView>
  </sheetViews>
  <sheetFormatPr defaultColWidth="9.21875" defaultRowHeight="13.2"/>
  <cols>
    <col min="1" max="1" width="9.5546875" style="4" bestFit="1" customWidth="1"/>
    <col min="2" max="2" width="93.5546875" style="4" customWidth="1"/>
    <col min="3" max="4" width="12.33203125" style="4" bestFit="1" customWidth="1"/>
    <col min="5" max="7" width="12.33203125" style="19" bestFit="1" customWidth="1"/>
    <col min="8" max="11" width="9.77734375" style="19" customWidth="1"/>
    <col min="12" max="16384" width="9.21875" style="19"/>
  </cols>
  <sheetData>
    <row r="1" spans="1:7">
      <c r="A1" s="2" t="s">
        <v>31</v>
      </c>
      <c r="B1" s="3" t="str">
        <f>'Info '!C2</f>
        <v>JSC "CREDOBANK"</v>
      </c>
      <c r="C1" s="3"/>
    </row>
    <row r="2" spans="1:7">
      <c r="A2" s="2" t="s">
        <v>32</v>
      </c>
      <c r="B2" s="265">
        <f>'1. key ratios '!B2</f>
        <v>45838</v>
      </c>
      <c r="C2" s="3"/>
    </row>
    <row r="3" spans="1:7">
      <c r="A3" s="2"/>
      <c r="B3" s="3"/>
      <c r="C3" s="3"/>
    </row>
    <row r="4" spans="1:7" ht="15" customHeight="1" thickBot="1">
      <c r="A4" s="4" t="s">
        <v>97</v>
      </c>
      <c r="B4" s="85" t="s">
        <v>175</v>
      </c>
      <c r="C4" s="22" t="s">
        <v>36</v>
      </c>
    </row>
    <row r="5" spans="1:7" ht="15" customHeight="1">
      <c r="A5" s="130" t="s">
        <v>7</v>
      </c>
      <c r="B5" s="131"/>
      <c r="C5" s="263" t="str">
        <f>INT((MONTH($B$2))/3)&amp;"Q"&amp;"-"&amp;YEAR($B$2)</f>
        <v>2Q-2025</v>
      </c>
      <c r="D5" s="263" t="str">
        <f>IF(INT(MONTH($B$2))=3, "4"&amp;"Q"&amp;"-"&amp;YEAR($B$2)-1, IF(INT(MONTH($B$2))=6, "1"&amp;"Q"&amp;"-"&amp;YEAR($B$2), IF(INT(MONTH($B$2))=9, "2"&amp;"Q"&amp;"-"&amp;YEAR($B$2),IF(INT(MONTH($B$2))=12, "3"&amp;"Q"&amp;"-"&amp;YEAR($B$2), 0))))</f>
        <v>1Q-2025</v>
      </c>
      <c r="E5" s="263" t="str">
        <f>IF(INT(MONTH($B$2))=3, "3"&amp;"Q"&amp;"-"&amp;YEAR($B$2)-1, IF(INT(MONTH($B$2))=6, "4"&amp;"Q"&amp;"-"&amp;YEAR($B$2)-1, IF(INT(MONTH($B$2))=9, "1"&amp;"Q"&amp;"-"&amp;YEAR($B$2),IF(INT(MONTH($B$2))=12, "2"&amp;"Q"&amp;"-"&amp;YEAR($B$2), 0))))</f>
        <v>4Q-2024</v>
      </c>
      <c r="F5" s="263" t="str">
        <f>IF(INT(MONTH($B$2))=3, "2"&amp;"Q"&amp;"-"&amp;YEAR($B$2)-1, IF(INT(MONTH($B$2))=6, "3"&amp;"Q"&amp;"-"&amp;YEAR($B$2)-1, IF(INT(MONTH($B$2))=9, "4"&amp;"Q"&amp;"-"&amp;YEAR($B$2)-1,IF(INT(MONTH($B$2))=12, "1"&amp;"Q"&amp;"-"&amp;YEAR($B$2), 0))))</f>
        <v>3Q-2024</v>
      </c>
      <c r="G5" s="264" t="str">
        <f>IF(INT(MONTH($B$2))=3, "1"&amp;"Q"&amp;"-"&amp;YEAR($B$2)-1, IF(INT(MONTH($B$2))=6, "2"&amp;"Q"&amp;"-"&amp;YEAR($B$2)-1, IF(INT(MONTH($B$2))=9, "3"&amp;"Q"&amp;"-"&amp;YEAR($B$2)-1,IF(INT(MONTH($B$2))=12, "4"&amp;"Q"&amp;"-"&amp;YEAR($B$2)-1, 0))))</f>
        <v>2Q-2024</v>
      </c>
    </row>
    <row r="6" spans="1:7" ht="15" customHeight="1">
      <c r="A6" s="23">
        <v>1</v>
      </c>
      <c r="B6" s="216" t="s">
        <v>179</v>
      </c>
      <c r="C6" s="255">
        <f>C7+C9+C10</f>
        <v>2279557645.9717302</v>
      </c>
      <c r="D6" s="257">
        <f>D7+D9+D10</f>
        <v>2155615504.3424869</v>
      </c>
      <c r="E6" s="218">
        <f t="shared" ref="E6:G6" si="0">E7+E9+E10</f>
        <v>2056136249.6177859</v>
      </c>
      <c r="F6" s="255">
        <f t="shared" si="0"/>
        <v>1909219821.9494481</v>
      </c>
      <c r="G6" s="260">
        <f t="shared" si="0"/>
        <v>1827465908.5889337</v>
      </c>
    </row>
    <row r="7" spans="1:7" ht="15" customHeight="1">
      <c r="A7" s="23">
        <v>1.1000000000000001</v>
      </c>
      <c r="B7" s="216" t="s">
        <v>745</v>
      </c>
      <c r="C7" s="256">
        <v>2198265315.321897</v>
      </c>
      <c r="D7" s="258">
        <v>2078270635.7190535</v>
      </c>
      <c r="E7" s="256">
        <v>2005870754.2077861</v>
      </c>
      <c r="F7" s="256">
        <v>1869413263.9154482</v>
      </c>
      <c r="G7" s="261">
        <v>1794066642.9262829</v>
      </c>
    </row>
    <row r="8" spans="1:7">
      <c r="A8" s="23" t="s">
        <v>15</v>
      </c>
      <c r="B8" s="216" t="s">
        <v>96</v>
      </c>
      <c r="C8" s="256">
        <v>2202413.5</v>
      </c>
      <c r="D8" s="258">
        <v>2328266.9</v>
      </c>
      <c r="E8" s="256">
        <v>2463673.85</v>
      </c>
      <c r="F8" s="256">
        <v>2655263.0099999998</v>
      </c>
      <c r="G8" s="261">
        <v>1737632.6</v>
      </c>
    </row>
    <row r="9" spans="1:7" ht="15" customHeight="1">
      <c r="A9" s="23">
        <v>1.2</v>
      </c>
      <c r="B9" s="217" t="s">
        <v>95</v>
      </c>
      <c r="C9" s="256">
        <v>77574328.375</v>
      </c>
      <c r="D9" s="258">
        <v>72260100.875</v>
      </c>
      <c r="E9" s="256">
        <v>44874370.850000001</v>
      </c>
      <c r="F9" s="256">
        <v>35505361.174999997</v>
      </c>
      <c r="G9" s="261">
        <v>28999508.322650995</v>
      </c>
    </row>
    <row r="10" spans="1:7" ht="15" customHeight="1">
      <c r="A10" s="23">
        <v>1.3</v>
      </c>
      <c r="B10" s="216" t="s">
        <v>29</v>
      </c>
      <c r="C10" s="256">
        <v>3718002.2748331837</v>
      </c>
      <c r="D10" s="258">
        <v>5084767.7484337837</v>
      </c>
      <c r="E10" s="256">
        <v>5391124.5600000005</v>
      </c>
      <c r="F10" s="256">
        <v>4301196.8590000002</v>
      </c>
      <c r="G10" s="261">
        <v>4399757.34</v>
      </c>
    </row>
    <row r="11" spans="1:7" ht="15" customHeight="1">
      <c r="A11" s="23">
        <v>2</v>
      </c>
      <c r="B11" s="216" t="s">
        <v>176</v>
      </c>
      <c r="C11" s="256">
        <v>2452100</v>
      </c>
      <c r="D11" s="258">
        <v>1537337</v>
      </c>
      <c r="E11" s="256">
        <v>991776</v>
      </c>
      <c r="F11" s="256">
        <v>712359.72000208776</v>
      </c>
      <c r="G11" s="261">
        <v>2411779</v>
      </c>
    </row>
    <row r="12" spans="1:7" ht="15" customHeight="1">
      <c r="A12" s="23">
        <v>3</v>
      </c>
      <c r="B12" s="216" t="s">
        <v>177</v>
      </c>
      <c r="C12" s="256">
        <v>559691583.66043723</v>
      </c>
      <c r="D12" s="258">
        <v>559691583.66043723</v>
      </c>
      <c r="E12" s="256">
        <v>559691583.66043723</v>
      </c>
      <c r="F12" s="256">
        <v>497590830.13999999</v>
      </c>
      <c r="G12" s="261">
        <v>497590830.13999999</v>
      </c>
    </row>
    <row r="13" spans="1:7" ht="15" customHeight="1" thickBot="1">
      <c r="A13" s="25">
        <v>4</v>
      </c>
      <c r="B13" s="26" t="s">
        <v>178</v>
      </c>
      <c r="C13" s="219">
        <f>C6+C11+C12</f>
        <v>2841701329.6321673</v>
      </c>
      <c r="D13" s="259">
        <f>D6+D11+D12</f>
        <v>2716844425.002924</v>
      </c>
      <c r="E13" s="220">
        <f t="shared" ref="E13:G13" si="1">E6+E11+E12</f>
        <v>2616819609.278223</v>
      </c>
      <c r="F13" s="219">
        <f t="shared" si="1"/>
        <v>2407523011.8094501</v>
      </c>
      <c r="G13" s="262">
        <f t="shared" si="1"/>
        <v>2327468517.7289338</v>
      </c>
    </row>
    <row r="14" spans="1:7">
      <c r="B14" s="29"/>
    </row>
    <row r="15" spans="1:7">
      <c r="B15" s="29"/>
    </row>
    <row r="16" spans="1:7">
      <c r="B16" s="29"/>
    </row>
    <row r="17" s="19" customFormat="1" ht="10.199999999999999"/>
    <row r="18" s="19" customFormat="1" ht="10.199999999999999"/>
    <row r="19" s="19" customFormat="1" ht="10.199999999999999"/>
    <row r="20" s="19" customFormat="1" ht="10.199999999999999"/>
    <row r="21" s="19" customFormat="1" ht="10.199999999999999"/>
    <row r="22" s="19" customFormat="1" ht="10.199999999999999"/>
    <row r="23" s="19" customFormat="1" ht="10.199999999999999"/>
    <row r="24" s="19" customFormat="1" ht="10.199999999999999"/>
    <row r="25" s="19" customFormat="1" ht="10.199999999999999"/>
    <row r="26" s="19" customFormat="1" ht="10.199999999999999"/>
    <row r="27" s="19" customFormat="1" ht="10.199999999999999"/>
    <row r="28" s="19" customFormat="1" ht="10.199999999999999"/>
    <row r="29" s="19"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C34"/>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14" sqref="B14"/>
    </sheetView>
  </sheetViews>
  <sheetFormatPr defaultColWidth="9.21875" defaultRowHeight="13.8"/>
  <cols>
    <col min="1" max="1" width="9.5546875" style="4" bestFit="1" customWidth="1"/>
    <col min="2" max="2" width="65.5546875" style="4" customWidth="1"/>
    <col min="3" max="3" width="27.5546875" style="4" customWidth="1"/>
    <col min="4" max="16384" width="9.21875" style="5"/>
  </cols>
  <sheetData>
    <row r="1" spans="1:3">
      <c r="A1" s="2" t="s">
        <v>31</v>
      </c>
      <c r="B1" s="3" t="str">
        <f>'Info '!C2</f>
        <v>JSC "CREDOBANK"</v>
      </c>
    </row>
    <row r="2" spans="1:3">
      <c r="A2" s="2" t="s">
        <v>32</v>
      </c>
      <c r="B2" s="265">
        <f>'1. key ratios '!B2</f>
        <v>45838</v>
      </c>
    </row>
    <row r="4" spans="1:3" ht="28.05" customHeight="1" thickBot="1">
      <c r="A4" s="30" t="s">
        <v>42</v>
      </c>
      <c r="B4" s="31" t="s">
        <v>152</v>
      </c>
      <c r="C4" s="32"/>
    </row>
    <row r="5" spans="1:3">
      <c r="A5" s="33"/>
      <c r="B5" s="250" t="s">
        <v>43</v>
      </c>
      <c r="C5" s="251" t="s">
        <v>336</v>
      </c>
    </row>
    <row r="6" spans="1:3">
      <c r="A6" s="34">
        <v>1</v>
      </c>
      <c r="B6" s="620" t="s">
        <v>756</v>
      </c>
      <c r="C6" s="610" t="s">
        <v>757</v>
      </c>
    </row>
    <row r="7" spans="1:3">
      <c r="A7" s="34">
        <v>2</v>
      </c>
      <c r="B7" s="620" t="s">
        <v>758</v>
      </c>
      <c r="C7" s="610" t="s">
        <v>759</v>
      </c>
    </row>
    <row r="8" spans="1:3" ht="15">
      <c r="A8" s="34">
        <v>3</v>
      </c>
      <c r="B8" s="699" t="s">
        <v>790</v>
      </c>
      <c r="C8" s="610" t="s">
        <v>759</v>
      </c>
    </row>
    <row r="9" spans="1:3">
      <c r="A9" s="34">
        <v>4</v>
      </c>
      <c r="B9" s="620" t="s">
        <v>760</v>
      </c>
      <c r="C9" s="610" t="s">
        <v>759</v>
      </c>
    </row>
    <row r="10" spans="1:3">
      <c r="A10" s="34">
        <v>5</v>
      </c>
      <c r="B10" s="620" t="s">
        <v>761</v>
      </c>
      <c r="C10" s="610" t="s">
        <v>762</v>
      </c>
    </row>
    <row r="11" spans="1:3">
      <c r="A11" s="34"/>
      <c r="B11" s="252"/>
      <c r="C11" s="253"/>
    </row>
    <row r="12" spans="1:3" ht="26.4">
      <c r="A12" s="34"/>
      <c r="B12" s="114" t="s">
        <v>44</v>
      </c>
      <c r="C12" s="254" t="s">
        <v>337</v>
      </c>
    </row>
    <row r="13" spans="1:3">
      <c r="A13" s="34">
        <v>1</v>
      </c>
      <c r="B13" s="620" t="s">
        <v>754</v>
      </c>
      <c r="C13" s="615" t="s">
        <v>763</v>
      </c>
    </row>
    <row r="14" spans="1:3">
      <c r="A14" s="34">
        <v>2</v>
      </c>
      <c r="B14" s="620" t="s">
        <v>764</v>
      </c>
      <c r="C14" s="615" t="s">
        <v>765</v>
      </c>
    </row>
    <row r="15" spans="1:3">
      <c r="A15" s="34">
        <v>3</v>
      </c>
      <c r="B15" s="620" t="s">
        <v>766</v>
      </c>
      <c r="C15" s="615" t="s">
        <v>767</v>
      </c>
    </row>
    <row r="16" spans="1:3">
      <c r="A16" s="34">
        <v>4</v>
      </c>
      <c r="B16" s="620" t="s">
        <v>768</v>
      </c>
      <c r="C16" s="615" t="s">
        <v>769</v>
      </c>
    </row>
    <row r="17" spans="1:3">
      <c r="A17" s="34">
        <v>5</v>
      </c>
      <c r="B17" s="620" t="s">
        <v>770</v>
      </c>
      <c r="C17" s="615" t="s">
        <v>771</v>
      </c>
    </row>
    <row r="18" spans="1:3">
      <c r="A18" s="34">
        <v>6</v>
      </c>
      <c r="B18" s="620" t="s">
        <v>772</v>
      </c>
      <c r="C18" s="615" t="s">
        <v>773</v>
      </c>
    </row>
    <row r="19" spans="1:3" ht="15.75" customHeight="1">
      <c r="A19" s="34"/>
      <c r="B19" s="35"/>
      <c r="C19" s="36"/>
    </row>
    <row r="20" spans="1:3" ht="30" customHeight="1">
      <c r="A20" s="34"/>
      <c r="B20" s="774" t="s">
        <v>45</v>
      </c>
      <c r="C20" s="775"/>
    </row>
    <row r="21" spans="1:3" ht="14.4">
      <c r="A21" s="34">
        <v>1</v>
      </c>
      <c r="B21" s="620" t="s">
        <v>789</v>
      </c>
      <c r="C21" s="700">
        <v>0.50260000000000005</v>
      </c>
    </row>
    <row r="22" spans="1:3" ht="14.4">
      <c r="A22" s="608">
        <v>2</v>
      </c>
      <c r="B22" s="620" t="s">
        <v>774</v>
      </c>
      <c r="C22" s="700">
        <v>0.16700000000000001</v>
      </c>
    </row>
    <row r="23" spans="1:3" ht="27">
      <c r="A23" s="34">
        <v>3</v>
      </c>
      <c r="B23" s="620" t="s">
        <v>775</v>
      </c>
      <c r="C23" s="700">
        <v>0.1469</v>
      </c>
    </row>
    <row r="24" spans="1:3" ht="14.4">
      <c r="A24" s="608">
        <v>4</v>
      </c>
      <c r="B24" s="620" t="s">
        <v>776</v>
      </c>
      <c r="C24" s="700">
        <v>8.2600000000000007E-2</v>
      </c>
    </row>
    <row r="25" spans="1:3" ht="14.4">
      <c r="A25" s="34">
        <v>5</v>
      </c>
      <c r="B25" s="620" t="s">
        <v>777</v>
      </c>
      <c r="C25" s="700">
        <v>8.2600000000000007E-2</v>
      </c>
    </row>
    <row r="26" spans="1:3" ht="15.75" customHeight="1">
      <c r="A26" s="608"/>
      <c r="B26" s="609"/>
      <c r="C26" s="610"/>
    </row>
    <row r="27" spans="1:3" ht="29.25" customHeight="1">
      <c r="A27" s="34"/>
      <c r="B27" s="774" t="s">
        <v>46</v>
      </c>
      <c r="C27" s="775"/>
    </row>
    <row r="28" spans="1:3" ht="15">
      <c r="A28" s="34">
        <v>1</v>
      </c>
      <c r="B28" s="616" t="s">
        <v>778</v>
      </c>
      <c r="C28" s="700">
        <v>5.9407320000000007E-2</v>
      </c>
    </row>
    <row r="29" spans="1:3" ht="15">
      <c r="A29" s="611">
        <v>2</v>
      </c>
      <c r="B29" s="617" t="s">
        <v>779</v>
      </c>
      <c r="C29" s="701">
        <v>5.9407320000000007E-2</v>
      </c>
    </row>
    <row r="30" spans="1:3" ht="15">
      <c r="A30" s="34">
        <v>3</v>
      </c>
      <c r="B30" s="617" t="s">
        <v>780</v>
      </c>
      <c r="C30" s="701">
        <v>7.478688E-2</v>
      </c>
    </row>
    <row r="31" spans="1:3" ht="15">
      <c r="A31" s="611">
        <v>4</v>
      </c>
      <c r="B31" s="617" t="s">
        <v>781</v>
      </c>
      <c r="C31" s="701">
        <v>6.388046E-2</v>
      </c>
    </row>
    <row r="32" spans="1:3" ht="15">
      <c r="A32" s="34">
        <v>5</v>
      </c>
      <c r="B32" s="617" t="s">
        <v>782</v>
      </c>
      <c r="C32" s="701">
        <v>0.11946802000000001</v>
      </c>
    </row>
    <row r="33" spans="1:3" ht="15">
      <c r="A33" s="611">
        <v>6</v>
      </c>
      <c r="B33" s="617" t="s">
        <v>783</v>
      </c>
      <c r="C33" s="701">
        <v>5.634146000000001E-2</v>
      </c>
    </row>
    <row r="34" spans="1:3" ht="15.6" thickBot="1">
      <c r="A34" s="34">
        <v>7</v>
      </c>
      <c r="B34" s="618" t="s">
        <v>784</v>
      </c>
      <c r="C34" s="619">
        <v>0.12517349</v>
      </c>
    </row>
  </sheetData>
  <mergeCells count="2">
    <mergeCell ref="B27:C27"/>
    <mergeCell ref="B20:C20"/>
  </mergeCells>
  <dataValidations count="1">
    <dataValidation type="list" allowBlank="1" showInputMessage="1" showErrorMessage="1" sqref="C6:C10" xr:uid="{99F499EB-78EA-4A43-A7F8-D235FD572BF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18" activePane="bottomRight" state="frozen"/>
      <selection activeCell="B19" sqref="B19"/>
      <selection pane="topRight" activeCell="B19" sqref="B19"/>
      <selection pane="bottomLeft" activeCell="B19" sqref="B19"/>
      <selection pane="bottomRight" activeCell="C21" sqref="C21:D35"/>
    </sheetView>
  </sheetViews>
  <sheetFormatPr defaultColWidth="9.21875" defaultRowHeight="13.8"/>
  <cols>
    <col min="1" max="1" width="9.5546875" style="4" bestFit="1" customWidth="1"/>
    <col min="2" max="2" width="54.21875" style="4" customWidth="1"/>
    <col min="3" max="3" width="28" style="4" customWidth="1"/>
    <col min="4" max="4" width="22.44140625" style="4" customWidth="1"/>
    <col min="5" max="5" width="22.21875" style="4" customWidth="1"/>
    <col min="6" max="6" width="12" style="5" bestFit="1" customWidth="1"/>
    <col min="7" max="7" width="12.5546875" style="5" bestFit="1" customWidth="1"/>
    <col min="8" max="16384" width="9.21875" style="5"/>
  </cols>
  <sheetData>
    <row r="1" spans="1:5">
      <c r="A1" s="28" t="s">
        <v>31</v>
      </c>
      <c r="B1" s="3" t="str">
        <f>'Info '!C2</f>
        <v>JSC "CREDOBANK"</v>
      </c>
    </row>
    <row r="2" spans="1:5" s="2" customFormat="1" ht="15.75" customHeight="1">
      <c r="A2" s="28" t="s">
        <v>32</v>
      </c>
      <c r="B2" s="265">
        <f>'1. key ratios '!B2</f>
        <v>45838</v>
      </c>
    </row>
    <row r="3" spans="1:5" s="2" customFormat="1" ht="15.75" customHeight="1">
      <c r="A3" s="28"/>
    </row>
    <row r="4" spans="1:5" s="2" customFormat="1" ht="15.75" customHeight="1" thickBot="1">
      <c r="A4" s="168" t="s">
        <v>100</v>
      </c>
      <c r="B4" s="780" t="s">
        <v>213</v>
      </c>
      <c r="C4" s="781"/>
      <c r="D4" s="781"/>
      <c r="E4" s="781"/>
    </row>
    <row r="5" spans="1:5" s="40" customFormat="1" ht="17.55" customHeight="1">
      <c r="A5" s="117"/>
      <c r="B5" s="118"/>
      <c r="C5" s="38" t="s">
        <v>0</v>
      </c>
      <c r="D5" s="38" t="s">
        <v>1</v>
      </c>
      <c r="E5" s="39" t="s">
        <v>2</v>
      </c>
    </row>
    <row r="6" spans="1:5" ht="14.55" customHeight="1">
      <c r="A6" s="102"/>
      <c r="B6" s="776" t="s">
        <v>220</v>
      </c>
      <c r="C6" s="776" t="s">
        <v>625</v>
      </c>
      <c r="D6" s="778" t="s">
        <v>99</v>
      </c>
      <c r="E6" s="779"/>
    </row>
    <row r="7" spans="1:5" ht="99.6" customHeight="1">
      <c r="A7" s="102"/>
      <c r="B7" s="777"/>
      <c r="C7" s="776"/>
      <c r="D7" s="202" t="s">
        <v>98</v>
      </c>
      <c r="E7" s="203" t="s">
        <v>221</v>
      </c>
    </row>
    <row r="8" spans="1:5" ht="20.399999999999999">
      <c r="A8" s="315">
        <v>1</v>
      </c>
      <c r="B8" s="316" t="s">
        <v>526</v>
      </c>
      <c r="C8" s="621">
        <f>SUM(C9:C11)</f>
        <v>491148885.90338242</v>
      </c>
      <c r="D8" s="622">
        <f t="shared" ref="D8:E8" si="0">SUM(D9:D11)</f>
        <v>0</v>
      </c>
      <c r="E8" s="622">
        <f t="shared" si="0"/>
        <v>491148885.90338242</v>
      </c>
    </row>
    <row r="9" spans="1:5" ht="14.4">
      <c r="A9" s="315">
        <v>1.1000000000000001</v>
      </c>
      <c r="B9" s="317" t="s">
        <v>527</v>
      </c>
      <c r="C9" s="702">
        <v>104906069.83</v>
      </c>
      <c r="D9" s="622"/>
      <c r="E9" s="622">
        <f>C9-D9</f>
        <v>104906069.83</v>
      </c>
    </row>
    <row r="10" spans="1:5" ht="14.4">
      <c r="A10" s="315">
        <v>1.2</v>
      </c>
      <c r="B10" s="317" t="s">
        <v>528</v>
      </c>
      <c r="C10" s="702">
        <v>296997573.04999995</v>
      </c>
      <c r="D10" s="622"/>
      <c r="E10" s="622">
        <f t="shared" ref="E10:E15" si="1">C10-D10</f>
        <v>296997573.04999995</v>
      </c>
    </row>
    <row r="11" spans="1:5" ht="14.4">
      <c r="A11" s="315">
        <v>1.3</v>
      </c>
      <c r="B11" s="317" t="s">
        <v>529</v>
      </c>
      <c r="C11" s="702">
        <v>89245243.023382485</v>
      </c>
      <c r="D11" s="622"/>
      <c r="E11" s="622">
        <f t="shared" si="1"/>
        <v>89245243.023382485</v>
      </c>
    </row>
    <row r="12" spans="1:5" ht="14.4">
      <c r="A12" s="315">
        <v>2</v>
      </c>
      <c r="B12" s="318" t="s">
        <v>530</v>
      </c>
      <c r="C12" s="703">
        <v>2958401.69</v>
      </c>
      <c r="D12" s="622"/>
      <c r="E12" s="623">
        <f t="shared" si="1"/>
        <v>2958401.69</v>
      </c>
    </row>
    <row r="13" spans="1:5" ht="14.4">
      <c r="A13" s="315">
        <v>2.1</v>
      </c>
      <c r="B13" s="319" t="s">
        <v>531</v>
      </c>
      <c r="C13" s="702">
        <v>2958401.69</v>
      </c>
      <c r="D13" s="622"/>
      <c r="E13" s="622">
        <f t="shared" si="1"/>
        <v>2958401.69</v>
      </c>
    </row>
    <row r="14" spans="1:5" ht="20.399999999999999">
      <c r="A14" s="315">
        <v>3</v>
      </c>
      <c r="B14" s="320" t="s">
        <v>532</v>
      </c>
      <c r="C14" s="622"/>
      <c r="D14" s="622"/>
      <c r="E14" s="622">
        <f t="shared" si="1"/>
        <v>0</v>
      </c>
    </row>
    <row r="15" spans="1:5" ht="14.4">
      <c r="A15" s="315">
        <v>4</v>
      </c>
      <c r="B15" s="321" t="s">
        <v>533</v>
      </c>
      <c r="C15" s="622"/>
      <c r="D15" s="622"/>
      <c r="E15" s="622">
        <f t="shared" si="1"/>
        <v>0</v>
      </c>
    </row>
    <row r="16" spans="1:5" ht="20.399999999999999">
      <c r="A16" s="315">
        <v>5</v>
      </c>
      <c r="B16" s="322" t="s">
        <v>534</v>
      </c>
      <c r="C16" s="622">
        <f>SUM(C17:C19)</f>
        <v>0</v>
      </c>
      <c r="D16" s="622">
        <f t="shared" ref="D16:E16" si="2">SUM(D17:D19)</f>
        <v>0</v>
      </c>
      <c r="E16" s="622">
        <f t="shared" si="2"/>
        <v>0</v>
      </c>
    </row>
    <row r="17" spans="1:5" ht="14.4">
      <c r="A17" s="315">
        <v>5.0999999999999996</v>
      </c>
      <c r="B17" s="323" t="s">
        <v>535</v>
      </c>
      <c r="C17" s="622"/>
      <c r="D17" s="622"/>
      <c r="E17" s="622">
        <f>C17-D17</f>
        <v>0</v>
      </c>
    </row>
    <row r="18" spans="1:5" ht="14.4">
      <c r="A18" s="315">
        <v>5.2</v>
      </c>
      <c r="B18" s="323" t="s">
        <v>536</v>
      </c>
      <c r="C18" s="622"/>
      <c r="D18" s="622"/>
      <c r="E18" s="622">
        <f t="shared" ref="E18:E19" si="3">C18-D18</f>
        <v>0</v>
      </c>
    </row>
    <row r="19" spans="1:5" ht="14.4">
      <c r="A19" s="315">
        <v>5.3</v>
      </c>
      <c r="B19" s="324" t="s">
        <v>537</v>
      </c>
      <c r="C19" s="622"/>
      <c r="D19" s="622"/>
      <c r="E19" s="622">
        <f t="shared" si="3"/>
        <v>0</v>
      </c>
    </row>
    <row r="20" spans="1:5" ht="14.4">
      <c r="A20" s="315">
        <v>6</v>
      </c>
      <c r="B20" s="320" t="s">
        <v>538</v>
      </c>
      <c r="C20" s="621">
        <f t="shared" ref="C20:E20" si="4">SUM(C21:C22)</f>
        <v>2781684951.8897529</v>
      </c>
      <c r="D20" s="622">
        <f t="shared" si="4"/>
        <v>0</v>
      </c>
      <c r="E20" s="621">
        <f t="shared" si="4"/>
        <v>2781684951.8897529</v>
      </c>
    </row>
    <row r="21" spans="1:5" ht="14.4">
      <c r="A21" s="315">
        <v>6.1</v>
      </c>
      <c r="B21" s="323" t="s">
        <v>536</v>
      </c>
      <c r="C21" s="704">
        <v>73312067.549999997</v>
      </c>
      <c r="D21" s="705"/>
      <c r="E21" s="624">
        <f>C21-D21</f>
        <v>73312067.549999997</v>
      </c>
    </row>
    <row r="22" spans="1:5" ht="14.4">
      <c r="A22" s="315">
        <v>6.2</v>
      </c>
      <c r="B22" s="324" t="s">
        <v>537</v>
      </c>
      <c r="C22" s="704">
        <v>2708372884.3397527</v>
      </c>
      <c r="D22" s="705"/>
      <c r="E22" s="624">
        <f t="shared" ref="E22:E24" si="5">C22-D22</f>
        <v>2708372884.3397527</v>
      </c>
    </row>
    <row r="23" spans="1:5" ht="14.4">
      <c r="A23" s="315">
        <v>7</v>
      </c>
      <c r="B23" s="318" t="s">
        <v>539</v>
      </c>
      <c r="C23" s="706">
        <v>2202413.5</v>
      </c>
      <c r="D23" s="705"/>
      <c r="E23" s="626">
        <f t="shared" si="5"/>
        <v>2202413.5</v>
      </c>
    </row>
    <row r="24" spans="1:5" ht="20.399999999999999">
      <c r="A24" s="315">
        <v>8</v>
      </c>
      <c r="B24" s="325" t="s">
        <v>540</v>
      </c>
      <c r="C24" s="705"/>
      <c r="D24" s="705"/>
      <c r="E24" s="624">
        <f t="shared" si="5"/>
        <v>0</v>
      </c>
    </row>
    <row r="25" spans="1:5" ht="14.4">
      <c r="A25" s="315">
        <v>9</v>
      </c>
      <c r="B25" s="321" t="s">
        <v>541</v>
      </c>
      <c r="C25" s="706">
        <f>SUM(C26:C27)</f>
        <v>53619535.339999974</v>
      </c>
      <c r="D25" s="705">
        <f t="shared" ref="D25" si="6">SUM(D26:D27)</f>
        <v>0</v>
      </c>
      <c r="E25" s="626">
        <f t="shared" ref="E25" si="7">SUM(E26:E27)</f>
        <v>53619535.339999974</v>
      </c>
    </row>
    <row r="26" spans="1:5" ht="14.4">
      <c r="A26" s="315">
        <v>9.1</v>
      </c>
      <c r="B26" s="323" t="s">
        <v>542</v>
      </c>
      <c r="C26" s="704">
        <v>53619535.339999974</v>
      </c>
      <c r="D26" s="705"/>
      <c r="E26" s="624">
        <f>C26-D26</f>
        <v>53619535.339999974</v>
      </c>
    </row>
    <row r="27" spans="1:5" ht="14.4">
      <c r="A27" s="315">
        <v>9.1999999999999993</v>
      </c>
      <c r="B27" s="323" t="s">
        <v>543</v>
      </c>
      <c r="C27" s="705"/>
      <c r="D27" s="705"/>
      <c r="E27" s="625">
        <f>C27-D27</f>
        <v>0</v>
      </c>
    </row>
    <row r="28" spans="1:5" ht="14.4">
      <c r="A28" s="315">
        <v>10</v>
      </c>
      <c r="B28" s="321" t="s">
        <v>544</v>
      </c>
      <c r="C28" s="706">
        <f>SUM(C29:C30)</f>
        <v>33263478.05999998</v>
      </c>
      <c r="D28" s="705">
        <f t="shared" ref="D28" si="8">SUM(D29:D30)</f>
        <v>33263478.05999998</v>
      </c>
      <c r="E28" s="625">
        <f t="shared" ref="E28" si="9">SUM(E29:E30)</f>
        <v>0</v>
      </c>
    </row>
    <row r="29" spans="1:5" ht="14.4">
      <c r="A29" s="315">
        <v>10.1</v>
      </c>
      <c r="B29" s="323" t="s">
        <v>545</v>
      </c>
      <c r="C29" s="705"/>
      <c r="D29" s="705"/>
      <c r="E29" s="625">
        <f>C29-D29</f>
        <v>0</v>
      </c>
    </row>
    <row r="30" spans="1:5" ht="14.4">
      <c r="A30" s="315">
        <v>10.199999999999999</v>
      </c>
      <c r="B30" s="323" t="s">
        <v>546</v>
      </c>
      <c r="C30" s="704">
        <v>33263478.05999998</v>
      </c>
      <c r="D30" s="705">
        <v>33263478.05999998</v>
      </c>
      <c r="E30" s="625">
        <f>C30-D30</f>
        <v>0</v>
      </c>
    </row>
    <row r="31" spans="1:5" ht="14.4">
      <c r="A31" s="315">
        <v>11</v>
      </c>
      <c r="B31" s="321" t="s">
        <v>547</v>
      </c>
      <c r="C31" s="705">
        <f>SUM(C32:C33)</f>
        <v>0</v>
      </c>
      <c r="D31" s="705">
        <f t="shared" ref="D31" si="10">SUM(D32:D33)</f>
        <v>0</v>
      </c>
      <c r="E31" s="625">
        <f t="shared" ref="E31" si="11">SUM(E32:E33)</f>
        <v>0</v>
      </c>
    </row>
    <row r="32" spans="1:5" ht="14.4">
      <c r="A32" s="315">
        <v>11.1</v>
      </c>
      <c r="B32" s="323" t="s">
        <v>548</v>
      </c>
      <c r="C32" s="705"/>
      <c r="D32" s="705"/>
      <c r="E32" s="625">
        <f>C32-D32</f>
        <v>0</v>
      </c>
    </row>
    <row r="33" spans="1:7" ht="14.4">
      <c r="A33" s="315">
        <v>11.2</v>
      </c>
      <c r="B33" s="323" t="s">
        <v>549</v>
      </c>
      <c r="C33" s="705"/>
      <c r="D33" s="705"/>
      <c r="E33" s="625">
        <f>C33-D33</f>
        <v>0</v>
      </c>
    </row>
    <row r="34" spans="1:7" ht="14.4">
      <c r="A34" s="315">
        <v>13</v>
      </c>
      <c r="B34" s="321" t="s">
        <v>550</v>
      </c>
      <c r="C34" s="706">
        <v>59929540.920000009</v>
      </c>
      <c r="D34" s="705"/>
      <c r="E34" s="625">
        <f t="shared" ref="E34:E36" si="12">C34-D34</f>
        <v>59929540.920000009</v>
      </c>
    </row>
    <row r="35" spans="1:7" ht="14.4">
      <c r="A35" s="315">
        <v>13.1</v>
      </c>
      <c r="B35" s="326" t="s">
        <v>551</v>
      </c>
      <c r="C35" s="704">
        <v>26038814.609999999</v>
      </c>
      <c r="D35" s="705"/>
      <c r="E35" s="625">
        <f t="shared" si="12"/>
        <v>26038814.609999999</v>
      </c>
    </row>
    <row r="36" spans="1:7" ht="14.4">
      <c r="A36" s="315">
        <v>13.2</v>
      </c>
      <c r="B36" s="326" t="s">
        <v>552</v>
      </c>
      <c r="C36" s="625"/>
      <c r="D36" s="625"/>
      <c r="E36" s="625">
        <f t="shared" si="12"/>
        <v>0</v>
      </c>
    </row>
    <row r="37" spans="1:7" ht="27" thickBot="1">
      <c r="A37" s="105"/>
      <c r="B37" s="169" t="s">
        <v>222</v>
      </c>
      <c r="C37" s="119">
        <f>SUM(C8,C12,C14,C15,C16,C20,C23,C24,C25,C28,C31,C34)</f>
        <v>3424807207.3031354</v>
      </c>
      <c r="D37" s="119">
        <f>SUM(D8,D12,D14,D15,D16,D20,D23,D24,D25,D28,D31,D34)</f>
        <v>33263478.05999998</v>
      </c>
      <c r="E37" s="119">
        <f>SUM(E8,E12,E14,E15,E16,E20,E23,E24,E25,E28,E31,E34)</f>
        <v>3391543729.2431355</v>
      </c>
    </row>
    <row r="38" spans="1:7">
      <c r="A38" s="5"/>
      <c r="B38" s="5"/>
      <c r="C38" s="5"/>
      <c r="D38" s="5"/>
      <c r="E38" s="5"/>
    </row>
    <row r="39" spans="1:7">
      <c r="A39" s="5"/>
      <c r="B39" s="5"/>
      <c r="C39" s="5"/>
      <c r="D39" s="5"/>
      <c r="E39" s="5"/>
    </row>
    <row r="41" spans="1:7" s="4" customFormat="1">
      <c r="B41" s="41"/>
      <c r="F41" s="5"/>
      <c r="G41" s="5"/>
    </row>
    <row r="42" spans="1:7" s="4" customFormat="1">
      <c r="B42" s="41"/>
      <c r="F42" s="5"/>
      <c r="G42" s="5"/>
    </row>
    <row r="43" spans="1:7" s="4" customFormat="1">
      <c r="B43" s="41"/>
      <c r="F43" s="5"/>
      <c r="G43" s="5"/>
    </row>
    <row r="44" spans="1:7" s="4" customFormat="1">
      <c r="B44" s="41"/>
      <c r="F44" s="5"/>
      <c r="G44" s="5"/>
    </row>
    <row r="45" spans="1:7" s="4" customFormat="1">
      <c r="B45" s="41"/>
      <c r="F45" s="5"/>
      <c r="G45" s="5"/>
    </row>
    <row r="46" spans="1:7" s="4" customFormat="1">
      <c r="B46" s="41"/>
      <c r="F46" s="5"/>
      <c r="G46" s="5"/>
    </row>
    <row r="47" spans="1:7" s="4" customFormat="1">
      <c r="B47" s="41"/>
      <c r="F47" s="5"/>
      <c r="G47" s="5"/>
    </row>
    <row r="48" spans="1:7" s="4" customFormat="1">
      <c r="B48" s="41"/>
      <c r="F48" s="5"/>
      <c r="G48" s="5"/>
    </row>
    <row r="49" spans="2:7" s="4" customFormat="1">
      <c r="B49" s="41"/>
      <c r="F49" s="5"/>
      <c r="G49" s="5"/>
    </row>
    <row r="50" spans="2:7" s="4" customFormat="1">
      <c r="B50" s="41"/>
      <c r="F50" s="5"/>
      <c r="G50" s="5"/>
    </row>
    <row r="51" spans="2:7" s="4" customFormat="1">
      <c r="B51" s="41"/>
      <c r="F51" s="5"/>
      <c r="G51" s="5"/>
    </row>
    <row r="52" spans="2:7" s="4" customFormat="1">
      <c r="B52" s="41"/>
      <c r="F52" s="5"/>
      <c r="G52" s="5"/>
    </row>
    <row r="53" spans="2:7" s="4" customFormat="1">
      <c r="B53" s="41"/>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20" sqref="C20"/>
    </sheetView>
  </sheetViews>
  <sheetFormatPr defaultColWidth="9.21875" defaultRowHeight="13.2" outlineLevelRow="1"/>
  <cols>
    <col min="1" max="1" width="9.5546875" style="4" bestFit="1" customWidth="1"/>
    <col min="2" max="2" width="114.21875" style="4" customWidth="1"/>
    <col min="3" max="3" width="18.77734375" style="4" customWidth="1"/>
    <col min="4" max="4" width="25.44140625" style="4" customWidth="1"/>
    <col min="5" max="5" width="24.21875" style="4" customWidth="1"/>
    <col min="6" max="6" width="24" style="4" customWidth="1"/>
    <col min="7" max="7" width="10" style="4" bestFit="1" customWidth="1"/>
    <col min="8" max="8" width="12" style="4" bestFit="1" customWidth="1"/>
    <col min="9" max="9" width="12.5546875" style="4" bestFit="1" customWidth="1"/>
    <col min="10" max="16384" width="9.21875" style="4"/>
  </cols>
  <sheetData>
    <row r="1" spans="1:6">
      <c r="A1" s="2" t="s">
        <v>31</v>
      </c>
      <c r="B1" s="3" t="str">
        <f>'Info '!C2</f>
        <v>JSC "CREDOBANK"</v>
      </c>
    </row>
    <row r="2" spans="1:6" s="2" customFormat="1" ht="15.75" customHeight="1">
      <c r="A2" s="2" t="s">
        <v>32</v>
      </c>
      <c r="B2" s="265">
        <f>'1. key ratios '!B2</f>
        <v>45838</v>
      </c>
      <c r="C2" s="4"/>
      <c r="D2" s="4"/>
      <c r="E2" s="4"/>
      <c r="F2" s="4"/>
    </row>
    <row r="3" spans="1:6" s="2" customFormat="1" ht="15.75" customHeight="1">
      <c r="C3" s="4"/>
      <c r="D3" s="4"/>
      <c r="E3" s="4"/>
      <c r="F3" s="4"/>
    </row>
    <row r="4" spans="1:6" s="2" customFormat="1" ht="13.8" thickBot="1">
      <c r="A4" s="2" t="s">
        <v>47</v>
      </c>
      <c r="B4" s="170" t="s">
        <v>519</v>
      </c>
      <c r="C4" s="37" t="s">
        <v>36</v>
      </c>
      <c r="D4" s="4"/>
      <c r="E4" s="4"/>
      <c r="F4" s="4"/>
    </row>
    <row r="5" spans="1:6">
      <c r="A5" s="123">
        <v>1</v>
      </c>
      <c r="B5" s="171" t="s">
        <v>521</v>
      </c>
      <c r="C5" s="124">
        <f>'7. LI1 '!E37</f>
        <v>3391543729.2431355</v>
      </c>
    </row>
    <row r="6" spans="1:6">
      <c r="A6" s="42">
        <v>2.1</v>
      </c>
      <c r="B6" s="103" t="s">
        <v>202</v>
      </c>
      <c r="C6" s="94">
        <v>383506255</v>
      </c>
    </row>
    <row r="7" spans="1:6" s="29" customFormat="1" outlineLevel="1">
      <c r="A7" s="23">
        <v>2.2000000000000002</v>
      </c>
      <c r="B7" s="24" t="s">
        <v>203</v>
      </c>
      <c r="C7" s="125">
        <v>398669150</v>
      </c>
    </row>
    <row r="8" spans="1:6" s="29" customFormat="1">
      <c r="A8" s="23">
        <v>3</v>
      </c>
      <c r="B8" s="121" t="s">
        <v>520</v>
      </c>
      <c r="C8" s="126">
        <f>SUM(C5:C7)</f>
        <v>4173719134.2431355</v>
      </c>
    </row>
    <row r="9" spans="1:6">
      <c r="A9" s="42">
        <v>4</v>
      </c>
      <c r="B9" s="43" t="s">
        <v>49</v>
      </c>
      <c r="C9" s="94"/>
    </row>
    <row r="10" spans="1:6" s="29" customFormat="1" outlineLevel="1">
      <c r="A10" s="23">
        <v>5.0999999999999996</v>
      </c>
      <c r="B10" s="24" t="s">
        <v>204</v>
      </c>
      <c r="C10" s="125">
        <v>-283404319</v>
      </c>
    </row>
    <row r="11" spans="1:6" s="29" customFormat="1" outlineLevel="1">
      <c r="A11" s="23">
        <v>5.2</v>
      </c>
      <c r="B11" s="24" t="s">
        <v>205</v>
      </c>
      <c r="C11" s="125">
        <v>-394951148</v>
      </c>
    </row>
    <row r="12" spans="1:6" s="29" customFormat="1">
      <c r="A12" s="23">
        <v>6</v>
      </c>
      <c r="B12" s="120" t="s">
        <v>746</v>
      </c>
      <c r="C12" s="125"/>
    </row>
    <row r="13" spans="1:6" s="29" customFormat="1" ht="13.8" thickBot="1">
      <c r="A13" s="25">
        <v>7</v>
      </c>
      <c r="B13" s="122" t="s">
        <v>165</v>
      </c>
      <c r="C13" s="127">
        <f>SUM(C8:C12)</f>
        <v>3495363667.2431355</v>
      </c>
    </row>
    <row r="15" spans="1:6">
      <c r="B15" s="29"/>
    </row>
    <row r="17" spans="1:2" ht="13.8">
      <c r="A17" s="132"/>
      <c r="B17" s="133"/>
    </row>
    <row r="18" spans="1:2" ht="14.4">
      <c r="A18" s="137"/>
      <c r="B18" s="138"/>
    </row>
    <row r="19" spans="1:2" ht="13.8">
      <c r="A19" s="139"/>
      <c r="B19" s="134"/>
    </row>
    <row r="20" spans="1:2" ht="13.8">
      <c r="A20" s="140"/>
      <c r="B20" s="135"/>
    </row>
    <row r="21" spans="1:2" ht="13.8">
      <c r="A21" s="140"/>
      <c r="B21" s="138"/>
    </row>
    <row r="22" spans="1:2" ht="13.8">
      <c r="A22" s="139"/>
      <c r="B22" s="136"/>
    </row>
    <row r="23" spans="1:2" ht="13.8">
      <c r="A23" s="140"/>
      <c r="B23" s="135"/>
    </row>
    <row r="24" spans="1:2" ht="13.8">
      <c r="A24" s="140"/>
      <c r="B24" s="135"/>
    </row>
    <row r="25" spans="1:2" ht="13.8">
      <c r="A25" s="140"/>
      <c r="B25" s="141"/>
    </row>
    <row r="26" spans="1:2" ht="13.8">
      <c r="A26" s="140"/>
      <c r="B26" s="138"/>
    </row>
    <row r="27" spans="1:2">
      <c r="B27" s="41"/>
    </row>
    <row r="28" spans="1:2">
      <c r="B28" s="41"/>
    </row>
    <row r="29" spans="1:2">
      <c r="B29" s="41"/>
    </row>
    <row r="30" spans="1:2">
      <c r="B30" s="41"/>
    </row>
    <row r="31" spans="1:2">
      <c r="B31" s="41"/>
    </row>
    <row r="32" spans="1:2">
      <c r="B32" s="41"/>
    </row>
    <row r="33" spans="2:2">
      <c r="B33" s="41"/>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waoqMhva4W3YyAoHyTUv3zTY1IJezW7F8irzPdbGJGU=</DigestValue>
    </Reference>
    <Reference Type="http://www.w3.org/2000/09/xmldsig#Object" URI="#idOfficeObject">
      <DigestMethod Algorithm="http://www.w3.org/2001/04/xmlenc#sha256"/>
      <DigestValue>0qXf5B5Cuh5HWVCwVNtkHca1KHlTGUpaJ0hPb3Nuw6g=</DigestValue>
    </Reference>
    <Reference Type="http://uri.etsi.org/01903#SignedProperties" URI="#idSignedProperties">
      <Transforms>
        <Transform Algorithm="http://www.w3.org/TR/2001/REC-xml-c14n-20010315"/>
      </Transforms>
      <DigestMethod Algorithm="http://www.w3.org/2001/04/xmlenc#sha256"/>
      <DigestValue>aYDfeRG97D4h2GqiF5yrnblieY9CiJWwyuT5Pdn5EyM=</DigestValue>
    </Reference>
  </SignedInfo>
  <SignatureValue>D5eZ9ROM7rkeTNiDpHOP63Y3xhNgIjglz2qGnJiCnNT09nw1kuju5rJcF6op3/tekuzkQpQYataY
xnnPClJZvJUYqSbi+KIE9PO1zoJ586k1jS5iipYdybcN2Wrwi4BW5rKlWFviAiEp86+kOw5yXKJE
ptNYFHudwNKE3erpvHjInJkucjmlosaKvk7SVtcpjJ5PwBv1C/QUczjk3fnM9hXP+CfywM04hnHt
JbqRLVkaXOnwCLYnAMaGWlbXKgLQkUhBMQb3VQSvhhzYnp5Lnzhza9qQL+bsv78FJBKcb9L4og2V
Y5HsXXIR1aljmEbT6Cr09xKJUlU/iCZJNFEf2Q==</SignatureValue>
  <KeyInfo>
    <X509Data>
      <X509Certificate>MIIGKzCCBROgAwIBAgIKJ40y3AAEAAKI8TANBgkqhkiG9w0BAQsFADBKMRIwEAYKCZImiZPyLGQBGRYCZ2UxEzARBgoJkiaJk/IsZAEZFgNuYmcxHzAdBgNVBAMTFk5CRyBDbGFzcyAyIElOVCBTdWIgQ0EwHhcNMjUwNjMwMDczNDQ4WhcNMjcwNjMwMDczNDQ4WjApMScwJQYDVQQDEx5CQ0QgLSBLb25zdGFudGluZSBHaGFtYmFzaGlkemUwggEiMA0GCSqGSIb3DQEBAQUAA4IBDwAwggEKAoIBAQDp+8svDO5/CWsNWcoY4JcK1WBL+1emG9Kjybiy/UFmdLQlZjNEIXZQuPQDB3l8lGifPu2MKhEVn4pSWM96ENL/s3ow4Kn0EcUaZg/Wib3Vv3Zrqsvqnc9sORLf6wAwjrJq6WdMsP73+KUQPB8dFoDzAzKTuxIjHd4wk/ehOqjmuDXkeZUWUO0SoOSSf+9zaiIKJfHk78fTo2PLVILR8LBcREHKMOkqfEvI2ZAzyU8ZbTfQCUuPuA+tP9Rg8qwbyHs3oB9PMOFyV6rcA+K3O73hOwig2phvHz5FsOBK8Um8U8pnj7FwdNVykTG9IuJ4k0abryk4O0DfiJKBwIgjVQMRAgMBAAGjggMyMIIDLjA8BgkrBgEEAYI3FQcELzAtBiUrBgEEAYI3FQjmsmCDjfVEhoGZCYO4oUqDvoRxBIPEkTOEg4hdAgFkAgEjMB0GA1UdJQQWMBQGCCsGAQUFBwMCBggrBgEFBQcDBDALBgNVHQ8EBAMCB4AwJwYJKwYBBAGCNxUKBBowGDAKBggrBgEFBQcDAjAKBggrBgEFBQcDBDAdBgNVHQ4EFgQUMdNFy5GzIzAwJEakNbOCs8N27Hs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0KS5jcnQwDQYJKoZIhvcNAQELBQADggEBAJ3ihD8LaacrVnsHjHrRYobo+5IAtEEzQzFEVXymIXShx9rOvpyiubjqjWnNFH8PRthCx4f7ygT9RAkjY5o3nLnjZVsapunkubFkpqGnrXzqwqroDAC7r90eMNsyZZbpWwUAFD5Y6e9Sx/++lfOp6FkHoX2cwS+fXDYT9ZOuFZc5eCAG18vr3mrn64cUob3He7gjGkGnx1vkjtzp+0V213dqtFVjGxQjZQz7Add8GCNFg3KnFW91Ihrd2rI4w32xavXu5cZU+FimHpvnBUBqDYy/vN/jn7BAu2CRdrjwCDvgun6l1dr89IojTity3ldh8BPlzQhjBCLULzK/lgMkif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yK/vZwZFBrQMJnzHjAbcovwp9YcqBK0k81pMeIRgGTc=</DigestValue>
      </Reference>
      <Reference URI="/xl/comments1.xml?ContentType=application/vnd.openxmlformats-officedocument.spreadsheetml.comments+xml">
        <DigestMethod Algorithm="http://www.w3.org/2001/04/xmlenc#sha256"/>
        <DigestValue>D1ZJOUA+rSHcom9m3ySIHuX7CboEvAibeubIv/6JwCs=</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jlEUS2btzyTAL/oCnkH6Y6f7qCbLLaJldUqJtQBj4hc=</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r5VMIs6AO4HL4uOLt5pJnqhP0sO7uDpzidH6gzgejBs=</DigestValue>
      </Reference>
      <Reference URI="/xl/externalLinks/externalLink2.xml?ContentType=application/vnd.openxmlformats-officedocument.spreadsheetml.externalLink+xml">
        <DigestMethod Algorithm="http://www.w3.org/2001/04/xmlenc#sha256"/>
        <DigestValue>MJIRMH6v0QbwIZ2crvLbVFsWHVPKbvRmYE6dtOyV+00=</DigestValue>
      </Reference>
      <Reference URI="/xl/externalLinks/externalLink3.xml?ContentType=application/vnd.openxmlformats-officedocument.spreadsheetml.externalLink+xml">
        <DigestMethod Algorithm="http://www.w3.org/2001/04/xmlenc#sha256"/>
        <DigestValue>Pm9glGcq5uLC+iQO5PWPO1RxTb84Y5fwanBcRLRtMC4=</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eeQiq4ZhAOG1ce4fAKC5g1OZbpWyr+ajq/uwOFofBrM=</DigestValue>
      </Reference>
      <Reference URI="/xl/styles.xml?ContentType=application/vnd.openxmlformats-officedocument.spreadsheetml.styles+xml">
        <DigestMethod Algorithm="http://www.w3.org/2001/04/xmlenc#sha256"/>
        <DigestValue>fK6Ln21d3QXk9qEXWg+o6q1POAvyNbhJRmWnf3PSs4k=</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YvYfpZuvJEMk8Zgc8BEoXL7HUl3doq0R/e89lRyeiP0=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uBCsLoCeDaoZuHLizZacnRXpOOOOxk0iSLefQ5jFwpo=</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dIgG4qnR9ZxFV2XPtCyMoEmaueBhRLLet4mvOnFQCdY=</DigestValue>
      </Reference>
      <Reference URI="/xl/worksheets/sheet10.xml?ContentType=application/vnd.openxmlformats-officedocument.spreadsheetml.worksheet+xml">
        <DigestMethod Algorithm="http://www.w3.org/2001/04/xmlenc#sha256"/>
        <DigestValue>IPrWVNQ+pXAVrrDk6Y7NSejvgpesRwcmOIZT9vxTjNo=</DigestValue>
      </Reference>
      <Reference URI="/xl/worksheets/sheet11.xml?ContentType=application/vnd.openxmlformats-officedocument.spreadsheetml.worksheet+xml">
        <DigestMethod Algorithm="http://www.w3.org/2001/04/xmlenc#sha256"/>
        <DigestValue>WH8Obuzp5xcP9OijUJgV1RTS/GvkASmhPlKdSkK/pdg=</DigestValue>
      </Reference>
      <Reference URI="/xl/worksheets/sheet12.xml?ContentType=application/vnd.openxmlformats-officedocument.spreadsheetml.worksheet+xml">
        <DigestMethod Algorithm="http://www.w3.org/2001/04/xmlenc#sha256"/>
        <DigestValue>XoEQpFDhS1gHxB3Bw+MpZQZZ6BRS86skDsh2MMnpq2g=</DigestValue>
      </Reference>
      <Reference URI="/xl/worksheets/sheet13.xml?ContentType=application/vnd.openxmlformats-officedocument.spreadsheetml.worksheet+xml">
        <DigestMethod Algorithm="http://www.w3.org/2001/04/xmlenc#sha256"/>
        <DigestValue>rCY2f+nsdUJ14/ukGW8ONfHDIJTICYM+5ueGSZDq56Q=</DigestValue>
      </Reference>
      <Reference URI="/xl/worksheets/sheet14.xml?ContentType=application/vnd.openxmlformats-officedocument.spreadsheetml.worksheet+xml">
        <DigestMethod Algorithm="http://www.w3.org/2001/04/xmlenc#sha256"/>
        <DigestValue>zO8iDVeJ832kkB8ekHfGgQDv6pjXYRF/xlibs1bKKFY=</DigestValue>
      </Reference>
      <Reference URI="/xl/worksheets/sheet15.xml?ContentType=application/vnd.openxmlformats-officedocument.spreadsheetml.worksheet+xml">
        <DigestMethod Algorithm="http://www.w3.org/2001/04/xmlenc#sha256"/>
        <DigestValue>wlnNmKOUAae2Tit5wmmx7jVypCzBdUouRH9TwXNp/W8=</DigestValue>
      </Reference>
      <Reference URI="/xl/worksheets/sheet16.xml?ContentType=application/vnd.openxmlformats-officedocument.spreadsheetml.worksheet+xml">
        <DigestMethod Algorithm="http://www.w3.org/2001/04/xmlenc#sha256"/>
        <DigestValue>JMk6Qw+mwAf7lou08mOmcCIk+n5og9XPaB4j8ouDWGo=</DigestValue>
      </Reference>
      <Reference URI="/xl/worksheets/sheet17.xml?ContentType=application/vnd.openxmlformats-officedocument.spreadsheetml.worksheet+xml">
        <DigestMethod Algorithm="http://www.w3.org/2001/04/xmlenc#sha256"/>
        <DigestValue>ldza1m6Ovy7uJjRgsAuei9iiiNH7RKNgDgVjyJRCF40=</DigestValue>
      </Reference>
      <Reference URI="/xl/worksheets/sheet18.xml?ContentType=application/vnd.openxmlformats-officedocument.spreadsheetml.worksheet+xml">
        <DigestMethod Algorithm="http://www.w3.org/2001/04/xmlenc#sha256"/>
        <DigestValue>pbgboLuqg6df11ZQjIwX/V07/w7CPMpGWk64COvIKms=</DigestValue>
      </Reference>
      <Reference URI="/xl/worksheets/sheet19.xml?ContentType=application/vnd.openxmlformats-officedocument.spreadsheetml.worksheet+xml">
        <DigestMethod Algorithm="http://www.w3.org/2001/04/xmlenc#sha256"/>
        <DigestValue>Q82EcLkqzLJxQkjePgbs8MFJPm5N+hJfq0yGdMrFzT0=</DigestValue>
      </Reference>
      <Reference URI="/xl/worksheets/sheet2.xml?ContentType=application/vnd.openxmlformats-officedocument.spreadsheetml.worksheet+xml">
        <DigestMethod Algorithm="http://www.w3.org/2001/04/xmlenc#sha256"/>
        <DigestValue>LvT50gssAkiJt1fSO9w6OI7Her7ZACrVFMYGxZYY/PA=</DigestValue>
      </Reference>
      <Reference URI="/xl/worksheets/sheet20.xml?ContentType=application/vnd.openxmlformats-officedocument.spreadsheetml.worksheet+xml">
        <DigestMethod Algorithm="http://www.w3.org/2001/04/xmlenc#sha256"/>
        <DigestValue>zwyXABencnQI9Ju4Qbdd16/THtnlebqD/9N4vz82fDo=</DigestValue>
      </Reference>
      <Reference URI="/xl/worksheets/sheet21.xml?ContentType=application/vnd.openxmlformats-officedocument.spreadsheetml.worksheet+xml">
        <DigestMethod Algorithm="http://www.w3.org/2001/04/xmlenc#sha256"/>
        <DigestValue>dAU1jibutsSBkspNsM09pTi5fIde0JaRmjaSNfKTGd4=</DigestValue>
      </Reference>
      <Reference URI="/xl/worksheets/sheet22.xml?ContentType=application/vnd.openxmlformats-officedocument.spreadsheetml.worksheet+xml">
        <DigestMethod Algorithm="http://www.w3.org/2001/04/xmlenc#sha256"/>
        <DigestValue>gcOC4qFyukrhQEmB3H/PZfabNeZCENmbDPEiFsy5Fho=</DigestValue>
      </Reference>
      <Reference URI="/xl/worksheets/sheet23.xml?ContentType=application/vnd.openxmlformats-officedocument.spreadsheetml.worksheet+xml">
        <DigestMethod Algorithm="http://www.w3.org/2001/04/xmlenc#sha256"/>
        <DigestValue>P/J43+IlkvgH5jH7eNjQ9RssNsTPXZcp3RxQFIWySd4=</DigestValue>
      </Reference>
      <Reference URI="/xl/worksheets/sheet24.xml?ContentType=application/vnd.openxmlformats-officedocument.spreadsheetml.worksheet+xml">
        <DigestMethod Algorithm="http://www.w3.org/2001/04/xmlenc#sha256"/>
        <DigestValue>cfpfqHjAwGb3eYieDW0j5QCA0mEVRCkRgwaEkZtm+ig=</DigestValue>
      </Reference>
      <Reference URI="/xl/worksheets/sheet25.xml?ContentType=application/vnd.openxmlformats-officedocument.spreadsheetml.worksheet+xml">
        <DigestMethod Algorithm="http://www.w3.org/2001/04/xmlenc#sha256"/>
        <DigestValue>V1xsfE2587BsgqYHfAL7zqPo+us+FlEIfKzoXi7unRM=</DigestValue>
      </Reference>
      <Reference URI="/xl/worksheets/sheet26.xml?ContentType=application/vnd.openxmlformats-officedocument.spreadsheetml.worksheet+xml">
        <DigestMethod Algorithm="http://www.w3.org/2001/04/xmlenc#sha256"/>
        <DigestValue>a1bTvz08pvclZ4P97Q6DzafYZOp7QeQGdwPLBEbv7uY=</DigestValue>
      </Reference>
      <Reference URI="/xl/worksheets/sheet27.xml?ContentType=application/vnd.openxmlformats-officedocument.spreadsheetml.worksheet+xml">
        <DigestMethod Algorithm="http://www.w3.org/2001/04/xmlenc#sha256"/>
        <DigestValue>bY35v43OMTrlFyliwrspg0hdfv9wJcqnMbGgkgsITYk=</DigestValue>
      </Reference>
      <Reference URI="/xl/worksheets/sheet28.xml?ContentType=application/vnd.openxmlformats-officedocument.spreadsheetml.worksheet+xml">
        <DigestMethod Algorithm="http://www.w3.org/2001/04/xmlenc#sha256"/>
        <DigestValue>5Tcp7dpu+Dg5b9moAGAU6Mm4XXqQT7kDP7qwOdciQ+4=</DigestValue>
      </Reference>
      <Reference URI="/xl/worksheets/sheet29.xml?ContentType=application/vnd.openxmlformats-officedocument.spreadsheetml.worksheet+xml">
        <DigestMethod Algorithm="http://www.w3.org/2001/04/xmlenc#sha256"/>
        <DigestValue>3994PQn0JTdsQrC75UU1hcXT2qqF7sn2qZio6HQuDL8=</DigestValue>
      </Reference>
      <Reference URI="/xl/worksheets/sheet3.xml?ContentType=application/vnd.openxmlformats-officedocument.spreadsheetml.worksheet+xml">
        <DigestMethod Algorithm="http://www.w3.org/2001/04/xmlenc#sha256"/>
        <DigestValue>xSZRhBzs8kLgJ16DEGBOSyLsCKGCUdrl/SE0aiBMA6M=</DigestValue>
      </Reference>
      <Reference URI="/xl/worksheets/sheet30.xml?ContentType=application/vnd.openxmlformats-officedocument.spreadsheetml.worksheet+xml">
        <DigestMethod Algorithm="http://www.w3.org/2001/04/xmlenc#sha256"/>
        <DigestValue>A/nPlp+RuhnhqwjjZu0GOKiiJnAM+PufoadrAfohydA=</DigestValue>
      </Reference>
      <Reference URI="/xl/worksheets/sheet31.xml?ContentType=application/vnd.openxmlformats-officedocument.spreadsheetml.worksheet+xml">
        <DigestMethod Algorithm="http://www.w3.org/2001/04/xmlenc#sha256"/>
        <DigestValue>kWLxOesCoILUePkvptylVClrY6dZ9Y2Rlc/xK6GsTu0=</DigestValue>
      </Reference>
      <Reference URI="/xl/worksheets/sheet32.xml?ContentType=application/vnd.openxmlformats-officedocument.spreadsheetml.worksheet+xml">
        <DigestMethod Algorithm="http://www.w3.org/2001/04/xmlenc#sha256"/>
        <DigestValue>lueSR//04xFG1L+AV4aAqWvetrXR6OwmlFBJsviIaTQ=</DigestValue>
      </Reference>
      <Reference URI="/xl/worksheets/sheet4.xml?ContentType=application/vnd.openxmlformats-officedocument.spreadsheetml.worksheet+xml">
        <DigestMethod Algorithm="http://www.w3.org/2001/04/xmlenc#sha256"/>
        <DigestValue>4roJxeel64LHE89SDv7RHRjD2no3vHIzfUgInTHZfC8=</DigestValue>
      </Reference>
      <Reference URI="/xl/worksheets/sheet5.xml?ContentType=application/vnd.openxmlformats-officedocument.spreadsheetml.worksheet+xml">
        <DigestMethod Algorithm="http://www.w3.org/2001/04/xmlenc#sha256"/>
        <DigestValue>XlfqBbH0pVGy1mhlWKA6WFAxiuEJP6f5aXHTgpRbaBc=</DigestValue>
      </Reference>
      <Reference URI="/xl/worksheets/sheet6.xml?ContentType=application/vnd.openxmlformats-officedocument.spreadsheetml.worksheet+xml">
        <DigestMethod Algorithm="http://www.w3.org/2001/04/xmlenc#sha256"/>
        <DigestValue>WP7Yn9B7tlVfDPxxZp7ltWIX2wh5BBes77KZpSuhExQ=</DigestValue>
      </Reference>
      <Reference URI="/xl/worksheets/sheet7.xml?ContentType=application/vnd.openxmlformats-officedocument.spreadsheetml.worksheet+xml">
        <DigestMethod Algorithm="http://www.w3.org/2001/04/xmlenc#sha256"/>
        <DigestValue>ggeEw/GkFv7hP66n7ZQ3yGDDSkTOZ5DH0WAFx+b0crA=</DigestValue>
      </Reference>
      <Reference URI="/xl/worksheets/sheet8.xml?ContentType=application/vnd.openxmlformats-officedocument.spreadsheetml.worksheet+xml">
        <DigestMethod Algorithm="http://www.w3.org/2001/04/xmlenc#sha256"/>
        <DigestValue>kpAuT8xq8AeQoL+fK9k/05VyNtpblCnr7B5JQTpOco4=</DigestValue>
      </Reference>
      <Reference URI="/xl/worksheets/sheet9.xml?ContentType=application/vnd.openxmlformats-officedocument.spreadsheetml.worksheet+xml">
        <DigestMethod Algorithm="http://www.w3.org/2001/04/xmlenc#sha256"/>
        <DigestValue>8iPpvFK41VNKrcUuiqoB/+X6vF0kaanmAtqYQx1MMuE=</DigestValue>
      </Reference>
    </Manifest>
    <SignatureProperties>
      <SignatureProperty Id="idSignatureTime" Target="#idPackageSignature">
        <mdssi:SignatureTime xmlns:mdssi="http://schemas.openxmlformats.org/package/2006/digital-signature">
          <mdssi:Format>YYYY-MM-DDThh:mm:ssTZD</mdssi:Format>
          <mdssi:Value>2025-07-22T10:55:08Z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aaaa</SignatureComments>
          <WindowsVersion>10.0</WindowsVersion>
          <OfficeVersion>16.0.18925/26</OfficeVersion>
          <ApplicationVersion>16.0.18925</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2025-07-22T10:55:08Z</xd:SigningTime>
          <xd:SigningCertificate>
            <xd:Cert>
              <xd:CertDigest>
                <DigestMethod Algorithm="http://www.w3.org/2001/04/xmlenc#sha256"/>
                <DigestValue>bU55H9dcBqi3ttBbYMli7D2XBNW2C5FpDZHhp0iA0fQ=</DigestValue>
              </xd:CertDigest>
              <xd:IssuerSerial>
                <X509IssuerName>CN=NBG Class 2 INT Sub CA, DC=nbg, DC=ge</X509IssuerName>
                <X509SerialNumber>186776948550523162888433</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Created and approved this document</xd:Description>
            </xd:CommitmentTypeId>
            <xd:AllSignedDataObjects/>
            <xd:CommitmentTypeQualifiers>
              <xd:CommitmentTypeQualifier>aaaa</xd:CommitmentTypeQualifier>
            </xd:CommitmentTypeQualifiers>
          </xd:CommitmentTypeIndication>
        </xd:SignedDataObject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qZ797ea+jlZe78fMy/5LDwC4YSmrtaNL1sb9BzHJoj0=</DigestValue>
    </Reference>
    <Reference Type="http://www.w3.org/2000/09/xmldsig#Object" URI="#idOfficeObject">
      <DigestMethod Algorithm="http://www.w3.org/2001/04/xmlenc#sha256"/>
      <DigestValue>aJy/6h+/8T/4v2vSISf/ro263EQhVTj1ePIcIN0DBpU=</DigestValue>
    </Reference>
    <Reference Type="http://uri.etsi.org/01903#SignedProperties" URI="#idSignedProperties">
      <Transforms>
        <Transform Algorithm="http://www.w3.org/TR/2001/REC-xml-c14n-20010315"/>
      </Transforms>
      <DigestMethod Algorithm="http://www.w3.org/2001/04/xmlenc#sha256"/>
      <DigestValue>yTyFN4ReuSQT3uOIe5BCxgzsNg3T+s/eB6vQU2SETNo=</DigestValue>
    </Reference>
  </SignedInfo>
  <SignatureValue>qye6gupalpqQQJ29w8imabpwtXiEHHdPRw7cBhYSl3zNpOZLS9VkeY9XYw717PS5BiGMDanM0M1t
DcKUi2IWrQRUJLinrAOUlLFUOhREKl4KX4EGqLjJk53a0U2SXQSjcAEPq8/WRi+5YhA7o97TnKY/
kQzhAIFIUNwYEg/baiLFyXPnxRpm3XQAo0sc5Qa0GqPMJHh1Hvfwax9w8WB+nyUpDTkUL4ja74yy
NIyhq0lFHHIrETfYwZG/H6yCOffaNkWP95Ko/wnrJvwP7BW8g3+uKGpC3UlkYTwmm09fRwCicbch
bqBkxfeHHcTbSaJOQ65KRxmIO99aAGUTlVrAHQ==</SignatureValue>
  <KeyInfo>
    <X509Data>
      <X509Certificate>MIIGPjCCBSagAwIBAgIKJ3JJaAAEAAKI8DANBgkqhkiG9w0BAQsFADBKMRIwEAYKCZImiZPyLGQBGRYCZ2UxEzARBgoJkiaJk/IsZAEZFgNuYmcxHzAdBgNVBAMTFk5CRyBDbGFzcyAyIElOVCBTdWIgQ0EwHhcNMjUwNjMwMDcwNTI0WhcNMjcwNjMwMDcwNTI0WjA8MRcwFQYDVQQKEw5KU0MgQ3JlZG8gQmFuazEhMB8GA1UEAxMYQkNEIC0gRXJla2xlIFphdGlhc2h2aWxpMIIBIjANBgkqhkiG9w0BAQEFAAOCAQ8AMIIBCgKCAQEA45GSJSX5XVSnf7fyLnbR9YHGUbwE3pC0CZ1t6xWXnVPHQxewtNSfXrj/GpL6eGyUOsZvc651RVi8p0i6blXuPvbI2qHF7n/jRhoZizXHrd8tzM/oaXIkgIVzFiRL3zyXihQi0VSOrz82mef0bV9jzTJdnKItiLcob8S+qZ2xIgBLDSf1ojGhz7SeB1xxEePOS561Go6s+ahrJwP9uw/s0jUQM7WxMtQN5wKJjiBYUhmM2kEiXYHVtekvAfBsAnJpcyABc/kg/4xgIpln5BbaNNb2u8sAxNtCqXX/9U6nMCqwedqD4gXd8/eyHPne9qQq0d9FmrNNnEaG+e0b51X0RwIDAQABo4IDMjCCAy4wPAYJKwYBBAGCNxUHBC8wLQYlKwYBBAGCNxUI5rJgg431RIaBmQmDuKFKg76EcQSDxJEzhIOIXQIBZAIBIzAdBgNVHSUEFjAUBggrBgEFBQcDAgYIKwYBBQUHAwQwCwYDVR0PBAQDAgeAMCcGCSsGAQQBgjcVCgQaMBgwCgYIKwYBBQUHAwIwCgYIKwYBBQUHAwQwHQYDVR0OBBYEFJNIFQVzutRSv2LCzcizQy9x8tzk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NCkuY3J0MA0GCSqGSIb3DQEBCwUAA4IBAQCDupBcsiReXJd6sxEhqCzqGB9pdjIsuuZYLLLseiVD0r1bfMg8g5c/EHMMP0ejeQi2MKQGPq0zG/1qDYNxJu1t/d6ALuqLW0CHiX58/jpTiX+Op6nIPI56b8va3wceRTcfOlVnbhz85UL31//oH2V+LKgGKMcIE/NVepgtQsz2plyGmtTzAtirmVmbYBk1ulUBW0xwugNPDu5vHCeLSEteN4eAcbKEU35Zjtdo4LImxka7r3K1xKGrmWnJw85V73WMRlatIekR+B9j0ZrUks50k785oza/1YE3s12bVdTCvimr3u5gFZ4pYAk9PVvxRVxz6CQLbbhDtOfKm6PYJ0cB</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yK/vZwZFBrQMJnzHjAbcovwp9YcqBK0k81pMeIRgGTc=</DigestValue>
      </Reference>
      <Reference URI="/xl/comments1.xml?ContentType=application/vnd.openxmlformats-officedocument.spreadsheetml.comments+xml">
        <DigestMethod Algorithm="http://www.w3.org/2001/04/xmlenc#sha256"/>
        <DigestValue>D1ZJOUA+rSHcom9m3ySIHuX7CboEvAibeubIv/6JwCs=</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jlEUS2btzyTAL/oCnkH6Y6f7qCbLLaJldUqJtQBj4hc=</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r5VMIs6AO4HL4uOLt5pJnqhP0sO7uDpzidH6gzgejBs=</DigestValue>
      </Reference>
      <Reference URI="/xl/externalLinks/externalLink2.xml?ContentType=application/vnd.openxmlformats-officedocument.spreadsheetml.externalLink+xml">
        <DigestMethod Algorithm="http://www.w3.org/2001/04/xmlenc#sha256"/>
        <DigestValue>MJIRMH6v0QbwIZ2crvLbVFsWHVPKbvRmYE6dtOyV+00=</DigestValue>
      </Reference>
      <Reference URI="/xl/externalLinks/externalLink3.xml?ContentType=application/vnd.openxmlformats-officedocument.spreadsheetml.externalLink+xml">
        <DigestMethod Algorithm="http://www.w3.org/2001/04/xmlenc#sha256"/>
        <DigestValue>Pm9glGcq5uLC+iQO5PWPO1RxTb84Y5fwanBcRLRtMC4=</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eeQiq4ZhAOG1ce4fAKC5g1OZbpWyr+ajq/uwOFofBrM=</DigestValue>
      </Reference>
      <Reference URI="/xl/styles.xml?ContentType=application/vnd.openxmlformats-officedocument.spreadsheetml.styles+xml">
        <DigestMethod Algorithm="http://www.w3.org/2001/04/xmlenc#sha256"/>
        <DigestValue>fK6Ln21d3QXk9qEXWg+o6q1POAvyNbhJRmWnf3PSs4k=</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YvYfpZuvJEMk8Zgc8BEoXL7HUl3doq0R/e89lRyeiP0=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uBCsLoCeDaoZuHLizZacnRXpOOOOxk0iSLefQ5jFwpo=</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dIgG4qnR9ZxFV2XPtCyMoEmaueBhRLLet4mvOnFQCdY=</DigestValue>
      </Reference>
      <Reference URI="/xl/worksheets/sheet10.xml?ContentType=application/vnd.openxmlformats-officedocument.spreadsheetml.worksheet+xml">
        <DigestMethod Algorithm="http://www.w3.org/2001/04/xmlenc#sha256"/>
        <DigestValue>IPrWVNQ+pXAVrrDk6Y7NSejvgpesRwcmOIZT9vxTjNo=</DigestValue>
      </Reference>
      <Reference URI="/xl/worksheets/sheet11.xml?ContentType=application/vnd.openxmlformats-officedocument.spreadsheetml.worksheet+xml">
        <DigestMethod Algorithm="http://www.w3.org/2001/04/xmlenc#sha256"/>
        <DigestValue>WH8Obuzp5xcP9OijUJgV1RTS/GvkASmhPlKdSkK/pdg=</DigestValue>
      </Reference>
      <Reference URI="/xl/worksheets/sheet12.xml?ContentType=application/vnd.openxmlformats-officedocument.spreadsheetml.worksheet+xml">
        <DigestMethod Algorithm="http://www.w3.org/2001/04/xmlenc#sha256"/>
        <DigestValue>XoEQpFDhS1gHxB3Bw+MpZQZZ6BRS86skDsh2MMnpq2g=</DigestValue>
      </Reference>
      <Reference URI="/xl/worksheets/sheet13.xml?ContentType=application/vnd.openxmlformats-officedocument.spreadsheetml.worksheet+xml">
        <DigestMethod Algorithm="http://www.w3.org/2001/04/xmlenc#sha256"/>
        <DigestValue>rCY2f+nsdUJ14/ukGW8ONfHDIJTICYM+5ueGSZDq56Q=</DigestValue>
      </Reference>
      <Reference URI="/xl/worksheets/sheet14.xml?ContentType=application/vnd.openxmlformats-officedocument.spreadsheetml.worksheet+xml">
        <DigestMethod Algorithm="http://www.w3.org/2001/04/xmlenc#sha256"/>
        <DigestValue>zO8iDVeJ832kkB8ekHfGgQDv6pjXYRF/xlibs1bKKFY=</DigestValue>
      </Reference>
      <Reference URI="/xl/worksheets/sheet15.xml?ContentType=application/vnd.openxmlformats-officedocument.spreadsheetml.worksheet+xml">
        <DigestMethod Algorithm="http://www.w3.org/2001/04/xmlenc#sha256"/>
        <DigestValue>wlnNmKOUAae2Tit5wmmx7jVypCzBdUouRH9TwXNp/W8=</DigestValue>
      </Reference>
      <Reference URI="/xl/worksheets/sheet16.xml?ContentType=application/vnd.openxmlformats-officedocument.spreadsheetml.worksheet+xml">
        <DigestMethod Algorithm="http://www.w3.org/2001/04/xmlenc#sha256"/>
        <DigestValue>JMk6Qw+mwAf7lou08mOmcCIk+n5og9XPaB4j8ouDWGo=</DigestValue>
      </Reference>
      <Reference URI="/xl/worksheets/sheet17.xml?ContentType=application/vnd.openxmlformats-officedocument.spreadsheetml.worksheet+xml">
        <DigestMethod Algorithm="http://www.w3.org/2001/04/xmlenc#sha256"/>
        <DigestValue>ldza1m6Ovy7uJjRgsAuei9iiiNH7RKNgDgVjyJRCF40=</DigestValue>
      </Reference>
      <Reference URI="/xl/worksheets/sheet18.xml?ContentType=application/vnd.openxmlformats-officedocument.spreadsheetml.worksheet+xml">
        <DigestMethod Algorithm="http://www.w3.org/2001/04/xmlenc#sha256"/>
        <DigestValue>pbgboLuqg6df11ZQjIwX/V07/w7CPMpGWk64COvIKms=</DigestValue>
      </Reference>
      <Reference URI="/xl/worksheets/sheet19.xml?ContentType=application/vnd.openxmlformats-officedocument.spreadsheetml.worksheet+xml">
        <DigestMethod Algorithm="http://www.w3.org/2001/04/xmlenc#sha256"/>
        <DigestValue>Q82EcLkqzLJxQkjePgbs8MFJPm5N+hJfq0yGdMrFzT0=</DigestValue>
      </Reference>
      <Reference URI="/xl/worksheets/sheet2.xml?ContentType=application/vnd.openxmlformats-officedocument.spreadsheetml.worksheet+xml">
        <DigestMethod Algorithm="http://www.w3.org/2001/04/xmlenc#sha256"/>
        <DigestValue>LvT50gssAkiJt1fSO9w6OI7Her7ZACrVFMYGxZYY/PA=</DigestValue>
      </Reference>
      <Reference URI="/xl/worksheets/sheet20.xml?ContentType=application/vnd.openxmlformats-officedocument.spreadsheetml.worksheet+xml">
        <DigestMethod Algorithm="http://www.w3.org/2001/04/xmlenc#sha256"/>
        <DigestValue>zwyXABencnQI9Ju4Qbdd16/THtnlebqD/9N4vz82fDo=</DigestValue>
      </Reference>
      <Reference URI="/xl/worksheets/sheet21.xml?ContentType=application/vnd.openxmlformats-officedocument.spreadsheetml.worksheet+xml">
        <DigestMethod Algorithm="http://www.w3.org/2001/04/xmlenc#sha256"/>
        <DigestValue>dAU1jibutsSBkspNsM09pTi5fIde0JaRmjaSNfKTGd4=</DigestValue>
      </Reference>
      <Reference URI="/xl/worksheets/sheet22.xml?ContentType=application/vnd.openxmlformats-officedocument.spreadsheetml.worksheet+xml">
        <DigestMethod Algorithm="http://www.w3.org/2001/04/xmlenc#sha256"/>
        <DigestValue>gcOC4qFyukrhQEmB3H/PZfabNeZCENmbDPEiFsy5Fho=</DigestValue>
      </Reference>
      <Reference URI="/xl/worksheets/sheet23.xml?ContentType=application/vnd.openxmlformats-officedocument.spreadsheetml.worksheet+xml">
        <DigestMethod Algorithm="http://www.w3.org/2001/04/xmlenc#sha256"/>
        <DigestValue>P/J43+IlkvgH5jH7eNjQ9RssNsTPXZcp3RxQFIWySd4=</DigestValue>
      </Reference>
      <Reference URI="/xl/worksheets/sheet24.xml?ContentType=application/vnd.openxmlformats-officedocument.spreadsheetml.worksheet+xml">
        <DigestMethod Algorithm="http://www.w3.org/2001/04/xmlenc#sha256"/>
        <DigestValue>cfpfqHjAwGb3eYieDW0j5QCA0mEVRCkRgwaEkZtm+ig=</DigestValue>
      </Reference>
      <Reference URI="/xl/worksheets/sheet25.xml?ContentType=application/vnd.openxmlformats-officedocument.spreadsheetml.worksheet+xml">
        <DigestMethod Algorithm="http://www.w3.org/2001/04/xmlenc#sha256"/>
        <DigestValue>V1xsfE2587BsgqYHfAL7zqPo+us+FlEIfKzoXi7unRM=</DigestValue>
      </Reference>
      <Reference URI="/xl/worksheets/sheet26.xml?ContentType=application/vnd.openxmlformats-officedocument.spreadsheetml.worksheet+xml">
        <DigestMethod Algorithm="http://www.w3.org/2001/04/xmlenc#sha256"/>
        <DigestValue>a1bTvz08pvclZ4P97Q6DzafYZOp7QeQGdwPLBEbv7uY=</DigestValue>
      </Reference>
      <Reference URI="/xl/worksheets/sheet27.xml?ContentType=application/vnd.openxmlformats-officedocument.spreadsheetml.worksheet+xml">
        <DigestMethod Algorithm="http://www.w3.org/2001/04/xmlenc#sha256"/>
        <DigestValue>bY35v43OMTrlFyliwrspg0hdfv9wJcqnMbGgkgsITYk=</DigestValue>
      </Reference>
      <Reference URI="/xl/worksheets/sheet28.xml?ContentType=application/vnd.openxmlformats-officedocument.spreadsheetml.worksheet+xml">
        <DigestMethod Algorithm="http://www.w3.org/2001/04/xmlenc#sha256"/>
        <DigestValue>5Tcp7dpu+Dg5b9moAGAU6Mm4XXqQT7kDP7qwOdciQ+4=</DigestValue>
      </Reference>
      <Reference URI="/xl/worksheets/sheet29.xml?ContentType=application/vnd.openxmlformats-officedocument.spreadsheetml.worksheet+xml">
        <DigestMethod Algorithm="http://www.w3.org/2001/04/xmlenc#sha256"/>
        <DigestValue>3994PQn0JTdsQrC75UU1hcXT2qqF7sn2qZio6HQuDL8=</DigestValue>
      </Reference>
      <Reference URI="/xl/worksheets/sheet3.xml?ContentType=application/vnd.openxmlformats-officedocument.spreadsheetml.worksheet+xml">
        <DigestMethod Algorithm="http://www.w3.org/2001/04/xmlenc#sha256"/>
        <DigestValue>xSZRhBzs8kLgJ16DEGBOSyLsCKGCUdrl/SE0aiBMA6M=</DigestValue>
      </Reference>
      <Reference URI="/xl/worksheets/sheet30.xml?ContentType=application/vnd.openxmlformats-officedocument.spreadsheetml.worksheet+xml">
        <DigestMethod Algorithm="http://www.w3.org/2001/04/xmlenc#sha256"/>
        <DigestValue>A/nPlp+RuhnhqwjjZu0GOKiiJnAM+PufoadrAfohydA=</DigestValue>
      </Reference>
      <Reference URI="/xl/worksheets/sheet31.xml?ContentType=application/vnd.openxmlformats-officedocument.spreadsheetml.worksheet+xml">
        <DigestMethod Algorithm="http://www.w3.org/2001/04/xmlenc#sha256"/>
        <DigestValue>kWLxOesCoILUePkvptylVClrY6dZ9Y2Rlc/xK6GsTu0=</DigestValue>
      </Reference>
      <Reference URI="/xl/worksheets/sheet32.xml?ContentType=application/vnd.openxmlformats-officedocument.spreadsheetml.worksheet+xml">
        <DigestMethod Algorithm="http://www.w3.org/2001/04/xmlenc#sha256"/>
        <DigestValue>lueSR//04xFG1L+AV4aAqWvetrXR6OwmlFBJsviIaTQ=</DigestValue>
      </Reference>
      <Reference URI="/xl/worksheets/sheet4.xml?ContentType=application/vnd.openxmlformats-officedocument.spreadsheetml.worksheet+xml">
        <DigestMethod Algorithm="http://www.w3.org/2001/04/xmlenc#sha256"/>
        <DigestValue>4roJxeel64LHE89SDv7RHRjD2no3vHIzfUgInTHZfC8=</DigestValue>
      </Reference>
      <Reference URI="/xl/worksheets/sheet5.xml?ContentType=application/vnd.openxmlformats-officedocument.spreadsheetml.worksheet+xml">
        <DigestMethod Algorithm="http://www.w3.org/2001/04/xmlenc#sha256"/>
        <DigestValue>XlfqBbH0pVGy1mhlWKA6WFAxiuEJP6f5aXHTgpRbaBc=</DigestValue>
      </Reference>
      <Reference URI="/xl/worksheets/sheet6.xml?ContentType=application/vnd.openxmlformats-officedocument.spreadsheetml.worksheet+xml">
        <DigestMethod Algorithm="http://www.w3.org/2001/04/xmlenc#sha256"/>
        <DigestValue>WP7Yn9B7tlVfDPxxZp7ltWIX2wh5BBes77KZpSuhExQ=</DigestValue>
      </Reference>
      <Reference URI="/xl/worksheets/sheet7.xml?ContentType=application/vnd.openxmlformats-officedocument.spreadsheetml.worksheet+xml">
        <DigestMethod Algorithm="http://www.w3.org/2001/04/xmlenc#sha256"/>
        <DigestValue>ggeEw/GkFv7hP66n7ZQ3yGDDSkTOZ5DH0WAFx+b0crA=</DigestValue>
      </Reference>
      <Reference URI="/xl/worksheets/sheet8.xml?ContentType=application/vnd.openxmlformats-officedocument.spreadsheetml.worksheet+xml">
        <DigestMethod Algorithm="http://www.w3.org/2001/04/xmlenc#sha256"/>
        <DigestValue>kpAuT8xq8AeQoL+fK9k/05VyNtpblCnr7B5JQTpOco4=</DigestValue>
      </Reference>
      <Reference URI="/xl/worksheets/sheet9.xml?ContentType=application/vnd.openxmlformats-officedocument.spreadsheetml.worksheet+xml">
        <DigestMethod Algorithm="http://www.w3.org/2001/04/xmlenc#sha256"/>
        <DigestValue>8iPpvFK41VNKrcUuiqoB/+X6vF0kaanmAtqYQx1MMuE=</DigestValue>
      </Reference>
    </Manifest>
    <SignatureProperties>
      <SignatureProperty Id="idSignatureTime" Target="#idPackageSignature">
        <mdssi:SignatureTime xmlns:mdssi="http://schemas.openxmlformats.org/package/2006/digital-signature">
          <mdssi:Format>YYYY-MM-DDThh:mm:ssTZD</mdssi:Format>
          <mdssi:Value>2025-07-23T15:15:10Z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nbg reporting</SignatureComments>
          <WindowsVersion>10.0</WindowsVersion>
          <OfficeVersion>16.0.18925/26</OfficeVersion>
          <ApplicationVersion>16.0.18925</ApplicationVersion>
          <Monitors>1</Monitors>
          <HorizontalResolution>3840</HorizontalResolution>
          <VerticalResolution>2160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2025-07-23T15:15:10Z</xd:SigningTime>
          <xd:SigningCertificate>
            <xd:Cert>
              <xd:CertDigest>
                <DigestMethod Algorithm="http://www.w3.org/2001/04/xmlenc#sha256"/>
                <DigestValue>Q7Uepn9gkBAEvbbhMzOw/ABQnlA3wu/Avda6gvXjvFg=</DigestValue>
              </xd:CertDigest>
              <xd:IssuerSerial>
                <X509IssuerName>CN=NBG Class 2 INT Sub CA, DC=nbg, DC=ge</X509IssuerName>
                <X509SerialNumber>186280511134098578901232</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Approved this document</xd:Description>
            </xd:CommitmentTypeId>
            <xd:AllSignedDataObjects/>
            <xd:CommitmentTypeQualifiers>
              <xd:CommitmentTypeQualifier>nbg reporting</xd:CommitmentTypeQualifier>
            </xd:CommitmentTypeQualifiers>
          </xd:CommitmentTypeIndication>
        </xd:SignedDataObject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2025-07-22T10:33:31Z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