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DB3F2E06-8BB8-467D-B506-AEECFEF1A523}" xr6:coauthVersionLast="47" xr6:coauthVersionMax="47" xr10:uidLastSave="{00000000-0000-0000-0000-000000000000}"/>
  <bookViews>
    <workbookView xWindow="-108" yWindow="-108" windowWidth="23256" windowHeight="12576" tabRatio="919" activeTab="1"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120" l="1"/>
  <c r="R19" i="120" s="1"/>
  <c r="C8" i="95"/>
  <c r="K20" i="93"/>
  <c r="H20" i="93"/>
  <c r="E20" i="93"/>
  <c r="E23" i="88"/>
  <c r="C10" i="115"/>
  <c r="C18" i="115" s="1"/>
  <c r="G68" i="108"/>
  <c r="F68" i="108"/>
  <c r="M20" i="120"/>
  <c r="H20" i="120"/>
  <c r="C20" i="120"/>
  <c r="M18" i="120"/>
  <c r="H18" i="120"/>
  <c r="C18" i="120"/>
  <c r="M17" i="120"/>
  <c r="H17" i="120"/>
  <c r="C17" i="120"/>
  <c r="M16" i="120"/>
  <c r="H16" i="120"/>
  <c r="C16" i="120"/>
  <c r="M15" i="120"/>
  <c r="H15" i="120"/>
  <c r="C15" i="120"/>
  <c r="M14" i="120"/>
  <c r="H14" i="120"/>
  <c r="C14" i="120"/>
  <c r="Q13" i="120"/>
  <c r="P13" i="120"/>
  <c r="P19" i="120" s="1"/>
  <c r="O13" i="120"/>
  <c r="O19" i="120" s="1"/>
  <c r="N13" i="120"/>
  <c r="N19" i="120" s="1"/>
  <c r="L13" i="120"/>
  <c r="L19" i="120" s="1"/>
  <c r="K13" i="120"/>
  <c r="K19" i="120" s="1"/>
  <c r="J13" i="120"/>
  <c r="J19" i="120" s="1"/>
  <c r="I13" i="120"/>
  <c r="I19" i="120" s="1"/>
  <c r="G13" i="120"/>
  <c r="G19" i="120" s="1"/>
  <c r="F13" i="120"/>
  <c r="F19" i="120" s="1"/>
  <c r="E13" i="120"/>
  <c r="E19" i="120" s="1"/>
  <c r="D13" i="120"/>
  <c r="D19" i="120" s="1"/>
  <c r="M12" i="120"/>
  <c r="H12" i="120"/>
  <c r="C12" i="120"/>
  <c r="M11" i="120"/>
  <c r="H11" i="120"/>
  <c r="C11" i="120"/>
  <c r="M10" i="120"/>
  <c r="H10" i="120"/>
  <c r="C10" i="120"/>
  <c r="M9" i="120"/>
  <c r="H9" i="120"/>
  <c r="C9" i="120"/>
  <c r="M8" i="120"/>
  <c r="H8" i="120"/>
  <c r="C8" i="120"/>
  <c r="M7" i="120"/>
  <c r="H7" i="120"/>
  <c r="C7" i="120"/>
  <c r="L33" i="118"/>
  <c r="K33" i="118"/>
  <c r="J33" i="118"/>
  <c r="I33" i="118"/>
  <c r="G33" i="118"/>
  <c r="F33" i="118"/>
  <c r="E33" i="118"/>
  <c r="D33" i="118"/>
  <c r="C33" i="118" s="1"/>
  <c r="H32" i="118"/>
  <c r="C32" i="118"/>
  <c r="H31" i="118"/>
  <c r="C31" i="118"/>
  <c r="H30" i="118"/>
  <c r="C30" i="118"/>
  <c r="H29" i="118"/>
  <c r="C29" i="118"/>
  <c r="H28" i="118"/>
  <c r="C28" i="118"/>
  <c r="H27" i="118"/>
  <c r="C27" i="118"/>
  <c r="H26" i="118"/>
  <c r="C26" i="118"/>
  <c r="H25" i="118"/>
  <c r="C25" i="118"/>
  <c r="H24" i="118"/>
  <c r="C24" i="118"/>
  <c r="H23" i="118"/>
  <c r="C23" i="118"/>
  <c r="H22" i="118"/>
  <c r="C22" i="118"/>
  <c r="H21" i="118"/>
  <c r="C21" i="118"/>
  <c r="H20" i="118"/>
  <c r="C20" i="118"/>
  <c r="H19" i="118"/>
  <c r="C19" i="118"/>
  <c r="H18" i="118"/>
  <c r="C18" i="118"/>
  <c r="H17" i="118"/>
  <c r="C17" i="118"/>
  <c r="H16" i="118"/>
  <c r="C16" i="118"/>
  <c r="H15" i="118"/>
  <c r="C15" i="118"/>
  <c r="H14" i="118"/>
  <c r="C14" i="118"/>
  <c r="H13" i="118"/>
  <c r="C13" i="118"/>
  <c r="H12" i="118"/>
  <c r="C12" i="118"/>
  <c r="H11" i="118"/>
  <c r="C11" i="118"/>
  <c r="H10" i="118"/>
  <c r="C10" i="118"/>
  <c r="H9" i="118"/>
  <c r="C9" i="118"/>
  <c r="H8" i="118"/>
  <c r="C8" i="118"/>
  <c r="H7" i="118"/>
  <c r="C7" i="118"/>
  <c r="C22" i="117"/>
  <c r="C21" i="117"/>
  <c r="C20" i="117"/>
  <c r="C19" i="117"/>
  <c r="C18" i="117"/>
  <c r="C17" i="117"/>
  <c r="C15" i="117"/>
  <c r="C14" i="117"/>
  <c r="C13" i="117"/>
  <c r="C12" i="117"/>
  <c r="C11" i="117"/>
  <c r="AA10" i="117"/>
  <c r="Z10" i="117"/>
  <c r="Y10" i="117"/>
  <c r="X10" i="117"/>
  <c r="W10" i="117"/>
  <c r="V10" i="117"/>
  <c r="U10" i="117"/>
  <c r="T10" i="117"/>
  <c r="S10" i="117"/>
  <c r="R10" i="117"/>
  <c r="Q10" i="117"/>
  <c r="P10" i="117"/>
  <c r="O10" i="117"/>
  <c r="N10" i="117"/>
  <c r="M10" i="117"/>
  <c r="L10" i="117"/>
  <c r="K10" i="117"/>
  <c r="J10" i="117"/>
  <c r="I10" i="117"/>
  <c r="H10" i="117"/>
  <c r="G10" i="117"/>
  <c r="F10" i="117"/>
  <c r="E10" i="117"/>
  <c r="D10" i="117"/>
  <c r="C9" i="117"/>
  <c r="C8" i="117"/>
  <c r="C22" i="116"/>
  <c r="C17" i="116"/>
  <c r="D15" i="116"/>
  <c r="C15" i="116" s="1"/>
  <c r="C14" i="116"/>
  <c r="C13" i="116"/>
  <c r="C8" i="116" s="1"/>
  <c r="AA8" i="116"/>
  <c r="Z8" i="116"/>
  <c r="Y8" i="116"/>
  <c r="X8" i="116"/>
  <c r="W8" i="116"/>
  <c r="V8" i="116"/>
  <c r="U8" i="116"/>
  <c r="T8" i="116"/>
  <c r="S8" i="116"/>
  <c r="R8" i="116"/>
  <c r="Q8" i="116"/>
  <c r="P8" i="116"/>
  <c r="O8" i="116"/>
  <c r="N8" i="116"/>
  <c r="M8" i="116"/>
  <c r="L8" i="116"/>
  <c r="K8" i="116"/>
  <c r="J8" i="116"/>
  <c r="I8" i="116"/>
  <c r="H8" i="116"/>
  <c r="G8" i="116"/>
  <c r="F8" i="116"/>
  <c r="E8" i="116"/>
  <c r="D8" i="116"/>
  <c r="C10" i="114"/>
  <c r="C7" i="114"/>
  <c r="F34" i="113"/>
  <c r="E34" i="113"/>
  <c r="D34" i="113"/>
  <c r="C34" i="113"/>
  <c r="G34" i="113"/>
  <c r="E22" i="112"/>
  <c r="D22" i="112"/>
  <c r="C22" i="112"/>
  <c r="G21" i="112"/>
  <c r="F21" i="112"/>
  <c r="E21" i="112"/>
  <c r="D21" i="112"/>
  <c r="C21" i="112"/>
  <c r="G22" i="111"/>
  <c r="F22" i="111"/>
  <c r="E22" i="111"/>
  <c r="D22" i="111"/>
  <c r="C22" i="111"/>
  <c r="H21" i="111"/>
  <c r="H20" i="111"/>
  <c r="H19" i="111"/>
  <c r="H18" i="111"/>
  <c r="H17" i="111"/>
  <c r="H16" i="111"/>
  <c r="H15" i="111"/>
  <c r="H14" i="111"/>
  <c r="H13" i="111"/>
  <c r="H12" i="111"/>
  <c r="H11" i="111"/>
  <c r="H10" i="111"/>
  <c r="H9" i="111"/>
  <c r="H8" i="111"/>
  <c r="G33" i="97"/>
  <c r="F33" i="97"/>
  <c r="E33" i="97"/>
  <c r="D33" i="97"/>
  <c r="C33" i="97"/>
  <c r="G24" i="97"/>
  <c r="G37" i="97" s="1"/>
  <c r="F24" i="97"/>
  <c r="E24" i="97"/>
  <c r="D24" i="97"/>
  <c r="C24" i="97"/>
  <c r="G18" i="97"/>
  <c r="F18" i="97"/>
  <c r="E18" i="97"/>
  <c r="D18" i="97"/>
  <c r="C18" i="97"/>
  <c r="E14" i="97"/>
  <c r="D14" i="97"/>
  <c r="C14" i="97"/>
  <c r="G14" i="97"/>
  <c r="F14" i="97"/>
  <c r="D11" i="97"/>
  <c r="C11" i="97"/>
  <c r="G11" i="97"/>
  <c r="F11" i="97"/>
  <c r="E11" i="97"/>
  <c r="G8" i="97"/>
  <c r="F8" i="97"/>
  <c r="E8" i="97"/>
  <c r="D8" i="97"/>
  <c r="C8" i="97"/>
  <c r="C30" i="95"/>
  <c r="C26" i="95"/>
  <c r="C18" i="95"/>
  <c r="J23" i="93"/>
  <c r="I23" i="93"/>
  <c r="K23" i="93" s="1"/>
  <c r="G23" i="93"/>
  <c r="F23" i="93"/>
  <c r="H23" i="93" s="1"/>
  <c r="K8" i="93"/>
  <c r="H8" i="93"/>
  <c r="J21" i="93"/>
  <c r="I21" i="93"/>
  <c r="G21" i="93"/>
  <c r="F21" i="93"/>
  <c r="D21" i="93"/>
  <c r="C21" i="93"/>
  <c r="K19" i="93"/>
  <c r="K21" i="93" s="1"/>
  <c r="H19" i="93"/>
  <c r="H21" i="93" s="1"/>
  <c r="E19" i="93"/>
  <c r="E21" i="93" s="1"/>
  <c r="J16" i="93"/>
  <c r="I16" i="93"/>
  <c r="G16" i="93"/>
  <c r="F16" i="93"/>
  <c r="D16" i="93"/>
  <c r="C16" i="93"/>
  <c r="K15" i="93"/>
  <c r="H15" i="93"/>
  <c r="E15" i="93"/>
  <c r="K14" i="93"/>
  <c r="H14" i="93"/>
  <c r="E14" i="93"/>
  <c r="K13" i="93"/>
  <c r="H13" i="93"/>
  <c r="E13" i="93"/>
  <c r="K12" i="93"/>
  <c r="H12" i="93"/>
  <c r="E12" i="93"/>
  <c r="K11" i="93"/>
  <c r="H11" i="93"/>
  <c r="E11" i="93"/>
  <c r="K10" i="93"/>
  <c r="H10" i="93"/>
  <c r="E10" i="93"/>
  <c r="H21" i="91"/>
  <c r="H20" i="91"/>
  <c r="H19" i="91"/>
  <c r="H18" i="91"/>
  <c r="H17" i="91"/>
  <c r="H16" i="91"/>
  <c r="H15" i="91"/>
  <c r="H14" i="91"/>
  <c r="H13" i="91"/>
  <c r="H12" i="91"/>
  <c r="H11" i="91"/>
  <c r="H10" i="91"/>
  <c r="H9" i="91"/>
  <c r="H8" i="91"/>
  <c r="C63" i="69"/>
  <c r="C68" i="69" s="1"/>
  <c r="C59" i="69"/>
  <c r="C53" i="69"/>
  <c r="C46" i="69"/>
  <c r="C40" i="69"/>
  <c r="C29" i="69"/>
  <c r="C26" i="69"/>
  <c r="C23" i="69"/>
  <c r="C18" i="69"/>
  <c r="C14" i="69"/>
  <c r="C6" i="69"/>
  <c r="C48" i="89"/>
  <c r="C44" i="89"/>
  <c r="C53" i="89" s="1"/>
  <c r="C36" i="89"/>
  <c r="C32" i="89"/>
  <c r="C31" i="89" s="1"/>
  <c r="C42" i="89" s="1"/>
  <c r="C12" i="89"/>
  <c r="C6" i="89"/>
  <c r="E35" i="88"/>
  <c r="E34" i="88"/>
  <c r="E31" i="88"/>
  <c r="D31" i="88"/>
  <c r="C31" i="88"/>
  <c r="E30" i="88"/>
  <c r="E28" i="88" s="1"/>
  <c r="D28" i="88"/>
  <c r="C28" i="88"/>
  <c r="E26" i="88"/>
  <c r="E25" i="88" s="1"/>
  <c r="D25" i="88"/>
  <c r="C25" i="88"/>
  <c r="E22" i="88"/>
  <c r="E21" i="88"/>
  <c r="E20" i="88" s="1"/>
  <c r="D20" i="88"/>
  <c r="C20" i="88"/>
  <c r="E16" i="88"/>
  <c r="D16" i="88"/>
  <c r="C16" i="88"/>
  <c r="E15" i="88"/>
  <c r="E14" i="88"/>
  <c r="E13" i="88"/>
  <c r="E12" i="88"/>
  <c r="E11" i="88"/>
  <c r="E10" i="88"/>
  <c r="E9" i="88"/>
  <c r="D8" i="88"/>
  <c r="C8" i="88"/>
  <c r="C13" i="120" l="1"/>
  <c r="H33" i="118"/>
  <c r="E8" i="88"/>
  <c r="M13" i="120"/>
  <c r="H13" i="120"/>
  <c r="H19" i="120" s="1"/>
  <c r="C10" i="117"/>
  <c r="C15" i="114"/>
  <c r="H22" i="111"/>
  <c r="C36" i="95"/>
  <c r="C38" i="95" s="1"/>
  <c r="I24" i="93"/>
  <c r="I25" i="93" s="1"/>
  <c r="J24" i="93"/>
  <c r="J25" i="93" s="1"/>
  <c r="G24" i="93"/>
  <c r="G25" i="93" s="1"/>
  <c r="F24" i="93"/>
  <c r="F25" i="93" s="1"/>
  <c r="K16" i="93"/>
  <c r="H16" i="93"/>
  <c r="E16" i="93"/>
  <c r="C35" i="69"/>
  <c r="C29" i="89"/>
  <c r="M19" i="120"/>
  <c r="C19" i="120"/>
  <c r="Q19" i="120"/>
  <c r="C69" i="69"/>
  <c r="E43" i="110"/>
  <c r="E42" i="110"/>
  <c r="E41" i="110"/>
  <c r="E40" i="110"/>
  <c r="E39" i="110"/>
  <c r="G38" i="110"/>
  <c r="F38" i="110"/>
  <c r="D38" i="110"/>
  <c r="C38" i="110"/>
  <c r="E38" i="110" s="1"/>
  <c r="E37" i="110"/>
  <c r="E36" i="110"/>
  <c r="E35" i="110"/>
  <c r="E34" i="110"/>
  <c r="E33" i="110"/>
  <c r="E32" i="110"/>
  <c r="E31" i="110"/>
  <c r="G30" i="110"/>
  <c r="F30" i="110"/>
  <c r="D30" i="110"/>
  <c r="C30" i="110"/>
  <c r="E30" i="110" s="1"/>
  <c r="E29" i="110"/>
  <c r="E28" i="110"/>
  <c r="E27" i="110"/>
  <c r="E26" i="110"/>
  <c r="E25" i="110"/>
  <c r="E24" i="110"/>
  <c r="E23" i="110"/>
  <c r="E22" i="110"/>
  <c r="E21" i="110"/>
  <c r="E20" i="110"/>
  <c r="E19" i="110"/>
  <c r="E18" i="110"/>
  <c r="G17" i="110"/>
  <c r="G14" i="110" s="1"/>
  <c r="F17" i="110"/>
  <c r="F14" i="110" s="1"/>
  <c r="D17" i="110"/>
  <c r="D14" i="110" s="1"/>
  <c r="C17" i="110"/>
  <c r="C14" i="110" s="1"/>
  <c r="E16" i="110"/>
  <c r="E15" i="110"/>
  <c r="E13" i="110"/>
  <c r="E12" i="110"/>
  <c r="G11" i="110"/>
  <c r="F11" i="110"/>
  <c r="D11" i="110"/>
  <c r="C11" i="110"/>
  <c r="E11" i="110" s="1"/>
  <c r="E10" i="110"/>
  <c r="E9" i="110"/>
  <c r="G8" i="110"/>
  <c r="F8" i="110"/>
  <c r="D8" i="110"/>
  <c r="C8" i="110"/>
  <c r="E8" i="110" s="1"/>
  <c r="E7" i="110"/>
  <c r="E6" i="110"/>
  <c r="G37" i="109"/>
  <c r="F37" i="109"/>
  <c r="G34" i="109"/>
  <c r="F34" i="109"/>
  <c r="G29" i="109"/>
  <c r="F29" i="109"/>
  <c r="G13" i="109"/>
  <c r="G43" i="109" s="1"/>
  <c r="G45" i="109" s="1"/>
  <c r="F13" i="109"/>
  <c r="F43" i="109" s="1"/>
  <c r="F45" i="109" s="1"/>
  <c r="G6" i="109"/>
  <c r="F6" i="109"/>
  <c r="D37" i="109"/>
  <c r="C37" i="109"/>
  <c r="D34" i="109"/>
  <c r="C34" i="109"/>
  <c r="D29" i="109"/>
  <c r="C29" i="109"/>
  <c r="D13" i="109"/>
  <c r="D43" i="109" s="1"/>
  <c r="D45" i="109" s="1"/>
  <c r="C13" i="109"/>
  <c r="C43" i="109" s="1"/>
  <c r="C45" i="109" s="1"/>
  <c r="D6" i="109"/>
  <c r="C6" i="109"/>
  <c r="C68" i="108"/>
  <c r="C63" i="108"/>
  <c r="C59" i="108"/>
  <c r="G53" i="108"/>
  <c r="G69" i="108" s="1"/>
  <c r="G47" i="108"/>
  <c r="F47" i="108"/>
  <c r="F53" i="108" s="1"/>
  <c r="F69" i="108" s="1"/>
  <c r="H69" i="108" s="1"/>
  <c r="G41" i="108"/>
  <c r="F41" i="108"/>
  <c r="D47" i="108"/>
  <c r="C47" i="108"/>
  <c r="D41" i="108"/>
  <c r="D53" i="108" s="1"/>
  <c r="C41" i="108"/>
  <c r="C53" i="108" s="1"/>
  <c r="G30" i="108"/>
  <c r="F30" i="108"/>
  <c r="G27" i="108"/>
  <c r="F27" i="108"/>
  <c r="G24" i="108"/>
  <c r="F24" i="108"/>
  <c r="G19" i="108"/>
  <c r="F19" i="108"/>
  <c r="G15" i="108"/>
  <c r="F15" i="108"/>
  <c r="G7" i="108"/>
  <c r="G36" i="108" s="1"/>
  <c r="F7" i="108"/>
  <c r="F36" i="108" s="1"/>
  <c r="D30" i="108"/>
  <c r="C30" i="108"/>
  <c r="D27" i="108"/>
  <c r="C27" i="108"/>
  <c r="D24" i="108"/>
  <c r="C24" i="108"/>
  <c r="D19" i="108"/>
  <c r="C19" i="108"/>
  <c r="D15" i="108"/>
  <c r="C15" i="108"/>
  <c r="D7" i="108"/>
  <c r="D36" i="108" s="1"/>
  <c r="C7" i="108"/>
  <c r="C36" i="108" s="1"/>
  <c r="H24" i="93" l="1"/>
  <c r="H25" i="93" s="1"/>
  <c r="E14" i="110"/>
  <c r="E17" i="110"/>
  <c r="K24" i="93"/>
  <c r="K25" i="93" s="1"/>
  <c r="H7" i="112"/>
  <c r="B2" i="97" l="1"/>
  <c r="B2" i="95"/>
  <c r="B2" i="92"/>
  <c r="B2" i="93"/>
  <c r="B2" i="91"/>
  <c r="B2" i="64"/>
  <c r="B2" i="90"/>
  <c r="B2" i="69"/>
  <c r="B2" i="94"/>
  <c r="B2" i="89"/>
  <c r="B2" i="73"/>
  <c r="B2" i="88"/>
  <c r="B2" i="52"/>
  <c r="C5" i="86"/>
  <c r="B2" i="86"/>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D7" i="114" l="1"/>
  <c r="D15" i="114" s="1"/>
  <c r="D10"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H34" i="113"/>
  <c r="H8" i="112"/>
  <c r="H9" i="112"/>
  <c r="H10" i="112"/>
  <c r="H11" i="112"/>
  <c r="H12" i="112"/>
  <c r="H13" i="112"/>
  <c r="H14" i="112"/>
  <c r="H15" i="112"/>
  <c r="H16" i="112"/>
  <c r="H17" i="112"/>
  <c r="H18" i="112"/>
  <c r="H19" i="112"/>
  <c r="H20" i="112"/>
  <c r="H22" i="112"/>
  <c r="H23" i="112"/>
  <c r="H21" i="112" l="1"/>
  <c r="E37" i="88"/>
  <c r="D37" i="88"/>
  <c r="C37" i="88"/>
  <c r="H43" i="110" l="1"/>
  <c r="H42" i="110"/>
  <c r="H41" i="110"/>
  <c r="H40" i="110"/>
  <c r="H39" i="110"/>
  <c r="H37" i="110"/>
  <c r="H36" i="110"/>
  <c r="H35" i="110"/>
  <c r="H34" i="110"/>
  <c r="H33" i="110"/>
  <c r="H32" i="110"/>
  <c r="H31" i="110"/>
  <c r="H29" i="110"/>
  <c r="H28" i="110"/>
  <c r="H27" i="110"/>
  <c r="H26" i="110"/>
  <c r="H25" i="110"/>
  <c r="H24" i="110"/>
  <c r="H23" i="110"/>
  <c r="H22" i="110"/>
  <c r="H21" i="110"/>
  <c r="H20" i="110"/>
  <c r="H19" i="110"/>
  <c r="H18" i="110"/>
  <c r="H17" i="110"/>
  <c r="H16" i="110"/>
  <c r="H15" i="110"/>
  <c r="H14" i="110"/>
  <c r="H13" i="110"/>
  <c r="H12" i="110"/>
  <c r="H11" i="110"/>
  <c r="H10" i="110"/>
  <c r="H9" i="110"/>
  <c r="H8" i="110"/>
  <c r="H7" i="110"/>
  <c r="H6" i="110"/>
  <c r="H44" i="109"/>
  <c r="E44" i="109"/>
  <c r="H42" i="109"/>
  <c r="E42" i="109"/>
  <c r="H41" i="109"/>
  <c r="E41" i="109"/>
  <c r="H40" i="109"/>
  <c r="E40" i="109"/>
  <c r="H39" i="109"/>
  <c r="E39" i="109"/>
  <c r="H38" i="109"/>
  <c r="E38" i="109"/>
  <c r="H37" i="109"/>
  <c r="H36" i="109"/>
  <c r="E36" i="109"/>
  <c r="H35" i="109"/>
  <c r="E35" i="109"/>
  <c r="H34" i="109"/>
  <c r="H33" i="109"/>
  <c r="E33" i="109"/>
  <c r="H32" i="109"/>
  <c r="E32" i="109"/>
  <c r="H31" i="109"/>
  <c r="E31" i="109"/>
  <c r="H30" i="109"/>
  <c r="E30" i="109"/>
  <c r="H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E13" i="109"/>
  <c r="H12" i="109"/>
  <c r="E12" i="109"/>
  <c r="H11" i="109"/>
  <c r="E11" i="109"/>
  <c r="H10" i="109"/>
  <c r="E10" i="109"/>
  <c r="H9" i="109"/>
  <c r="E9" i="109"/>
  <c r="H8" i="109"/>
  <c r="E8" i="109"/>
  <c r="H7" i="109"/>
  <c r="E7" i="109"/>
  <c r="E6" i="109"/>
  <c r="H67" i="108"/>
  <c r="E67" i="108"/>
  <c r="H66" i="108"/>
  <c r="E66" i="108"/>
  <c r="H65" i="108"/>
  <c r="E65" i="108"/>
  <c r="H64" i="108"/>
  <c r="E64" i="108"/>
  <c r="H63" i="108"/>
  <c r="D63" i="108"/>
  <c r="E63" i="108"/>
  <c r="H62" i="108"/>
  <c r="E62" i="108"/>
  <c r="H61" i="108"/>
  <c r="E61" i="108"/>
  <c r="H60" i="108"/>
  <c r="E60" i="108"/>
  <c r="H59" i="108"/>
  <c r="D59" i="108"/>
  <c r="D68" i="108" s="1"/>
  <c r="H58" i="108"/>
  <c r="E58" i="108"/>
  <c r="H57" i="108"/>
  <c r="E57" i="108"/>
  <c r="H56" i="108"/>
  <c r="E56" i="108"/>
  <c r="H55" i="108"/>
  <c r="E55" i="108"/>
  <c r="H52" i="108"/>
  <c r="E52" i="108"/>
  <c r="H51" i="108"/>
  <c r="E51" i="108"/>
  <c r="H50" i="108"/>
  <c r="E50" i="108"/>
  <c r="H49" i="108"/>
  <c r="E49" i="108"/>
  <c r="H48" i="108"/>
  <c r="E48" i="108"/>
  <c r="H47" i="108"/>
  <c r="E47" i="108"/>
  <c r="H46" i="108"/>
  <c r="E46" i="108"/>
  <c r="H45" i="108"/>
  <c r="E45" i="108"/>
  <c r="H44" i="108"/>
  <c r="E44" i="108"/>
  <c r="H43" i="108"/>
  <c r="E43" i="108"/>
  <c r="H42" i="108"/>
  <c r="E42" i="108"/>
  <c r="H41" i="108"/>
  <c r="H40" i="108"/>
  <c r="E40" i="108"/>
  <c r="H39" i="108"/>
  <c r="E39" i="108"/>
  <c r="H38" i="108"/>
  <c r="E38" i="108"/>
  <c r="H35" i="108"/>
  <c r="E35" i="108"/>
  <c r="H34" i="108"/>
  <c r="E34" i="108"/>
  <c r="H33" i="108"/>
  <c r="E33" i="108"/>
  <c r="H32" i="108"/>
  <c r="E32" i="108"/>
  <c r="H31" i="108"/>
  <c r="E31" i="108"/>
  <c r="H30" i="108"/>
  <c r="E30" i="108"/>
  <c r="H29" i="108"/>
  <c r="E29" i="108"/>
  <c r="H28" i="108"/>
  <c r="E28" i="108"/>
  <c r="H27" i="108"/>
  <c r="E27" i="108"/>
  <c r="H26" i="108"/>
  <c r="E26" i="108"/>
  <c r="H25" i="108"/>
  <c r="E25" i="108"/>
  <c r="H24" i="108"/>
  <c r="H23" i="108"/>
  <c r="E23" i="108"/>
  <c r="H22" i="108"/>
  <c r="E22" i="108"/>
  <c r="H21" i="108"/>
  <c r="E21" i="108"/>
  <c r="H20" i="108"/>
  <c r="E20" i="108"/>
  <c r="H19" i="108"/>
  <c r="E19" i="108"/>
  <c r="H18" i="108"/>
  <c r="E18" i="108"/>
  <c r="H17" i="108"/>
  <c r="E17" i="108"/>
  <c r="H16" i="108"/>
  <c r="E16" i="108"/>
  <c r="E15" i="108"/>
  <c r="H14" i="108"/>
  <c r="E14" i="108"/>
  <c r="H13" i="108"/>
  <c r="E13" i="108"/>
  <c r="H12" i="108"/>
  <c r="E12" i="108"/>
  <c r="H11" i="108"/>
  <c r="E11" i="108"/>
  <c r="H10" i="108"/>
  <c r="E10" i="108"/>
  <c r="H9" i="108"/>
  <c r="E9" i="108"/>
  <c r="H8" i="108"/>
  <c r="E8" i="108"/>
  <c r="E36" i="108"/>
  <c r="E24" i="108" l="1"/>
  <c r="H15" i="108"/>
  <c r="E37" i="109"/>
  <c r="E68" i="108"/>
  <c r="H30" i="110"/>
  <c r="E7" i="108"/>
  <c r="E59" i="108"/>
  <c r="E29" i="109"/>
  <c r="E34" i="109"/>
  <c r="H7" i="108"/>
  <c r="H36" i="108"/>
  <c r="H13" i="109"/>
  <c r="H38" i="110"/>
  <c r="H6" i="109"/>
  <c r="C69" i="108"/>
  <c r="E53" i="108"/>
  <c r="D69" i="108"/>
  <c r="H68" i="108"/>
  <c r="E41" i="108"/>
  <c r="H53" i="108"/>
  <c r="H43" i="109" l="1"/>
  <c r="H45" i="109"/>
  <c r="E43" i="109"/>
  <c r="E45" i="109"/>
  <c r="E69" i="108"/>
  <c r="B1" i="97" l="1"/>
  <c r="G21" i="97" l="1"/>
  <c r="G39" i="97" s="1"/>
  <c r="B1" i="95"/>
  <c r="B1" i="92"/>
  <c r="B1" i="93"/>
  <c r="B1" i="64"/>
  <c r="B1" i="90"/>
  <c r="B1" i="69"/>
  <c r="B1" i="94"/>
  <c r="B1" i="89"/>
  <c r="B1" i="73"/>
  <c r="B1" i="88"/>
  <c r="B1" i="52"/>
  <c r="B1" i="86"/>
  <c r="G5" i="86"/>
  <c r="F5" i="86"/>
  <c r="E5" i="86"/>
  <c r="D5" i="86"/>
  <c r="G5" i="84"/>
  <c r="L5" i="84" s="1"/>
  <c r="F5" i="84"/>
  <c r="K5" i="84" s="1"/>
  <c r="E5" i="84"/>
  <c r="J5" i="84" s="1"/>
  <c r="D5" i="84"/>
  <c r="I5" i="84" s="1"/>
  <c r="C5" i="84"/>
  <c r="E6" i="86" l="1"/>
  <c r="E13" i="86" s="1"/>
  <c r="F6" i="86"/>
  <c r="F13" i="86" s="1"/>
  <c r="G6" i="86"/>
  <c r="G13" i="86" s="1"/>
  <c r="C21" i="94" l="1"/>
  <c r="C20" i="94"/>
  <c r="C19" i="94"/>
  <c r="B1" i="91" l="1"/>
  <c r="B1" i="84"/>
  <c r="D6" i="86" l="1"/>
  <c r="D13" i="86"/>
  <c r="C6" i="86" l="1"/>
  <c r="C13" i="86" s="1"/>
  <c r="D21" i="94" l="1"/>
  <c r="D11" i="94"/>
  <c r="D13" i="94"/>
  <c r="D7" i="94"/>
  <c r="D16" i="94"/>
  <c r="D19" i="94"/>
  <c r="D12" i="94"/>
  <c r="D20" i="94"/>
  <c r="D8" i="94"/>
  <c r="D15" i="94"/>
  <c r="D17" i="94"/>
  <c r="D9" i="94"/>
  <c r="N20" i="92"/>
  <c r="N19" i="92"/>
  <c r="E19" i="92"/>
  <c r="N18" i="92"/>
  <c r="E18" i="92"/>
  <c r="N17" i="92"/>
  <c r="E17" i="92"/>
  <c r="N16" i="92"/>
  <c r="E16" i="92"/>
  <c r="N15" i="92"/>
  <c r="N14" i="92" s="1"/>
  <c r="E15" i="92"/>
  <c r="E14" i="92" s="1"/>
  <c r="M14" i="92"/>
  <c r="L14" i="92"/>
  <c r="K14" i="92"/>
  <c r="J14" i="92"/>
  <c r="I14" i="92"/>
  <c r="H14" i="92"/>
  <c r="G14" i="92"/>
  <c r="F14" i="92"/>
  <c r="C14" i="92"/>
  <c r="N13" i="92"/>
  <c r="N12" i="92"/>
  <c r="E12" i="92"/>
  <c r="N11" i="92"/>
  <c r="E11" i="92"/>
  <c r="N10" i="92"/>
  <c r="E10" i="92"/>
  <c r="N9" i="92"/>
  <c r="E9" i="92"/>
  <c r="N8" i="92"/>
  <c r="E8" i="92"/>
  <c r="E7" i="92" s="1"/>
  <c r="M7" i="92"/>
  <c r="M21" i="92" s="1"/>
  <c r="L7" i="92"/>
  <c r="L21" i="92" s="1"/>
  <c r="K7" i="92"/>
  <c r="K21" i="92" s="1"/>
  <c r="J7" i="92"/>
  <c r="J21" i="92" s="1"/>
  <c r="I7" i="92"/>
  <c r="I21" i="92" s="1"/>
  <c r="H7" i="92"/>
  <c r="H21" i="92" s="1"/>
  <c r="G7" i="92"/>
  <c r="G21" i="92" s="1"/>
  <c r="F7" i="92"/>
  <c r="F21" i="92" s="1"/>
  <c r="C7" i="92"/>
  <c r="E21" i="92" l="1"/>
  <c r="C21" i="92"/>
  <c r="N7" i="92"/>
  <c r="N21" i="92" s="1"/>
  <c r="S21" i="90"/>
  <c r="S20" i="90"/>
  <c r="S19" i="90"/>
  <c r="S18" i="90"/>
  <c r="S17" i="90"/>
  <c r="S16" i="90"/>
  <c r="S15" i="90"/>
  <c r="S14" i="90"/>
  <c r="S13" i="90"/>
  <c r="S12" i="90"/>
  <c r="S11" i="90"/>
  <c r="S10" i="90"/>
  <c r="S9" i="90"/>
  <c r="S8" i="90"/>
  <c r="T21" i="64" l="1"/>
  <c r="U21" i="64"/>
  <c r="S21" i="64"/>
  <c r="C21" i="64"/>
  <c r="G22" i="91"/>
  <c r="F22" i="91"/>
  <c r="E22" i="91"/>
  <c r="D22" i="91"/>
  <c r="C22" i="91"/>
  <c r="H22" i="91" l="1"/>
  <c r="K22" i="90"/>
  <c r="L22" i="90"/>
  <c r="M22" i="90"/>
  <c r="N22" i="90"/>
  <c r="O22" i="90"/>
  <c r="P22" i="90"/>
  <c r="Q22" i="90"/>
  <c r="R22" i="90"/>
  <c r="S22" i="90"/>
  <c r="C5" i="73" l="1"/>
  <c r="C22" i="90" l="1"/>
  <c r="D22" i="90" l="1"/>
  <c r="E22" i="90"/>
  <c r="F22" i="90"/>
  <c r="G22" i="90"/>
  <c r="H22" i="90"/>
  <c r="I22" i="90"/>
  <c r="J22" i="90"/>
  <c r="C8" i="73" l="1"/>
  <c r="C13" i="73"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<sst xmlns="http://schemas.openxmlformats.org/spreadsheetml/2006/main" count="1212" uniqueCount="758">
  <si>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</si>
  <si>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</si>
  <si>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</si>
  <si>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</si>
  <si>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</si>
  <si>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</si>
  <si>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</si>
  <si>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</si>
  <si>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</si>
  <si>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</si>
  <si>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</si>
  <si>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</si>
  <si>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</si>
  <si>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</si>
  <si>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</si>
  <si>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</si>
  <si>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</si>
  <si>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</si>
  <si>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</si>
  <si>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</si>
  <si>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</si>
  <si>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</si>
  <si>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</si>
  <si>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</si>
  <si>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</si>
  <si>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</si>
  <si>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</si>
  <si>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</si>
  <si>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</si>
  <si>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</si>
  <si>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</si>
  <si>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</si>
  <si>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</si>
  <si>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</si>
  <si>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</si>
  <si>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</si>
  <si>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</si>
  <si>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</si>
  <si>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</si>
  <si>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</si>
  <si>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</si>
  <si>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</si>
  <si>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</si>
  <si>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</si>
  <si>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</si>
  <si>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</si>
  <si>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</si>
  <si>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</si>
  <si>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</si>
  <si>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</si>
  <si>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</si>
  <si>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</si>
  <si>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</si>
  <si>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</si>
  <si>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</si>
  <si>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</si>
  <si>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</si>
  <si>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</si>
  <si>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</si>
  <si>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</si>
  <si>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</si>
  <si>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</si>
  <si>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</si>
  <si>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</si>
  <si>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</si>
  <si>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</si>
  <si>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</si>
  <si>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</si>
  <si>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</si>
  <si>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</si>
  <si>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</si>
  <si>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</si>
  <si>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</si>
  <si>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</si>
  <si>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</si>
  <si>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</si>
  <si>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</si>
  <si>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</si>
  <si>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</si>
  <si>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</si>
  <si>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</si>
  <si>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</si>
  <si>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</si>
  <si>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</si>
  <si>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</si>
  <si>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</si>
  <si>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</si>
  <si>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</si>
  <si>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</si>
  <si>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</si>
  <si>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</si>
  <si>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</si>
  <si>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</si>
  <si>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</si>
  <si>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</si>
  <si>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</si>
  <si>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</si>
  <si>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</si>
  <si>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</si>
  <si>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</si>
  <si>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</si>
  <si>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</si>
  <si>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</si>
  <si>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</si>
  <si>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</si>
  <si>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</si>
  <si>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</si>
  <si>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</si>
  <si>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</si>
  <si>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</si>
  <si>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</si>
  <si>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</si>
  <si>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</si>
  <si>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</si>
  <si>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</si>
  <si>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</si>
  <si>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</si>
  <si>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</si>
  <si>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</si>
  <si>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</si>
  <si>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</si>
  <si>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</si>
  <si>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</si>
  <si>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</si>
  <si>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</si>
  <si>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</si>
  <si>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</si>
  <si>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</si>
  <si>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</si>
  <si>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</si>
  <si>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</si>
  <si>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</si>
  <si>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</si>
  <si>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</si>
  <si>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</si>
  <si>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</si>
  <si>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</si>
  <si>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</si>
  <si>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</si>
  <si>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</si>
  <si>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</si>
  <si>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</si>
  <si>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</si>
  <si>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</si>
  <si>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</si>
  <si>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</si>
  <si>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</si>
  <si>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</si>
  <si>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</si>
  <si>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</si>
  <si>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</si>
  <si>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</si>
  <si>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</si>
  <si>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</si>
  <si>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</si>
  <si>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</si>
  <si>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</si>
  <si>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</si>
  <si>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</si>
  <si>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</si>
  <si>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</si>
  <si>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</si>
  <si>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</si>
  <si>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</si>
  <si>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</si>
  <si>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</si>
  <si>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</si>
  <si>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</si>
  <si>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</si>
  <si>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</si>
  <si>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</si>
  <si>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</si>
  <si>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</si>
  <si>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</si>
  <si>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</si>
  <si>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</si>
  <si>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</si>
  <si>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</si>
  <si>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</si>
  <si>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</si>
  <si>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</si>
  <si>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</si>
  <si>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</si>
  <si>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</si>
  <si>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</si>
  <si>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</si>
  <si>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</si>
  <si>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</si>
  <si>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</si>
  <si>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</si>
  <si>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</si>
  <si>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</si>
  <si>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</si>
  <si>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</si>
  <si>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</si>
  <si>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</si>
  <si>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</si>
  <si>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</si>
  <si>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</si>
  <si>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</si>
  <si>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</si>
  <si>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</si>
  <si>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</si>
  <si>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</si>
  <si>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</si>
  <si>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</si>
  <si>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</si>
  <si>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</si>
  <si>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</si>
  <si>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</si>
  <si>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</si>
  <si>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</si>
  <si>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</si>
  <si>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</si>
  <si>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</si>
  <si>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</si>
  <si>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</si>
  <si>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</si>
  <si>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</si>
  <si>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</si>
  <si>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</si>
  <si>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</si>
  <si>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</si>
  <si>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</si>
  <si>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</si>
  <si>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</si>
  <si>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</si>
  <si>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</si>
  <si>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</si>
  <si>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</si>
  <si>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</si>
  <si>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</si>
  <si>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</si>
  <si>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</si>
  <si>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</si>
  <si>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</si>
  <si>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</si>
  <si>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</si>
  <si>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</si>
  <si>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</si>
  <si>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</si>
  <si>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</si>
  <si>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</si>
  <si>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</si>
  <si>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</si>
  <si>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</si>
  <si>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</si>
  <si>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</si>
  <si>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</si>
  <si>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</si>
  <si>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</si>
  <si>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</si>
  <si>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</si>
  <si>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</si>
  <si>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</si>
  <si>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</si>
  <si>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</si>
  <si>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</si>
  <si>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</si>
  <si>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</si>
  <si>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</si>
  <si>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</si>
  <si>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</si>
  <si>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</si>
  <si>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</si>
  <si>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</si>
  <si>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</si>
  <si>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</si>
  <si>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</si>
  <si>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</si>
  <si>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</si>
  <si>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</si>
  <si>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</si>
  <si>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</si>
  <si>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</si>
  <si>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</si>
  <si>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</si>
  <si>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</si>
  <si>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</si>
  <si>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</si>
  <si>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</si>
  <si>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</si>
  <si>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</si>
  <si>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</si>
  <si>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</si>
  <si>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</si>
  <si>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</si>
  <si>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</si>
  <si>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</si>
  <si>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</si>
  <si>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</si>
  <si>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</si>
  <si>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</si>
  <si>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</si>
  <si>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</si>
  <si>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</si>
  <si>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</si>
  <si>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</si>
  <si>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</si>
  <si>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</si>
  <si>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</si>
  <si>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</si>
  <si>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</si>
  <si>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</si>
  <si>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</si>
  <si>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</si>
  <si>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</si>
  <si>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</si>
  <si>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</si>
  <si>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</si>
  <si>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</si>
  <si>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</si>
  <si>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</si>
  <si>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</si>
  <si>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</si>
  <si>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</si>
  <si>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</si>
  <si>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</si>
  <si>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</si>
  <si>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</si>
  <si>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</si>
  <si>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</si>
  <si>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</si>
  <si>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</si>
  <si>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</si>
  <si>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</si>
  <si>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</si>
  <si>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</si>
  <si>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</si>
  <si>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</si>
  <si>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</si>
  <si>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</si>
  <si>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</si>
  <si>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</si>
  <si>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</si>
  <si>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</si>
  <si>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</si>
  <si>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</si>
  <si>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</si>
  <si>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</si>
  <si>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</si>
  <si>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</si>
  <si>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</si>
  <si>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</si>
  <si>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</si>
  <si>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</si>
  <si>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</si>
  <si>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</si>
  <si>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</si>
  <si>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</si>
  <si>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</si>
  <si>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</si>
  <si>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</si>
  <si>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</si>
  <si>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</si>
  <si>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</si>
  <si>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</si>
  <si>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</si>
  <si>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</si>
  <si>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</si>
  <si>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</si>
  <si>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</si>
  <si>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</si>
  <si>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</si>
  <si>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</si>
  <si>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</si>
  <si>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</si>
  <si>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</si>
  <si>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</si>
  <si>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</si>
  <si>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</si>
  <si>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</si>
  <si>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</si>
  <si>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</si>
  <si>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</si>
  <si>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</si>
  <si>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</si>
  <si>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</si>
  <si>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</si>
  <si>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</si>
  <si>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</si>
  <si>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</si>
  <si>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</si>
  <si>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</si>
  <si>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</si>
  <si>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</si>
  <si>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</si>
  <si>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</si>
  <si>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</si>
  <si>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</si>
  <si>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</si>
  <si>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</si>
  <si>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</si>
  <si>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</si>
  <si>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</si>
  <si>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</si>
  <si>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</si>
  <si>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</si>
  <si>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</si>
  <si>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</si>
  <si>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</si>
  <si>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</si>
  <si>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</si>
  <si>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</si>
  <si>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</si>
  <si>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</si>
  <si>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</si>
  <si>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</si>
  <si>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</si>
  <si>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</si>
  <si>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</si>
  <si>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</si>
  <si>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</si>
  <si>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</si>
  <si>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</si>
  <si>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</si>
  <si>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</si>
  <si>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</si>
  <si>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</si>
  <si>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</si>
  <si>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</si>
  <si>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</si>
  <si>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</si>
  <si>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</si>
  <si>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</si>
  <si>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</si>
  <si>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</si>
  <si>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</si>
  <si>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</si>
  <si>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</si>
  <si>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</si>
  <si>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</si>
  <si>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</si>
  <si>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</si>
  <si>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</si>
  <si>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</si>
  <si>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</si>
  <si>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</si>
  <si>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</si>
  <si>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</si>
  <si>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</si>
  <si>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</si>
  <si>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</si>
  <si>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</si>
  <si>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</si>
  <si>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</si>
  <si>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</si>
  <si>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</si>
  <si>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</si>
  <si>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</si>
  <si>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</si>
  <si>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</si>
  <si>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</si>
  <si>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</si>
  <si>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</si>
  <si>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</si>
  <si>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</si>
  <si>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</si>
  <si>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</si>
  <si>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</si>
  <si>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</si>
  <si>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</si>
  <si>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</si>
  <si>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</si>
  <si>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</si>
  <si>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</si>
  <si>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</si>
  <si>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</si>
  <si>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</si>
  <si>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</si>
  <si>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</si>
  <si>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</si>
  <si>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</si>
  <si>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</si>
  <si>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</si>
  <si>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</si>
  <si>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</si>
  <si>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</si>
  <si>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</si>
  <si>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</si>
  <si>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</si>
  <si>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</si>
  <si>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</si>
  <si>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</si>
  <si>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</si>
  <si>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</si>
  <si>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</si>
  <si>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</si>
  <si>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</si>
  <si>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</si>
  <si>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</si>
  <si>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</si>
  <si>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</si>
  <si>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</si>
  <si>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</si>
  <si>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</si>
  <si>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</si>
  <si>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</si>
  <si>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</si>
  <si>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</si>
  <si>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</si>
  <si>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</si>
  <si>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</si>
  <si>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</si>
  <si>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</si>
  <si>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</si>
  <si>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</si>
  <si>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</si>
  <si>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</si>
  <si>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</si>
  <si>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</si>
  <si>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</si>
  <si>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</si>
  <si>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</si>
  <si>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</si>
  <si>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</si>
  <si>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</si>
  <si>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</si>
  <si>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</si>
  <si>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</si>
  <si>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</si>
  <si>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</si>
  <si>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</si>
  <si>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</si>
  <si>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</si>
  <si>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</si>
  <si>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</si>
  <si>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</si>
  <si>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</si>
  <si>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</si>
  <si>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</si>
  <si>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</si>
  <si>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</si>
  <si>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</si>
  <si>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</si>
  <si>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</si>
  <si>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</si>
  <si>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</si>
  <si>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</si>
  <si>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</si>
  <si>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</si>
  <si>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</si>
  <si>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</si>
  <si>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</si>
  <si>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</si>
  <si>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</si>
  <si>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</si>
  <si>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</si>
  <si>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</si>
  <si>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</si>
  <si>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</si>
  <si>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</si>
  <si>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</si>
  <si>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</si>
  <si>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</si>
  <si>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</si>
  <si>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</si>
  <si>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</si>
  <si>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</si>
  <si>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</si>
  <si>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</si>
  <si>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</si>
  <si>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</si>
  <si>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</si>
  <si>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</si>
  <si>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</si>
  <si>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</si>
  <si>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</si>
  <si>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</si>
  <si>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</si>
  <si>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</si>
  <si>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</si>
  <si>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</si>
  <si>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</si>
  <si>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</si>
  <si>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</si>
  <si>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</si>
  <si>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</si>
  <si>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</si>
  <si>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</si>
  <si>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</si>
  <si>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</si>
  <si>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</si>
  <si>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</si>
  <si>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</si>
  <si>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</si>
  <si>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</si>
  <si>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</si>
  <si>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</si>
  <si>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</si>
  <si>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</si>
  <si>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</si>
  <si>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</si>
  <si>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</si>
  <si>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</si>
  <si>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</si>
  <si>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</si>
  <si>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</si>
  <si>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</si>
  <si>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</si>
  <si>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</si>
  <si>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</si>
  <si>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</si>
  <si>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</si>
  <si>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</si>
  <si>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</si>
  <si>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</si>
  <si>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</si>
  <si>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</si>
  <si>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</si>
  <si>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</si>
  <si>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</si>
  <si>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</si>
  <si>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</si>
  <si>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</si>
  <si>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</si>
  <si>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</si>
  <si>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</si>
  <si>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</si>
  <si>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</si>
  <si>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</si>
  <si>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</si>
  <si>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</si>
  <si>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</si>
  <si>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</si>
  <si>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</si>
  <si>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</si>
  <si>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</si>
  <si>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</si>
  <si>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</si>
  <si>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</si>
  <si>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</si>
  <si>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</si>
  <si>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</si>
  <si>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</si>
  <si>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</si>
  <si>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</si>
  <si>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</si>
  <si>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</si>
  <si>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</si>
  <si>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</si>
  <si>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</si>
  <si>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</si>
  <si>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</si>
  <si>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</si>
  <si>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</si>
  <si>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</si>
  <si>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</si>
  <si>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</si>
  <si>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</si>
  <si>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</si>
  <si>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</si>
  <si>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</si>
  <si>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</si>
  <si>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</si>
  <si>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</si>
  <si>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</si>
  <si>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</si>
  <si>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</si>
  <si>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</si>
  <si>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</si>
  <si>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</si>
  <si>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</si>
  <si>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</si>
  <si>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</si>
  <si>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</si>
  <si>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</si>
  <si>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</si>
  <si>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</si>
  <si>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</si>
  <si>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</si>
  <si>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</si>
  <si>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</si>
  <si>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</si>
  <si>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</si>
  <si>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</si>
  <si>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</si>
  <si>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</si>
  <si>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</si>
  <si>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</si>
  <si>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</si>
  <si>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</si>
  <si>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</si>
  <si>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</si>
  <si>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</si>
  <si>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</si>
  <si>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</si>
  <si>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</si>
  <si>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</si>
  <si>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</si>
  <si>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</si>
  <si>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</si>
  <si>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</si>
  <si>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</si>
  <si>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</si>
  <si>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</si>
  <si>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</si>
  <si>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</si>
  <si>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</si>
  <si>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</si>
  <si>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</si>
  <si>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</si>
  <si>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</si>
  <si>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</si>
  <si>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</si>
  <si>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</si>
  <si>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</si>
  <si>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</si>
  <si>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</si>
  <si>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</si>
  <si>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</si>
  <si>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</si>
  <si>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JSC "CREDOBANK"</t>
  </si>
  <si>
    <t>Thomas Engelhardt</t>
  </si>
  <si>
    <t>Zaal Pirtskhelava</t>
  </si>
  <si>
    <t>www.credo.ge</t>
  </si>
  <si>
    <t>Thomas Engelhardt (Germany)</t>
  </si>
  <si>
    <t>Non-independent chair</t>
  </si>
  <si>
    <t>Farah, Katia Chams (Netherlands)</t>
  </si>
  <si>
    <t>Non-independent member</t>
  </si>
  <si>
    <t>Paul-Catalin Panciu (Romania)</t>
  </si>
  <si>
    <t>Johannes Mainhardt (Germany)</t>
  </si>
  <si>
    <t>Andrew Pospielovsky (Great Britain)</t>
  </si>
  <si>
    <t>Senior Independent member</t>
  </si>
  <si>
    <t>Olga Tomash (Ukraine)</t>
  </si>
  <si>
    <t>Independent member</t>
  </si>
  <si>
    <t>Chief Executive Officer</t>
  </si>
  <si>
    <t>Erekle Zatiashvili</t>
  </si>
  <si>
    <t>CFO</t>
  </si>
  <si>
    <t>Zaza Tkeshelashvili</t>
  </si>
  <si>
    <t>Chief Credit Officer</t>
  </si>
  <si>
    <t>Nikoloz Kutateladze</t>
  </si>
  <si>
    <t>Chief Commercial Officer</t>
  </si>
  <si>
    <t>Alexander Kumsiashvili</t>
  </si>
  <si>
    <t>CIO</t>
  </si>
  <si>
    <t>George Nadareishvili</t>
  </si>
  <si>
    <t>CRO</t>
  </si>
  <si>
    <t xml:space="preserve">Access Microfinance Holding AG (Germany) </t>
  </si>
  <si>
    <t xml:space="preserve">Triodos Custody B.V., Triodos Fair Share Fund (Netherlands) </t>
  </si>
  <si>
    <t xml:space="preserve">Triodos SICAV II, Triodos Microfinance Fund (Luxembourg) </t>
  </si>
  <si>
    <t xml:space="preserve">responsAbility Participations AG (Switzerland) </t>
  </si>
  <si>
    <t>Societe de Promotion et de Participation pour la Cooperation Economique (Proparco)</t>
  </si>
  <si>
    <t xml:space="preserve">responsAbility Management Company S.A., responsAbility Global Microfinance Fund (Luxembourg) </t>
  </si>
  <si>
    <t xml:space="preserve">responsAbility SICAV (Lux) -  responsAbility SICAV (Lux) Microfinance Leaders Fund  </t>
  </si>
  <si>
    <t>British International Investment PLC (UK)</t>
  </si>
  <si>
    <t xml:space="preserve">European Investment Bank (Luxembourg) </t>
  </si>
  <si>
    <t xml:space="preserve">International Finance Corporation (USA) </t>
  </si>
  <si>
    <t xml:space="preserve">Kreditanstalt für Wiederaufbau (Germany) </t>
  </si>
  <si>
    <t xml:space="preserve">LFS Advisory GmbH (Germany) </t>
  </si>
  <si>
    <t xml:space="preserve">Dr. Bernd Zattler (Germany) </t>
  </si>
  <si>
    <t>Omidyar Tufts Active Citizenship Trust (USA)</t>
  </si>
  <si>
    <t>Agence Francaise de developpement</t>
  </si>
  <si>
    <t>Among them included in Tier II capital</t>
  </si>
  <si>
    <t xml:space="preserve">Table 9 (Capital), C10 </t>
  </si>
  <si>
    <t>Table 9 (Capital), C 38</t>
  </si>
  <si>
    <t>Table 9 (Capital), C 2</t>
  </si>
  <si>
    <t>Table 9 (Capital), C 3</t>
  </si>
  <si>
    <t>Table 9 (Capital), C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</si>
</sst>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4">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b/>
      <sz val="10"/>
      <name val="Geo_Arial"/>
      <family val="2"/>
    </font>
    <font>
      <sz val="10"/>
      <color rgb="FF333333"/>
      <name val="Sylfaen"/>
      <family val="1"/>
    </font>
    <font>
      <sz val="10"/>
      <name val="Geo_Arial"/>
      <family val="2"/>
    </font>
    <font>
      <b/>
      <sz val="10"/>
      <color theme="1"/>
      <name val="Sylfaen"/>
      <family val="1"/>
    </font>
    <font>
      <sz val="10"/>
      <color theme="1"/>
      <name val="Sylfaen"/>
      <family val="1"/>
    </font>
    <font>
      <b/>
      <i/>
      <sz val="10"/>
      <color theme="1"/>
      <name val="Sylfaen"/>
      <family val="1"/>
    </font>
    <font>
      <b/>
      <sz val="9"/>
      <name val="Calibri"/>
      <family val="2"/>
      <scheme val="minor"/>
    </font>
  </fonts>
  <fills count="8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tint="-0.14999847407452621"/>
        <bgColor indexed="64"/>
      </patternFill>
    </fill>
  </fills>
  <borders count="13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9"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9"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9"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168"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9"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cellStyleXfs>
  <cellXfs count="787">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193" fontId="87" fillId="2" borderId="22"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85" fillId="0" borderId="0" xfId="0" applyFont="1" applyAlignment="1">
      <alignment wrapText="1"/>
    </xf>
    <xf numFmtId="0" fontId="2" fillId="0" borderId="20" xfId="0" applyFont="1" applyBorder="1"/>
    <xf numFmtId="0" fontId="2" fillId="0" borderId="20" xfId="0" applyFont="1" applyBorder="1" applyAlignment="1">
      <alignment wrapText="1"/>
    </xf>
    <xf numFmtId="0" fontId="2" fillId="0" borderId="24" xfId="0" applyFont="1" applyBorder="1" applyAlignment="1">
      <alignment wrapText="1"/>
    </xf>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0" fontId="45" fillId="0" borderId="0" xfId="11" applyFont="1"/>
    <xf numFmtId="0" fontId="84" fillId="0" borderId="4" xfId="0" applyFont="1" applyBorder="1" applyAlignment="1">
      <alignment horizontal="center" vertical="center" wrapText="1"/>
    </xf>
    <xf numFmtId="0" fontId="84" fillId="0" borderId="59" xfId="0" applyFont="1" applyBorder="1" applyAlignment="1">
      <alignment horizontal="center" vertical="center" wrapText="1"/>
    </xf>
    <xf numFmtId="0" fontId="84" fillId="0" borderId="6" xfId="0" applyFont="1" applyBorder="1" applyAlignment="1">
      <alignment horizontal="center" vertical="center" wrapText="1"/>
    </xf>
    <xf numFmtId="167" fontId="84" fillId="0" borderId="60" xfId="0" applyNumberFormat="1" applyFont="1" applyBorder="1" applyAlignment="1">
      <alignment horizontal="center"/>
    </xf>
    <xf numFmtId="167" fontId="85" fillId="0" borderId="0" xfId="0" applyNumberFormat="1" applyFont="1" applyAlignment="1">
      <alignment horizontal="center"/>
    </xf>
    <xf numFmtId="167" fontId="84" fillId="0" borderId="58" xfId="0" applyNumberFormat="1" applyFont="1" applyBorder="1" applyAlignment="1">
      <alignment horizontal="center"/>
    </xf>
    <xf numFmtId="167" fontId="92" fillId="0" borderId="0" xfId="0" applyNumberFormat="1" applyFont="1" applyAlignment="1">
      <alignment horizontal="center"/>
    </xf>
    <xf numFmtId="167" fontId="84" fillId="0" borderId="61" xfId="0" applyNumberFormat="1" applyFont="1" applyBorder="1" applyAlignment="1">
      <alignment horizontal="center"/>
    </xf>
    <xf numFmtId="167" fontId="90" fillId="0" borderId="0" xfId="0" applyNumberFormat="1" applyFont="1" applyAlignment="1">
      <alignment horizontal="center"/>
    </xf>
    <xf numFmtId="167" fontId="84" fillId="0" borderId="62" xfId="0" applyNumberFormat="1" applyFont="1" applyBorder="1" applyAlignment="1">
      <alignment horizontal="center"/>
    </xf>
    <xf numFmtId="0" fontId="84" fillId="0" borderId="18" xfId="0" applyFont="1" applyBorder="1" applyAlignment="1">
      <alignment vertical="center"/>
    </xf>
    <xf numFmtId="193" fontId="84" fillId="0" borderId="3" xfId="0" applyNumberFormat="1" applyFont="1" applyBorder="1"/>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193" fontId="84" fillId="36" borderId="22" xfId="0" applyNumberFormat="1" applyFont="1" applyFill="1" applyBorder="1"/>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193" fontId="84" fillId="0" borderId="18" xfId="0" applyNumberFormat="1" applyFont="1" applyBorder="1"/>
    <xf numFmtId="193" fontId="84" fillId="0" borderId="19" xfId="0" applyNumberFormat="1" applyFont="1" applyBorder="1"/>
    <xf numFmtId="193" fontId="84" fillId="36" borderId="52" xfId="0" applyNumberFormat="1" applyFont="1" applyFill="1" applyBorder="1"/>
    <xf numFmtId="0" fontId="45" fillId="3" borderId="23" xfId="16" applyFont="1" applyFill="1" applyBorder="1" applyProtection="1">
      <protection locked="0"/>
    </xf>
    <xf numFmtId="193" fontId="84" fillId="36" borderId="21" xfId="0" applyNumberFormat="1" applyFont="1" applyFill="1" applyBorder="1"/>
    <xf numFmtId="193" fontId="84" fillId="36" borderId="23" xfId="0" applyNumberFormat="1" applyFont="1" applyFill="1" applyBorder="1"/>
    <xf numFmtId="193" fontId="84" fillId="36" borderId="53" xfId="0" applyNumberFormat="1" applyFont="1" applyFill="1" applyBorder="1"/>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193" fontId="45" fillId="36" borderId="22" xfId="16" applyNumberFormat="1" applyFont="1" applyFill="1" applyBorder="1" applyProtection="1">
      <protection locked="0"/>
    </xf>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9" fillId="0" borderId="0" xfId="0" applyFont="1" applyAlignment="1">
      <alignment horizontal="center"/>
    </xf>
    <xf numFmtId="0" fontId="2" fillId="3" borderId="18"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9"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2" xfId="16" applyNumberFormat="1" applyFont="1" applyFill="1" applyBorder="1" applyProtection="1">
      <protection locked="0"/>
    </xf>
    <xf numFmtId="193" fontId="45" fillId="36" borderId="22" xfId="1" applyNumberFormat="1" applyFont="1" applyFill="1" applyBorder="1" applyAlignment="1" applyProtection="1">
      <protection locked="0"/>
    </xf>
    <xf numFmtId="193" fontId="2" fillId="3" borderId="22" xfId="5" applyNumberFormat="1" applyFill="1" applyBorder="1" applyProtection="1">
      <protection locked="0"/>
    </xf>
    <xf numFmtId="164" fontId="45" fillId="36" borderId="23" xfId="1" applyNumberFormat="1" applyFont="1" applyFill="1" applyBorder="1" applyAlignment="1" applyProtection="1">
      <protection locked="0"/>
    </xf>
    <xf numFmtId="193" fontId="84" fillId="0" borderId="0" xfId="0" applyNumberFormat="1" applyFont="1"/>
    <xf numFmtId="0" fontId="45" fillId="0" borderId="25" xfId="0" applyFont="1" applyBorder="1" applyAlignment="1">
      <alignment vertical="center" wrapText="1"/>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193" fontId="86" fillId="36" borderId="22"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193" fontId="84" fillId="36" borderId="17" xfId="0" applyNumberFormat="1" applyFont="1" applyFill="1" applyBorder="1" applyAlignment="1">
      <alignment horizontal="center" vertical="center"/>
    </xf>
    <xf numFmtId="193" fontId="84" fillId="0" borderId="19" xfId="0" applyNumberFormat="1" applyFont="1" applyBorder="1" applyAlignment="1">
      <alignment wrapText="1"/>
    </xf>
    <xf numFmtId="193" fontId="84" fillId="36" borderId="19" xfId="0" applyNumberFormat="1" applyFont="1" applyFill="1" applyBorder="1" applyAlignment="1">
      <alignment horizontal="center" vertical="center" wrapText="1"/>
    </xf>
    <xf numFmtId="193" fontId="84" fillId="36" borderId="23"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8" fillId="0" borderId="0" xfId="0" applyFont="1"/>
    <xf numFmtId="0" fontId="3" fillId="0" borderId="63" xfId="0" applyFont="1" applyBorder="1"/>
    <xf numFmtId="193" fontId="84" fillId="0" borderId="20" xfId="0" applyNumberFormat="1"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193" fontId="3" fillId="36" borderId="22" xfId="0" applyNumberFormat="1" applyFont="1" applyFill="1" applyBorder="1"/>
    <xf numFmtId="9" fontId="3" fillId="36" borderId="23" xfId="20962" applyFont="1" applyFill="1" applyBorder="1"/>
    <xf numFmtId="0" fontId="86" fillId="0" borderId="0" xfId="0" applyFont="1" applyAlignment="1">
      <alignment horizontal="center" wrapText="1"/>
    </xf>
    <xf numFmtId="167" fontId="84" fillId="0" borderId="3" xfId="0" applyNumberFormat="1" applyFont="1" applyBorder="1"/>
    <xf numFmtId="167" fontId="84" fillId="36" borderId="22" xfId="0" applyNumberFormat="1" applyFont="1" applyFill="1" applyBorder="1"/>
    <xf numFmtId="0" fontId="84" fillId="0" borderId="68" xfId="0" applyFont="1" applyBorder="1" applyAlignment="1">
      <alignment vertical="center" wrapText="1"/>
    </xf>
    <xf numFmtId="193"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6" xfId="0" applyFont="1" applyFill="1" applyBorder="1" applyAlignment="1">
      <alignment wrapText="1"/>
    </xf>
    <xf numFmtId="0" fontId="97" fillId="0" borderId="0" xfId="0" applyFont="1" applyAlignment="1">
      <alignment wrapText="1"/>
    </xf>
    <xf numFmtId="0" fontId="2" fillId="0" borderId="0" xfId="0" applyFont="1" applyAlignment="1">
      <alignment wrapText="1"/>
    </xf>
    <xf numFmtId="0" fontId="100" fillId="3" borderId="78" xfId="0" applyFont="1" applyFill="1" applyBorder="1" applyAlignment="1">
      <alignment horizontal="left"/>
    </xf>
    <xf numFmtId="0" fontId="100" fillId="3" borderId="79" xfId="0" applyFont="1" applyFill="1" applyBorder="1" applyAlignment="1">
      <alignment horizontal="left"/>
    </xf>
    <xf numFmtId="0" fontId="4" fillId="3" borderId="82" xfId="0" applyFont="1" applyFill="1" applyBorder="1" applyAlignment="1">
      <alignment vertical="center"/>
    </xf>
    <xf numFmtId="0" fontId="3" fillId="3" borderId="83" xfId="0" applyFont="1" applyFill="1" applyBorder="1" applyAlignment="1">
      <alignment vertical="center"/>
    </xf>
    <xf numFmtId="0" fontId="3" fillId="3" borderId="84" xfId="0" applyFont="1" applyFill="1" applyBorder="1" applyAlignment="1">
      <alignment vertical="center"/>
    </xf>
    <xf numFmtId="0" fontId="3" fillId="0" borderId="67" xfId="0" applyFont="1" applyBorder="1" applyAlignment="1">
      <alignment horizontal="center" vertical="center"/>
    </xf>
    <xf numFmtId="0" fontId="3" fillId="0" borderId="7" xfId="0" applyFont="1" applyBorder="1" applyAlignment="1">
      <alignment vertical="center"/>
    </xf>
    <xf numFmtId="169" fontId="9" fillId="37" borderId="0" xfId="20"/>
    <xf numFmtId="0" fontId="3" fillId="0" borderId="18" xfId="0" applyFont="1" applyBorder="1" applyAlignment="1">
      <alignment horizontal="center" vertical="center"/>
    </xf>
    <xf numFmtId="0" fontId="3" fillId="0" borderId="80" xfId="0" applyFont="1" applyBorder="1" applyAlignment="1">
      <alignment vertical="center"/>
    </xf>
    <xf numFmtId="0" fontId="4" fillId="0" borderId="80"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63"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169" fontId="9" fillId="37" borderId="55" xfId="20" applyBorder="1"/>
    <xf numFmtId="0" fontId="3" fillId="0" borderId="86" xfId="0" applyFont="1" applyBorder="1" applyAlignment="1">
      <alignment horizontal="center" vertical="center"/>
    </xf>
    <xf numFmtId="0" fontId="3" fillId="0" borderId="87" xfId="0" applyFont="1" applyBorder="1" applyAlignment="1">
      <alignment vertical="center"/>
    </xf>
    <xf numFmtId="169" fontId="9" fillId="37" borderId="24" xfId="20" applyBorder="1"/>
    <xf numFmtId="169" fontId="9" fillId="37" borderId="88" xfId="20" applyBorder="1"/>
    <xf numFmtId="169" fontId="9" fillId="37" borderId="25" xfId="20" applyBorder="1"/>
    <xf numFmtId="0" fontId="3" fillId="0" borderId="90" xfId="0" applyFont="1" applyBorder="1" applyAlignment="1">
      <alignment horizontal="center" vertical="center"/>
    </xf>
    <xf numFmtId="0" fontId="3" fillId="0" borderId="91" xfId="0" applyFont="1" applyBorder="1" applyAlignment="1">
      <alignment vertical="center"/>
    </xf>
    <xf numFmtId="169" fontId="9" fillId="37" borderId="30" xfId="20" applyBorder="1"/>
    <xf numFmtId="0" fontId="4" fillId="0" borderId="0" xfId="0" applyFont="1" applyAlignment="1">
      <alignment horizontal="center"/>
    </xf>
    <xf numFmtId="0" fontId="86" fillId="0" borderId="80" xfId="0" applyFont="1" applyBorder="1" applyAlignment="1">
      <alignment horizontal="center" vertical="center" wrapText="1"/>
    </xf>
    <xf numFmtId="0" fontId="86" fillId="0" borderId="81" xfId="0" applyFont="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1" xfId="0" applyFont="1" applyFill="1" applyBorder="1" applyAlignment="1">
      <alignment horizontal="left" vertical="center" wrapText="1"/>
    </xf>
    <xf numFmtId="0" fontId="3" fillId="0" borderId="18" xfId="0" applyFont="1" applyBorder="1" applyAlignment="1">
      <alignment horizontal="right" vertical="center" wrapText="1"/>
    </xf>
    <xf numFmtId="0" fontId="101"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21" xfId="5" applyNumberFormat="1" applyFont="1" applyBorder="1" applyAlignment="1" applyProtection="1">
      <alignment horizontal="left" vertical="center"/>
      <protection locked="0"/>
    </xf>
    <xf numFmtId="0" fontId="103" fillId="0" borderId="22" xfId="9" applyFont="1" applyBorder="1" applyAlignment="1" applyProtection="1">
      <alignment horizontal="left" vertical="center" wrapText="1"/>
      <protection locked="0"/>
    </xf>
    <xf numFmtId="0" fontId="84" fillId="0" borderId="80" xfId="0" applyFont="1" applyBorder="1" applyAlignment="1">
      <alignment vertical="center" wrapText="1"/>
    </xf>
    <xf numFmtId="14" fontId="2" fillId="3" borderId="80" xfId="8" quotePrefix="1" applyNumberFormat="1" applyFont="1" applyFill="1" applyBorder="1" applyAlignment="1" applyProtection="1">
      <alignment horizontal="left"/>
      <protection locked="0"/>
    </xf>
    <xf numFmtId="3" fontId="104" fillId="36" borderId="81" xfId="0" applyNumberFormat="1" applyFont="1" applyFill="1" applyBorder="1" applyAlignment="1">
      <alignment vertical="center" wrapText="1"/>
    </xf>
    <xf numFmtId="3" fontId="104" fillId="36" borderId="22" xfId="0" applyNumberFormat="1" applyFont="1" applyFill="1" applyBorder="1" applyAlignment="1">
      <alignment vertical="center" wrapText="1"/>
    </xf>
    <xf numFmtId="3" fontId="104" fillId="36" borderId="23" xfId="0" applyNumberFormat="1" applyFont="1" applyFill="1" applyBorder="1" applyAlignment="1">
      <alignment vertical="center" wrapText="1"/>
    </xf>
    <xf numFmtId="0" fontId="6" fillId="0" borderId="80" xfId="17" applyFill="1" applyBorder="1" applyAlignment="1" applyProtection="1"/>
    <xf numFmtId="49" fontId="84" fillId="0" borderId="80"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7" xfId="20964" applyFont="1" applyFill="1" applyBorder="1">
      <alignment vertical="center"/>
    </xf>
    <xf numFmtId="0" fontId="45" fillId="76" borderId="98" xfId="20964" applyFont="1" applyFill="1" applyBorder="1">
      <alignment vertical="center"/>
    </xf>
    <xf numFmtId="0" fontId="45" fillId="76" borderId="95" xfId="20964" applyFont="1" applyFill="1" applyBorder="1">
      <alignment vertical="center"/>
    </xf>
    <xf numFmtId="0" fontId="106" fillId="70" borderId="94" xfId="20964" applyFont="1" applyFill="1" applyBorder="1" applyAlignment="1">
      <alignment horizontal="center" vertical="center"/>
    </xf>
    <xf numFmtId="0" fontId="106" fillId="70" borderId="95" xfId="20964" applyFont="1" applyFill="1" applyBorder="1" applyAlignment="1">
      <alignment horizontal="left" vertical="center" wrapText="1"/>
    </xf>
    <xf numFmtId="0" fontId="105" fillId="77" borderId="96" xfId="20964" applyFont="1" applyFill="1" applyBorder="1" applyAlignment="1">
      <alignment horizontal="center" vertical="center"/>
    </xf>
    <xf numFmtId="0" fontId="105" fillId="77" borderId="98" xfId="20964" applyFont="1" applyFill="1" applyBorder="1" applyAlignment="1">
      <alignment vertical="top" wrapText="1"/>
    </xf>
    <xf numFmtId="164" fontId="45" fillId="76" borderId="95" xfId="7" applyNumberFormat="1" applyFont="1" applyFill="1" applyBorder="1" applyAlignment="1">
      <alignment horizontal="right" vertical="center"/>
    </xf>
    <xf numFmtId="0" fontId="107" fillId="70" borderId="94" xfId="20964" applyFont="1" applyFill="1" applyBorder="1" applyAlignment="1">
      <alignment horizontal="center" vertical="center"/>
    </xf>
    <xf numFmtId="0" fontId="106" fillId="70" borderId="98" xfId="20964" applyFont="1" applyFill="1" applyBorder="1" applyAlignment="1">
      <alignment vertical="center" wrapText="1"/>
    </xf>
    <xf numFmtId="0" fontId="106" fillId="70" borderId="95" xfId="20964" applyFont="1" applyFill="1" applyBorder="1" applyAlignment="1">
      <alignment horizontal="left" vertical="center"/>
    </xf>
    <xf numFmtId="0" fontId="107" fillId="3" borderId="94" xfId="20964" applyFont="1" applyFill="1" applyBorder="1" applyAlignment="1">
      <alignment horizontal="center" vertical="center"/>
    </xf>
    <xf numFmtId="0" fontId="106" fillId="3" borderId="95" xfId="20964" applyFont="1" applyFill="1" applyBorder="1" applyAlignment="1">
      <alignment horizontal="left" vertical="center"/>
    </xf>
    <xf numFmtId="0" fontId="107" fillId="0" borderId="94" xfId="20964" applyFont="1" applyBorder="1" applyAlignment="1">
      <alignment horizontal="center" vertical="center"/>
    </xf>
    <xf numFmtId="0" fontId="106" fillId="0" borderId="95" xfId="20964" applyFont="1" applyBorder="1" applyAlignment="1">
      <alignment horizontal="left" vertical="center"/>
    </xf>
    <xf numFmtId="0" fontId="108" fillId="77" borderId="96" xfId="20964" applyFont="1" applyFill="1" applyBorder="1" applyAlignment="1">
      <alignment horizontal="center" vertical="center"/>
    </xf>
    <xf numFmtId="0" fontId="105" fillId="77" borderId="98" xfId="20964" applyFont="1" applyFill="1" applyBorder="1">
      <alignment vertical="center"/>
    </xf>
    <xf numFmtId="0" fontId="105" fillId="76" borderId="97" xfId="20964" applyFont="1" applyFill="1" applyBorder="1">
      <alignment vertical="center"/>
    </xf>
    <xf numFmtId="0" fontId="105" fillId="76" borderId="98" xfId="20964" applyFont="1" applyFill="1" applyBorder="1">
      <alignment vertical="center"/>
    </xf>
    <xf numFmtId="0" fontId="110" fillId="3" borderId="94" xfId="20964" applyFont="1" applyFill="1" applyBorder="1" applyAlignment="1">
      <alignment horizontal="center" vertical="center"/>
    </xf>
    <xf numFmtId="0" fontId="111" fillId="77" borderId="96" xfId="20964" applyFont="1" applyFill="1" applyBorder="1" applyAlignment="1">
      <alignment horizontal="center" vertical="center"/>
    </xf>
    <xf numFmtId="0" fontId="45" fillId="77" borderId="98" xfId="20964" applyFont="1" applyFill="1" applyBorder="1">
      <alignment vertical="center"/>
    </xf>
    <xf numFmtId="0" fontId="110" fillId="70" borderId="94" xfId="20964" applyFont="1" applyFill="1" applyBorder="1" applyAlignment="1">
      <alignment horizontal="center" vertical="center"/>
    </xf>
    <xf numFmtId="164" fontId="106" fillId="3" borderId="96" xfId="7" applyNumberFormat="1" applyFont="1" applyFill="1" applyBorder="1" applyAlignment="1" applyProtection="1">
      <alignment horizontal="right" vertical="center"/>
      <protection locked="0"/>
    </xf>
    <xf numFmtId="0" fontId="111" fillId="3" borderId="96" xfId="20964" applyFont="1" applyFill="1" applyBorder="1" applyAlignment="1">
      <alignment horizontal="center" vertical="center"/>
    </xf>
    <xf numFmtId="0" fontId="45" fillId="3" borderId="98" xfId="20964" applyFont="1" applyFill="1" applyBorder="1">
      <alignment vertical="center"/>
    </xf>
    <xf numFmtId="0" fontId="107" fillId="70" borderId="96" xfId="20964" applyFont="1" applyFill="1" applyBorder="1" applyAlignment="1">
      <alignment horizontal="center" vertical="center"/>
    </xf>
    <xf numFmtId="0" fontId="19" fillId="70" borderId="96" xfId="20964" applyFont="1" applyFill="1" applyBorder="1" applyAlignment="1">
      <alignment horizontal="center" vertical="center"/>
    </xf>
    <xf numFmtId="0" fontId="101" fillId="0" borderId="96" xfId="0" applyFont="1" applyBorder="1" applyAlignment="1">
      <alignment horizontal="left" vertical="center" wrapText="1"/>
    </xf>
    <xf numFmtId="10" fontId="97" fillId="0" borderId="96" xfId="20962" applyNumberFormat="1" applyFont="1" applyFill="1" applyBorder="1" applyAlignment="1">
      <alignment horizontal="left" vertical="center" wrapText="1"/>
    </xf>
    <xf numFmtId="10" fontId="3" fillId="0" borderId="96" xfId="20962" applyNumberFormat="1" applyFont="1" applyFill="1" applyBorder="1" applyAlignment="1">
      <alignment horizontal="left" vertical="center" wrapText="1"/>
    </xf>
    <xf numFmtId="10" fontId="4" fillId="36" borderId="96" xfId="0" applyNumberFormat="1" applyFont="1" applyFill="1" applyBorder="1" applyAlignment="1">
      <alignment horizontal="left" vertical="center" wrapText="1"/>
    </xf>
    <xf numFmtId="10" fontId="101" fillId="0" borderId="96" xfId="20962" applyNumberFormat="1" applyFont="1" applyFill="1" applyBorder="1" applyAlignment="1">
      <alignment horizontal="left" vertical="center" wrapText="1"/>
    </xf>
    <xf numFmtId="10" fontId="4" fillId="36" borderId="96" xfId="20962" applyNumberFormat="1" applyFont="1" applyFill="1" applyBorder="1" applyAlignment="1">
      <alignment horizontal="left" vertical="center" wrapText="1"/>
    </xf>
    <xf numFmtId="10" fontId="4" fillId="36" borderId="96" xfId="0" applyNumberFormat="1" applyFont="1" applyFill="1" applyBorder="1" applyAlignment="1">
      <alignment horizontal="center" vertical="center" wrapText="1"/>
    </xf>
    <xf numFmtId="10" fontId="103" fillId="0" borderId="22" xfId="20962" applyNumberFormat="1" applyFont="1" applyFill="1" applyBorder="1" applyAlignment="1" applyProtection="1">
      <alignment horizontal="left" vertical="center"/>
    </xf>
    <xf numFmtId="0" fontId="4" fillId="36" borderId="96" xfId="0" applyFont="1" applyFill="1" applyBorder="1" applyAlignment="1">
      <alignment horizontal="left" vertical="center" wrapText="1"/>
    </xf>
    <xf numFmtId="0" fontId="3" fillId="0" borderId="96" xfId="0" applyFont="1" applyBorder="1" applyAlignment="1">
      <alignment horizontal="left" vertical="center" wrapText="1"/>
    </xf>
    <xf numFmtId="0" fontId="4" fillId="36" borderId="82" xfId="0" applyFont="1" applyFill="1" applyBorder="1" applyAlignment="1">
      <alignment vertical="center" wrapText="1"/>
    </xf>
    <xf numFmtId="0" fontId="4" fillId="36" borderId="95" xfId="0" applyFont="1" applyFill="1" applyBorder="1" applyAlignment="1">
      <alignment vertical="center" wrapText="1"/>
    </xf>
    <xf numFmtId="0" fontId="4" fillId="36" borderId="69" xfId="0" applyFont="1" applyFill="1" applyBorder="1" applyAlignment="1">
      <alignment vertical="center" wrapText="1"/>
    </xf>
    <xf numFmtId="0" fontId="4" fillId="36" borderId="29" xfId="0" applyFont="1" applyFill="1" applyBorder="1" applyAlignment="1">
      <alignment vertical="center" wrapText="1"/>
    </xf>
    <xf numFmtId="0" fontId="84" fillId="0" borderId="96" xfId="0" applyFont="1" applyBorder="1"/>
    <xf numFmtId="0" fontId="6" fillId="0" borderId="96" xfId="17" applyFill="1" applyBorder="1" applyAlignment="1" applyProtection="1">
      <alignment horizontal="left" vertical="center"/>
    </xf>
    <xf numFmtId="0" fontId="6" fillId="0" borderId="96" xfId="17" applyBorder="1" applyAlignment="1" applyProtection="1"/>
    <xf numFmtId="0" fontId="6" fillId="0" borderId="96" xfId="17" applyFill="1" applyBorder="1" applyAlignment="1" applyProtection="1">
      <alignment horizontal="left" vertical="center" wrapText="1"/>
    </xf>
    <xf numFmtId="0" fontId="6" fillId="0" borderId="96"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xf numFmtId="0" fontId="45" fillId="0" borderId="19" xfId="0" applyFont="1" applyBorder="1" applyAlignment="1">
      <alignment horizontal="center" vertical="center" wrapText="1"/>
    </xf>
    <xf numFmtId="3" fontId="104" fillId="36" borderId="96" xfId="0" applyNumberFormat="1" applyFont="1" applyFill="1" applyBorder="1" applyAlignment="1">
      <alignment vertical="center" wrapText="1"/>
    </xf>
    <xf numFmtId="3" fontId="104" fillId="0" borderId="96" xfId="0" applyNumberFormat="1" applyFont="1" applyBorder="1" applyAlignment="1">
      <alignment vertical="center" wrapText="1"/>
    </xf>
    <xf numFmtId="3" fontId="104" fillId="36" borderId="97" xfId="0" applyNumberFormat="1" applyFont="1" applyFill="1" applyBorder="1" applyAlignment="1">
      <alignment vertical="center" wrapText="1"/>
    </xf>
    <xf numFmtId="3" fontId="104" fillId="0" borderId="97" xfId="0" applyNumberFormat="1" applyFont="1" applyBorder="1" applyAlignment="1">
      <alignment vertical="center" wrapText="1"/>
    </xf>
    <xf numFmtId="3" fontId="104" fillId="36" borderId="24" xfId="0" applyNumberFormat="1" applyFont="1" applyFill="1" applyBorder="1" applyAlignment="1">
      <alignment vertical="center" wrapText="1"/>
    </xf>
    <xf numFmtId="3" fontId="104" fillId="36" borderId="84" xfId="0" applyNumberFormat="1" applyFont="1" applyFill="1" applyBorder="1" applyAlignment="1">
      <alignment vertical="center" wrapText="1"/>
    </xf>
    <xf numFmtId="3" fontId="104" fillId="0" borderId="84" xfId="0" applyNumberFormat="1" applyFont="1" applyBorder="1" applyAlignment="1">
      <alignment vertical="center" wrapText="1"/>
    </xf>
    <xf numFmtId="3" fontId="104" fillId="36" borderId="38" xfId="0" applyNumberFormat="1" applyFont="1" applyFill="1" applyBorder="1" applyAlignment="1">
      <alignment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93" xfId="20" applyFont="1" applyBorder="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4" xfId="0" applyFont="1" applyFill="1" applyBorder="1"/>
    <xf numFmtId="0" fontId="3" fillId="3" borderId="99" xfId="0" applyFont="1" applyFill="1" applyBorder="1" applyAlignment="1">
      <alignment wrapText="1"/>
    </xf>
    <xf numFmtId="0" fontId="3" fillId="3" borderId="100" xfId="0" applyFont="1" applyFill="1" applyBorder="1"/>
    <xf numFmtId="0" fontId="4" fillId="3" borderId="75" xfId="0" applyFont="1" applyFill="1" applyBorder="1" applyAlignment="1">
      <alignment horizontal="center" wrapText="1"/>
    </xf>
    <xf numFmtId="0" fontId="3" fillId="0" borderId="96" xfId="0" applyFont="1" applyBorder="1" applyAlignment="1">
      <alignment horizontal="center"/>
    </xf>
    <xf numFmtId="0" fontId="3" fillId="3" borderId="63"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3" xfId="0" applyFont="1" applyFill="1" applyBorder="1" applyAlignment="1">
      <alignment horizontal="center" vertical="center" wrapText="1"/>
    </xf>
    <xf numFmtId="0" fontId="3" fillId="0" borderId="18" xfId="0" applyFont="1" applyBorder="1"/>
    <xf numFmtId="0" fontId="3" fillId="0" borderId="96" xfId="0" applyFont="1" applyBorder="1" applyAlignment="1">
      <alignment wrapText="1"/>
    </xf>
    <xf numFmtId="164" fontId="3" fillId="0" borderId="81" xfId="7" applyNumberFormat="1" applyFont="1" applyBorder="1"/>
    <xf numFmtId="0" fontId="100" fillId="0" borderId="96" xfId="0" applyFont="1" applyBorder="1" applyAlignment="1">
      <alignment horizontal="left" wrapText="1" indent="2"/>
    </xf>
    <xf numFmtId="169" fontId="9" fillId="37" borderId="96" xfId="20" applyBorder="1"/>
    <xf numFmtId="0" fontId="4" fillId="0" borderId="18" xfId="0" applyFont="1" applyBorder="1"/>
    <xf numFmtId="0" fontId="4" fillId="0" borderId="96" xfId="0" applyFont="1" applyBorder="1" applyAlignment="1">
      <alignment wrapText="1"/>
    </xf>
    <xf numFmtId="164" fontId="4" fillId="0" borderId="81" xfId="7" applyNumberFormat="1" applyFont="1" applyBorder="1"/>
    <xf numFmtId="0" fontId="112" fillId="3" borderId="63"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3" xfId="7" applyNumberFormat="1" applyFont="1" applyFill="1" applyBorder="1"/>
    <xf numFmtId="0" fontId="100" fillId="0" borderId="96"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3"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6" xfId="0" applyFont="1" applyFill="1" applyBorder="1" applyAlignment="1">
      <alignment horizontal="right" vertical="center"/>
    </xf>
    <xf numFmtId="0" fontId="2" fillId="0" borderId="94" xfId="0" applyFont="1" applyBorder="1" applyAlignment="1">
      <alignment vertical="center" wrapText="1"/>
    </xf>
    <xf numFmtId="0" fontId="113" fillId="0" borderId="0" xfId="11" applyFont="1"/>
    <xf numFmtId="0" fontId="115" fillId="0" borderId="0" xfId="11" applyFont="1"/>
    <xf numFmtId="0" fontId="114" fillId="0" borderId="0" xfId="0" applyFont="1"/>
    <xf numFmtId="0" fontId="116" fillId="0" borderId="68" xfId="0" applyFont="1" applyBorder="1" applyAlignment="1">
      <alignment horizontal="left" vertical="center" wrapText="1"/>
    </xf>
    <xf numFmtId="0" fontId="6" fillId="0" borderId="111" xfId="17" applyBorder="1" applyAlignment="1" applyProtection="1"/>
    <xf numFmtId="0" fontId="114" fillId="0" borderId="0" xfId="0" applyFont="1" applyAlignment="1">
      <alignment horizontal="left" vertical="top" wrapText="1"/>
    </xf>
    <xf numFmtId="0" fontId="2" fillId="0" borderId="111" xfId="0" applyFont="1" applyBorder="1" applyAlignment="1">
      <alignment horizontal="center" vertical="center" wrapText="1"/>
    </xf>
    <xf numFmtId="0" fontId="112" fillId="0" borderId="111" xfId="0" applyFont="1" applyBorder="1" applyAlignment="1">
      <alignment horizontal="center" vertical="center"/>
    </xf>
    <xf numFmtId="0" fontId="0" fillId="0" borderId="111" xfId="0" applyBorder="1" applyAlignment="1">
      <alignment horizontal="center"/>
    </xf>
    <xf numFmtId="0" fontId="125" fillId="3" borderId="111" xfId="20966" applyFont="1" applyFill="1" applyBorder="1" applyAlignment="1">
      <alignment horizontal="left" vertical="center" wrapText="1"/>
    </xf>
    <xf numFmtId="0" fontId="126" fillId="0" borderId="111" xfId="20966" applyFont="1" applyBorder="1" applyAlignment="1">
      <alignment horizontal="left" vertical="center" wrapText="1" indent="1"/>
    </xf>
    <xf numFmtId="0" fontId="127" fillId="3" borderId="121" xfId="0" applyFont="1" applyFill="1" applyBorder="1" applyAlignment="1">
      <alignment horizontal="left" vertical="center" wrapText="1"/>
    </xf>
    <xf numFmtId="0" fontId="126" fillId="3" borderId="111" xfId="20966" applyFont="1" applyFill="1" applyBorder="1" applyAlignment="1">
      <alignment horizontal="left" vertical="center" wrapText="1" indent="1"/>
    </xf>
    <xf numFmtId="0" fontId="125" fillId="0" borderId="121" xfId="0" applyFont="1" applyBorder="1" applyAlignment="1">
      <alignment horizontal="left" vertical="center" wrapText="1"/>
    </xf>
    <xf numFmtId="0" fontId="127" fillId="0" borderId="121" xfId="0" applyFont="1" applyBorder="1" applyAlignment="1">
      <alignment horizontal="left" vertical="center" wrapText="1"/>
    </xf>
    <xf numFmtId="0" fontId="127" fillId="0" borderId="121" xfId="0" applyFont="1" applyBorder="1" applyAlignment="1">
      <alignment vertical="center" wrapText="1"/>
    </xf>
    <xf numFmtId="0" fontId="128" fillId="0" borderId="121" xfId="0" applyFont="1" applyBorder="1" applyAlignment="1">
      <alignment horizontal="left" vertical="center" wrapText="1" indent="1"/>
    </xf>
    <xf numFmtId="0" fontId="128" fillId="3" borderId="121" xfId="0" applyFont="1" applyFill="1" applyBorder="1" applyAlignment="1">
      <alignment horizontal="left" vertical="center" wrapText="1" indent="1"/>
    </xf>
    <xf numFmtId="0" fontId="127" fillId="3" borderId="122" xfId="0" applyFont="1" applyFill="1" applyBorder="1" applyAlignment="1">
      <alignment horizontal="left" vertical="center" wrapText="1"/>
    </xf>
    <xf numFmtId="0" fontId="128" fillId="0" borderId="111" xfId="20966" applyFont="1" applyBorder="1" applyAlignment="1">
      <alignment horizontal="left" vertical="center" wrapText="1" indent="1"/>
    </xf>
    <xf numFmtId="0" fontId="127" fillId="0" borderId="111" xfId="0" applyFont="1" applyBorder="1" applyAlignment="1">
      <alignment horizontal="left" vertical="center" wrapText="1"/>
    </xf>
    <xf numFmtId="0" fontId="129" fillId="0" borderId="111" xfId="20966" applyFont="1" applyBorder="1" applyAlignment="1">
      <alignment horizontal="center" vertical="center" wrapText="1"/>
    </xf>
    <xf numFmtId="0" fontId="127" fillId="3" borderId="123" xfId="0" applyFont="1" applyFill="1" applyBorder="1" applyAlignment="1">
      <alignment horizontal="left" vertical="center" wrapText="1"/>
    </xf>
    <xf numFmtId="0" fontId="0" fillId="0" borderId="124" xfId="0" applyBorder="1"/>
    <xf numFmtId="0" fontId="0" fillId="0" borderId="124" xfId="0" applyBorder="1" applyAlignment="1">
      <alignment horizontal="center"/>
    </xf>
    <xf numFmtId="0" fontId="126" fillId="3" borderId="124" xfId="20966" applyFont="1" applyFill="1" applyBorder="1" applyAlignment="1">
      <alignment horizontal="left" vertical="center" wrapText="1" indent="1"/>
    </xf>
    <xf numFmtId="0" fontId="126" fillId="3" borderId="121" xfId="0" applyFont="1" applyFill="1" applyBorder="1" applyAlignment="1">
      <alignment horizontal="left" vertical="center" wrapText="1" indent="1"/>
    </xf>
    <xf numFmtId="0" fontId="126" fillId="0" borderId="124" xfId="20966" applyFont="1" applyBorder="1" applyAlignment="1">
      <alignment horizontal="left" vertical="center" wrapText="1" indent="1"/>
    </xf>
    <xf numFmtId="0" fontId="126" fillId="0" borderId="121" xfId="0" applyFont="1" applyBorder="1" applyAlignment="1">
      <alignment horizontal="left" vertical="center" wrapText="1" indent="1"/>
    </xf>
    <xf numFmtId="0" fontId="126" fillId="0" borderId="122" xfId="0" applyFont="1" applyBorder="1" applyAlignment="1">
      <alignment horizontal="left" vertical="center" wrapText="1" indent="1"/>
    </xf>
    <xf numFmtId="0" fontId="127" fillId="0" borderId="124" xfId="20966" applyFont="1" applyBorder="1" applyAlignment="1">
      <alignment horizontal="left" vertical="center" wrapText="1"/>
    </xf>
    <xf numFmtId="0" fontId="127" fillId="0" borderId="124" xfId="0" applyFont="1" applyBorder="1" applyAlignment="1">
      <alignment vertical="center" wrapText="1"/>
    </xf>
    <xf numFmtId="0" fontId="129" fillId="0" borderId="124" xfId="20966" applyFont="1" applyBorder="1" applyAlignment="1">
      <alignment horizontal="center" vertical="center" wrapText="1"/>
    </xf>
    <xf numFmtId="0" fontId="127" fillId="3" borderId="124" xfId="20966" applyFont="1" applyFill="1" applyBorder="1" applyAlignment="1">
      <alignment horizontal="left" vertical="center" wrapText="1"/>
    </xf>
    <xf numFmtId="0" fontId="130" fillId="0" borderId="0" xfId="0" applyFont="1" applyAlignment="1">
      <alignment horizontal="justify"/>
    </xf>
    <xf numFmtId="0" fontId="127" fillId="0" borderId="124"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4" xfId="0" applyFont="1" applyBorder="1" applyAlignment="1">
      <alignment horizontal="center" vertical="center" wrapText="1"/>
    </xf>
    <xf numFmtId="0" fontId="0" fillId="0" borderId="124" xfId="0" applyBorder="1" applyAlignment="1">
      <alignment horizontal="center" vertical="center"/>
    </xf>
    <xf numFmtId="0" fontId="127" fillId="0" borderId="129" xfId="0" applyFont="1" applyBorder="1" applyAlignment="1">
      <alignment horizontal="justify" vertical="center" wrapText="1"/>
    </xf>
    <xf numFmtId="0" fontId="127" fillId="0" borderId="121" xfId="0" applyFont="1" applyBorder="1" applyAlignment="1">
      <alignment horizontal="justify" vertical="center" wrapText="1"/>
    </xf>
    <xf numFmtId="0" fontId="125" fillId="0" borderId="121" xfId="0" applyFont="1" applyBorder="1" applyAlignment="1">
      <alignment horizontal="justify" vertical="center" wrapText="1"/>
    </xf>
    <xf numFmtId="0" fontId="127" fillId="3" borderId="121" xfId="0" applyFont="1" applyFill="1" applyBorder="1" applyAlignment="1">
      <alignment horizontal="justify" vertical="center" wrapText="1"/>
    </xf>
    <xf numFmtId="0" fontId="127" fillId="0" borderId="122" xfId="0" applyFont="1" applyBorder="1" applyAlignment="1">
      <alignment horizontal="justify" vertical="center" wrapText="1"/>
    </xf>
    <xf numFmtId="0" fontId="127" fillId="0" borderId="123" xfId="0" applyFont="1" applyBorder="1" applyAlignment="1">
      <alignment horizontal="justify" vertical="center" wrapText="1"/>
    </xf>
    <xf numFmtId="0" fontId="125" fillId="0" borderId="121" xfId="0" applyFont="1" applyBorder="1" applyAlignment="1">
      <alignment vertical="center" wrapText="1"/>
    </xf>
    <xf numFmtId="0" fontId="126" fillId="0" borderId="121" xfId="0" applyFont="1" applyBorder="1" applyAlignment="1">
      <alignment horizontal="left" vertical="center" wrapText="1"/>
    </xf>
    <xf numFmtId="0" fontId="127" fillId="0" borderId="130" xfId="0" applyFont="1" applyBorder="1" applyAlignment="1">
      <alignment vertical="center" wrapText="1"/>
    </xf>
    <xf numFmtId="0" fontId="127" fillId="3" borderId="121" xfId="0" applyFont="1" applyFill="1" applyBorder="1" applyAlignment="1">
      <alignment vertical="center" wrapText="1"/>
    </xf>
    <xf numFmtId="0" fontId="105" fillId="0" borderId="127" xfId="0" applyFont="1" applyBorder="1" applyAlignment="1">
      <alignment vertical="center" wrapText="1"/>
    </xf>
    <xf numFmtId="193" fontId="95" fillId="0" borderId="124" xfId="0" applyNumberFormat="1" applyFont="1" applyBorder="1" applyAlignment="1">
      <alignment horizontal="right"/>
    </xf>
    <xf numFmtId="193" fontId="95" fillId="36" borderId="124" xfId="0" applyNumberFormat="1" applyFont="1" applyFill="1" applyBorder="1" applyAlignment="1">
      <alignment horizontal="right"/>
    </xf>
    <xf numFmtId="0" fontId="2" fillId="0" borderId="127" xfId="0" applyFont="1" applyBorder="1" applyAlignment="1">
      <alignment horizontal="left" vertical="center" wrapText="1" indent="4"/>
    </xf>
    <xf numFmtId="0" fontId="45" fillId="0" borderId="127" xfId="0" applyFont="1" applyBorder="1" applyAlignment="1">
      <alignment vertical="center" wrapText="1"/>
    </xf>
    <xf numFmtId="0" fontId="2" fillId="0" borderId="124" xfId="0" applyFont="1" applyBorder="1" applyAlignment="1" applyProtection="1">
      <alignment horizontal="left" vertical="center" indent="11"/>
      <protection locked="0"/>
    </xf>
    <xf numFmtId="0" fontId="46" fillId="0" borderId="124" xfId="0" applyFont="1" applyBorder="1" applyAlignment="1" applyProtection="1">
      <alignment horizontal="left" vertical="center" indent="17"/>
      <protection locked="0"/>
    </xf>
    <xf numFmtId="0" fontId="112" fillId="0" borderId="124" xfId="0" applyFont="1" applyBorder="1" applyAlignment="1">
      <alignment vertical="center"/>
    </xf>
    <xf numFmtId="0" fontId="96" fillId="0" borderId="124" xfId="0" applyFont="1" applyBorder="1" applyAlignment="1">
      <alignment vertical="center" wrapText="1"/>
    </xf>
    <xf numFmtId="0" fontId="97" fillId="0" borderId="127" xfId="0" applyFont="1" applyBorder="1" applyAlignment="1">
      <alignment horizontal="left" vertical="center" wrapText="1"/>
    </xf>
    <xf numFmtId="0" fontId="2" fillId="0" borderId="127" xfId="0" applyFont="1" applyBorder="1" applyAlignment="1">
      <alignment horizontal="left" vertical="center" wrapText="1"/>
    </xf>
    <xf numFmtId="193" fontId="95" fillId="0" borderId="0" xfId="0" applyNumberFormat="1" applyFont="1" applyAlignment="1">
      <alignment horizontal="right"/>
    </xf>
    <xf numFmtId="0" fontId="126" fillId="3" borderId="122" xfId="0" applyFont="1" applyFill="1" applyBorder="1" applyAlignment="1">
      <alignment horizontal="left" vertical="center" wrapText="1" indent="1"/>
    </xf>
    <xf numFmtId="0" fontId="126" fillId="3" borderId="124" xfId="0" applyFont="1" applyFill="1" applyBorder="1" applyAlignment="1">
      <alignment horizontal="left" vertical="center" wrapText="1" indent="1"/>
    </xf>
    <xf numFmtId="167" fontId="84" fillId="0" borderId="124" xfId="0" applyNumberFormat="1" applyFont="1" applyBorder="1" applyAlignment="1">
      <alignment horizontal="center"/>
    </xf>
    <xf numFmtId="0" fontId="84" fillId="0" borderId="124" xfId="0" applyFont="1" applyBorder="1"/>
    <xf numFmtId="0" fontId="126" fillId="0" borderId="124" xfId="0" applyFont="1" applyBorder="1" applyAlignment="1">
      <alignment horizontal="left" vertical="center" wrapText="1" indent="1"/>
    </xf>
    <xf numFmtId="0" fontId="127" fillId="3" borderId="124" xfId="0" applyFont="1" applyFill="1" applyBorder="1" applyAlignment="1">
      <alignment horizontal="left" vertical="center" wrapText="1"/>
    </xf>
    <xf numFmtId="0" fontId="128" fillId="3" borderId="124" xfId="0" applyFont="1" applyFill="1" applyBorder="1" applyAlignment="1">
      <alignment horizontal="left" vertical="center" wrapText="1" indent="1"/>
    </xf>
    <xf numFmtId="0" fontId="130" fillId="0" borderId="124" xfId="0" applyFont="1" applyBorder="1" applyAlignment="1">
      <alignment horizontal="justify"/>
    </xf>
    <xf numFmtId="167" fontId="86" fillId="0" borderId="124" xfId="0" applyNumberFormat="1" applyFont="1" applyBorder="1" applyAlignment="1">
      <alignment horizontal="center"/>
    </xf>
    <xf numFmtId="167" fontId="86" fillId="0" borderId="56" xfId="0" applyNumberFormat="1" applyFont="1" applyBorder="1" applyAlignment="1">
      <alignment horizontal="center"/>
    </xf>
    <xf numFmtId="167" fontId="88" fillId="0" borderId="58" xfId="0" applyNumberFormat="1" applyFont="1" applyBorder="1" applyAlignment="1">
      <alignment horizontal="center"/>
    </xf>
    <xf numFmtId="167" fontId="46" fillId="0" borderId="58" xfId="0" applyNumberFormat="1" applyFont="1" applyBorder="1" applyAlignment="1">
      <alignment horizontal="center"/>
    </xf>
    <xf numFmtId="0" fontId="117" fillId="0" borderId="124" xfId="0" applyFont="1" applyBorder="1"/>
    <xf numFmtId="49" fontId="119" fillId="0" borderId="124" xfId="5" applyNumberFormat="1" applyFont="1" applyBorder="1" applyAlignment="1" applyProtection="1">
      <alignment horizontal="right" vertical="center"/>
      <protection locked="0"/>
    </xf>
    <xf numFmtId="0" fontId="118" fillId="3" borderId="124" xfId="13" applyFont="1" applyFill="1" applyBorder="1" applyAlignment="1" applyProtection="1">
      <alignment horizontal="left" vertical="center" wrapText="1"/>
      <protection locked="0"/>
    </xf>
    <xf numFmtId="49" fontId="118" fillId="3" borderId="124" xfId="5" applyNumberFormat="1" applyFont="1" applyFill="1" applyBorder="1" applyAlignment="1" applyProtection="1">
      <alignment horizontal="right" vertical="center"/>
      <protection locked="0"/>
    </xf>
    <xf numFmtId="0" fontId="118" fillId="0" borderId="124" xfId="13" applyFont="1" applyBorder="1" applyAlignment="1" applyProtection="1">
      <alignment horizontal="left" vertical="center" wrapText="1"/>
      <protection locked="0"/>
    </xf>
    <xf numFmtId="49" fontId="118" fillId="0" borderId="124" xfId="5" applyNumberFormat="1" applyFont="1" applyBorder="1" applyAlignment="1" applyProtection="1">
      <alignment horizontal="right" vertical="center"/>
      <protection locked="0"/>
    </xf>
    <xf numFmtId="0" fontId="120" fillId="0" borderId="124" xfId="13" applyFont="1" applyBorder="1" applyAlignment="1" applyProtection="1">
      <alignment horizontal="left" vertical="center" wrapText="1"/>
      <protection locked="0"/>
    </xf>
    <xf numFmtId="0" fontId="117" fillId="0" borderId="124" xfId="0" applyFont="1" applyBorder="1" applyAlignment="1">
      <alignment horizontal="center" vertical="center" wrapText="1"/>
    </xf>
    <xf numFmtId="14" fontId="114" fillId="0" borderId="0" xfId="0" applyNumberFormat="1" applyFont="1"/>
    <xf numFmtId="43" fontId="97" fillId="0" borderId="0" xfId="7" applyFont="1"/>
    <xf numFmtId="0" fontId="114" fillId="0" borderId="0" xfId="0" applyFont="1" applyAlignment="1">
      <alignment wrapText="1"/>
    </xf>
    <xf numFmtId="166" fontId="113" fillId="36" borderId="124" xfId="20965" applyFont="1" applyFill="1" applyBorder="1"/>
    <xf numFmtId="0" fontId="113" fillId="0" borderId="124" xfId="0" applyFont="1" applyBorder="1"/>
    <xf numFmtId="0" fontId="113" fillId="0" borderId="124" xfId="0" applyFont="1" applyBorder="1" applyAlignment="1">
      <alignment horizontal="left" indent="8"/>
    </xf>
    <xf numFmtId="0" fontId="113" fillId="0" borderId="124" xfId="0" applyFont="1" applyBorder="1" applyAlignment="1">
      <alignment wrapText="1"/>
    </xf>
    <xf numFmtId="0" fontId="117" fillId="0" borderId="0" xfId="0" applyFont="1"/>
    <xf numFmtId="0" fontId="116" fillId="0" borderId="124" xfId="0" applyFont="1" applyBorder="1"/>
    <xf numFmtId="49" fontId="119" fillId="0" borderId="124" xfId="5" applyNumberFormat="1" applyFont="1" applyBorder="1" applyAlignment="1" applyProtection="1">
      <alignment horizontal="right" vertical="center" wrapText="1"/>
      <protection locked="0"/>
    </xf>
    <xf numFmtId="49" fontId="118" fillId="3" borderId="124" xfId="5" applyNumberFormat="1" applyFont="1" applyFill="1" applyBorder="1" applyAlignment="1" applyProtection="1">
      <alignment horizontal="right" vertical="center" wrapText="1"/>
      <protection locked="0"/>
    </xf>
    <xf numFmtId="49" fontId="118" fillId="0" borderId="124" xfId="5" applyNumberFormat="1" applyFont="1" applyBorder="1" applyAlignment="1" applyProtection="1">
      <alignment horizontal="right" vertical="center" wrapText="1"/>
      <protection locked="0"/>
    </xf>
    <xf numFmtId="0" fontId="113" fillId="0" borderId="124" xfId="0" applyFont="1" applyBorder="1" applyAlignment="1">
      <alignment horizontal="center" vertical="center" wrapText="1"/>
    </xf>
    <xf numFmtId="0" fontId="113" fillId="0" borderId="128" xfId="0" applyFont="1" applyBorder="1" applyAlignment="1">
      <alignment horizontal="center" vertical="center" wrapText="1"/>
    </xf>
    <xf numFmtId="0" fontId="113" fillId="0" borderId="124"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Alignment="1">
      <alignment horizontal="left"/>
    </xf>
    <xf numFmtId="0" fontId="113" fillId="0" borderId="124" xfId="0" applyFont="1" applyBorder="1" applyAlignment="1">
      <alignment horizontal="left" vertical="center" wrapText="1"/>
    </xf>
    <xf numFmtId="0" fontId="116" fillId="0" borderId="124" xfId="0" applyFont="1" applyBorder="1" applyAlignment="1">
      <alignment horizontal="left" wrapText="1" indent="1"/>
    </xf>
    <xf numFmtId="0" fontId="116" fillId="0" borderId="124" xfId="0" applyFont="1" applyBorder="1" applyAlignment="1">
      <alignment horizontal="left" vertical="center" indent="1"/>
    </xf>
    <xf numFmtId="0" fontId="114" fillId="0" borderId="124" xfId="0" applyFont="1" applyBorder="1"/>
    <xf numFmtId="0" fontId="113" fillId="0" borderId="124" xfId="0" applyFont="1" applyBorder="1" applyAlignment="1">
      <alignment horizontal="left" wrapText="1" indent="1"/>
    </xf>
    <xf numFmtId="0" fontId="113" fillId="0" borderId="124" xfId="0" applyFont="1" applyBorder="1" applyAlignment="1">
      <alignment horizontal="left" indent="1"/>
    </xf>
    <xf numFmtId="0" fontId="113" fillId="0" borderId="124" xfId="0" applyFont="1" applyBorder="1" applyAlignment="1">
      <alignment horizontal="left" wrapText="1" indent="4"/>
    </xf>
    <xf numFmtId="0" fontId="113" fillId="0" borderId="124" xfId="0" applyFont="1" applyBorder="1" applyAlignment="1">
      <alignment horizontal="left" indent="3"/>
    </xf>
    <xf numFmtId="0" fontId="116" fillId="0" borderId="124" xfId="0" applyFont="1" applyBorder="1" applyAlignment="1">
      <alignment horizontal="left" indent="1"/>
    </xf>
    <xf numFmtId="0" fontId="114" fillId="78" borderId="124" xfId="0" applyFont="1" applyFill="1" applyBorder="1"/>
    <xf numFmtId="0" fontId="117" fillId="0" borderId="7" xfId="0" applyFont="1" applyBorder="1"/>
    <xf numFmtId="0" fontId="114" fillId="0" borderId="124" xfId="0" applyFont="1" applyBorder="1" applyAlignment="1">
      <alignment horizontal="left" wrapText="1" indent="2"/>
    </xf>
    <xf numFmtId="0" fontId="114" fillId="0" borderId="124" xfId="0" applyFont="1" applyBorder="1" applyAlignment="1">
      <alignment horizontal="left" wrapText="1"/>
    </xf>
    <xf numFmtId="0" fontId="113" fillId="0" borderId="124" xfId="0" applyFont="1" applyBorder="1" applyAlignment="1">
      <alignment horizontal="center"/>
    </xf>
    <xf numFmtId="0" fontId="113" fillId="0" borderId="0" xfId="0" applyFont="1" applyAlignment="1">
      <alignment horizontal="center" vertical="center"/>
    </xf>
    <xf numFmtId="0" fontId="113" fillId="0" borderId="7" xfId="0" applyFont="1" applyBorder="1" applyAlignment="1">
      <alignment horizontal="center" vertical="center" wrapText="1"/>
    </xf>
    <xf numFmtId="0" fontId="113" fillId="0" borderId="7" xfId="0" applyFont="1" applyBorder="1" applyAlignment="1">
      <alignment wrapText="1"/>
    </xf>
    <xf numFmtId="0" fontId="113" fillId="0" borderId="0" xfId="0" applyFont="1" applyAlignment="1">
      <alignment horizontal="center" vertical="center" wrapText="1"/>
    </xf>
    <xf numFmtId="0" fontId="113" fillId="0" borderId="103" xfId="0" applyFont="1" applyBorder="1" applyAlignment="1">
      <alignment horizontal="center" vertical="center" wrapText="1"/>
    </xf>
    <xf numFmtId="0" fontId="113" fillId="0" borderId="127" xfId="0" applyFont="1" applyBorder="1" applyAlignment="1">
      <alignment horizontal="center" vertical="center" wrapText="1"/>
    </xf>
    <xf numFmtId="0" fontId="113" fillId="0" borderId="104" xfId="0" applyFont="1" applyBorder="1" applyAlignment="1">
      <alignment horizontal="center" vertical="center" wrapText="1"/>
    </xf>
    <xf numFmtId="49" fontId="113" fillId="0" borderId="23" xfId="0" applyNumberFormat="1" applyFont="1" applyBorder="1" applyAlignment="1">
      <alignment horizontal="left" wrapText="1" indent="1"/>
    </xf>
    <xf numFmtId="0" fontId="113" fillId="0" borderId="21" xfId="0" applyFont="1" applyBorder="1" applyAlignment="1">
      <alignment horizontal="left" wrapText="1" indent="1"/>
    </xf>
    <xf numFmtId="49" fontId="113" fillId="0" borderId="81" xfId="0" applyNumberFormat="1" applyFont="1" applyBorder="1" applyAlignment="1">
      <alignment horizontal="left" wrapText="1" indent="1"/>
    </xf>
    <xf numFmtId="0" fontId="113" fillId="0" borderId="18" xfId="0" applyFont="1" applyBorder="1" applyAlignment="1">
      <alignment horizontal="left" wrapText="1" indent="1"/>
    </xf>
    <xf numFmtId="49" fontId="113" fillId="0" borderId="18" xfId="0" applyNumberFormat="1" applyFont="1" applyBorder="1" applyAlignment="1">
      <alignment horizontal="left" wrapText="1" indent="3"/>
    </xf>
    <xf numFmtId="49" fontId="113" fillId="0" borderId="81" xfId="0" applyNumberFormat="1" applyFont="1" applyBorder="1" applyAlignment="1">
      <alignment horizontal="left" wrapText="1" indent="3"/>
    </xf>
    <xf numFmtId="49" fontId="113" fillId="0" borderId="18" xfId="0" applyNumberFormat="1" applyFont="1" applyBorder="1" applyAlignment="1">
      <alignment horizontal="left" wrapText="1" indent="2"/>
    </xf>
    <xf numFmtId="49" fontId="113" fillId="0" borderId="81" xfId="0" applyNumberFormat="1" applyFont="1" applyBorder="1" applyAlignment="1">
      <alignment horizontal="left" wrapText="1" indent="2"/>
    </xf>
    <xf numFmtId="49" fontId="113" fillId="0" borderId="81" xfId="0" applyNumberFormat="1" applyFont="1" applyBorder="1" applyAlignment="1">
      <alignment horizontal="left" vertical="top" wrapText="1" indent="2"/>
    </xf>
    <xf numFmtId="49" fontId="113" fillId="0" borderId="81" xfId="0" applyNumberFormat="1" applyFont="1" applyBorder="1" applyAlignment="1">
      <alignment horizontal="left" indent="1"/>
    </xf>
    <xf numFmtId="0" fontId="113" fillId="0" borderId="18" xfId="0" applyFont="1" applyBorder="1" applyAlignment="1">
      <alignment horizontal="left" indent="1"/>
    </xf>
    <xf numFmtId="49" fontId="113" fillId="0" borderId="18" xfId="0" applyNumberFormat="1" applyFont="1" applyBorder="1" applyAlignment="1">
      <alignment horizontal="left" indent="1"/>
    </xf>
    <xf numFmtId="49" fontId="113" fillId="0" borderId="18" xfId="0" applyNumberFormat="1" applyFont="1" applyBorder="1" applyAlignment="1">
      <alignment horizontal="left" indent="3"/>
    </xf>
    <xf numFmtId="49" fontId="113" fillId="0" borderId="81" xfId="0" applyNumberFormat="1" applyFont="1" applyBorder="1" applyAlignment="1">
      <alignment horizontal="left" indent="3"/>
    </xf>
    <xf numFmtId="0" fontId="113" fillId="0" borderId="18" xfId="0" applyFont="1" applyBorder="1" applyAlignment="1">
      <alignment horizontal="left" indent="2"/>
    </xf>
    <xf numFmtId="0" fontId="113" fillId="0" borderId="81" xfId="0" applyFont="1" applyBorder="1" applyAlignment="1">
      <alignment horizontal="left" indent="2"/>
    </xf>
    <xf numFmtId="0" fontId="113" fillId="0" borderId="81" xfId="0" applyFont="1" applyBorder="1" applyAlignment="1">
      <alignment horizontal="left" indent="1"/>
    </xf>
    <xf numFmtId="0" fontId="116" fillId="0" borderId="64" xfId="0" applyFont="1" applyBorder="1"/>
    <xf numFmtId="0" fontId="113" fillId="0" borderId="67" xfId="0" applyFont="1" applyBorder="1"/>
    <xf numFmtId="0" fontId="113" fillId="0" borderId="75" xfId="0" applyFont="1" applyBorder="1" applyAlignment="1">
      <alignment horizontal="center" vertical="center" wrapText="1"/>
    </xf>
    <xf numFmtId="0" fontId="113" fillId="0" borderId="81" xfId="0" applyFont="1" applyBorder="1" applyAlignment="1">
      <alignment horizontal="center" vertical="center" wrapText="1"/>
    </xf>
    <xf numFmtId="0" fontId="113" fillId="0" borderId="0" xfId="0" applyFont="1" applyAlignment="1">
      <alignment horizontal="left"/>
    </xf>
    <xf numFmtId="0" fontId="116" fillId="0" borderId="124" xfId="0" applyFont="1" applyBorder="1" applyAlignment="1">
      <alignment horizontal="left" vertical="center" wrapText="1"/>
    </xf>
    <xf numFmtId="0" fontId="118" fillId="0" borderId="0" xfId="0" applyFont="1"/>
    <xf numFmtId="0" fontId="95" fillId="0" borderId="0" xfId="0" applyFont="1" applyAlignment="1">
      <alignment wrapText="1"/>
    </xf>
    <xf numFmtId="0" fontId="116" fillId="0" borderId="124"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19" xfId="0" applyFont="1" applyBorder="1" applyAlignment="1">
      <alignment horizontal="left" vertical="center" wrapText="1" indent="1" readingOrder="1"/>
    </xf>
    <xf numFmtId="0" fontId="134" fillId="0" borderId="124" xfId="0" applyFont="1" applyBorder="1" applyAlignment="1">
      <alignment horizontal="left" indent="3"/>
    </xf>
    <xf numFmtId="0" fontId="116" fillId="0" borderId="124" xfId="0" applyFont="1" applyBorder="1" applyAlignment="1">
      <alignment vertical="center" wrapText="1" readingOrder="1"/>
    </xf>
    <xf numFmtId="0" fontId="134" fillId="0" borderId="124" xfId="0" applyFont="1" applyBorder="1" applyAlignment="1">
      <alignment horizontal="left" indent="2"/>
    </xf>
    <xf numFmtId="0" fontId="113" fillId="0" borderId="120" xfId="0" applyFont="1" applyBorder="1" applyAlignment="1">
      <alignment vertical="center" wrapText="1" readingOrder="1"/>
    </xf>
    <xf numFmtId="0" fontId="134" fillId="0" borderId="128" xfId="0" applyFont="1" applyBorder="1" applyAlignment="1">
      <alignment horizontal="left" indent="2"/>
    </xf>
    <xf numFmtId="0" fontId="113" fillId="0" borderId="119" xfId="0" applyFont="1" applyBorder="1" applyAlignment="1">
      <alignment vertical="center" wrapText="1" readingOrder="1"/>
    </xf>
    <xf numFmtId="0" fontId="113" fillId="0" borderId="118" xfId="0" applyFont="1" applyBorder="1" applyAlignment="1">
      <alignment vertical="center" wrapText="1" readingOrder="1"/>
    </xf>
    <xf numFmtId="0" fontId="134" fillId="0" borderId="7" xfId="0" applyFont="1" applyBorder="1"/>
    <xf numFmtId="0" fontId="2" fillId="0" borderId="15" xfId="0" applyFont="1" applyBorder="1" applyAlignment="1">
      <alignment horizontal="left" vertical="center" wrapText="1" indent="1"/>
    </xf>
    <xf numFmtId="169" fontId="2" fillId="37" borderId="63" xfId="20" applyFont="1" applyBorder="1"/>
    <xf numFmtId="193" fontId="84" fillId="0" borderId="18" xfId="0" applyNumberFormat="1" applyFont="1" applyBorder="1" applyAlignment="1" applyProtection="1">
      <alignment vertical="center" wrapText="1"/>
      <protection locked="0"/>
    </xf>
    <xf numFmtId="193" fontId="84" fillId="0" borderId="124" xfId="0" applyNumberFormat="1" applyFont="1" applyBorder="1" applyAlignment="1" applyProtection="1">
      <alignment vertical="center" wrapText="1"/>
      <protection locked="0"/>
    </xf>
    <xf numFmtId="193" fontId="87" fillId="2" borderId="18" xfId="0" applyNumberFormat="1" applyFont="1" applyFill="1" applyBorder="1" applyAlignment="1" applyProtection="1">
      <alignment vertical="center"/>
      <protection locked="0"/>
    </xf>
    <xf numFmtId="193" fontId="87" fillId="2" borderId="124" xfId="0" applyNumberFormat="1" applyFont="1" applyFill="1" applyBorder="1" applyAlignment="1" applyProtection="1">
      <alignment vertical="center"/>
      <protection locked="0"/>
    </xf>
    <xf numFmtId="193" fontId="84" fillId="0" borderId="18" xfId="0" applyNumberFormat="1" applyFont="1" applyBorder="1" applyAlignment="1" applyProtection="1">
      <alignment horizontal="center" vertical="center" wrapText="1"/>
      <protection locked="0"/>
    </xf>
    <xf numFmtId="193" fontId="84" fillId="0" borderId="124" xfId="0" applyNumberFormat="1" applyFont="1" applyBorder="1" applyAlignment="1" applyProtection="1">
      <alignment horizontal="center" vertical="center" wrapText="1"/>
      <protection locked="0"/>
    </xf>
    <xf numFmtId="193" fontId="87" fillId="2" borderId="86" xfId="0" applyNumberFormat="1" applyFont="1" applyFill="1" applyBorder="1" applyAlignment="1" applyProtection="1">
      <alignment vertical="center"/>
      <protection locked="0"/>
    </xf>
    <xf numFmtId="193" fontId="87" fillId="2" borderId="128" xfId="0" applyNumberFormat="1" applyFont="1" applyFill="1" applyBorder="1" applyAlignment="1" applyProtection="1">
      <alignment vertical="center"/>
      <protection locked="0"/>
    </xf>
    <xf numFmtId="193" fontId="87" fillId="2" borderId="21" xfId="0" applyNumberFormat="1" applyFont="1" applyFill="1" applyBorder="1" applyAlignment="1" applyProtection="1">
      <alignment vertical="center"/>
      <protection locked="0"/>
    </xf>
    <xf numFmtId="167" fontId="136" fillId="80" borderId="57" xfId="0" applyNumberFormat="1" applyFont="1" applyFill="1" applyBorder="1" applyAlignment="1">
      <alignment horizontal="center"/>
    </xf>
    <xf numFmtId="0" fontId="2" fillId="81" borderId="0" xfId="13" applyFont="1" applyFill="1" applyAlignment="1" applyProtection="1">
      <alignment wrapText="1"/>
      <protection locked="0"/>
    </xf>
    <xf numFmtId="0" fontId="85" fillId="0" borderId="124" xfId="0" applyFont="1" applyBorder="1"/>
    <xf numFmtId="0" fontId="137" fillId="0" borderId="125" xfId="0" applyFont="1" applyBorder="1" applyAlignment="1">
      <alignment wrapText="1"/>
    </xf>
    <xf numFmtId="0" fontId="6" fillId="0" borderId="124" xfId="17" applyBorder="1" applyAlignment="1" applyProtection="1"/>
    <xf numFmtId="193" fontId="97" fillId="0" borderId="124" xfId="0" applyNumberFormat="1" applyFont="1" applyBorder="1" applyAlignment="1" applyProtection="1">
      <alignment vertical="center" wrapText="1"/>
      <protection locked="0"/>
    </xf>
    <xf numFmtId="164" fontId="97" fillId="0" borderId="124" xfId="7" applyNumberFormat="1" applyFont="1" applyBorder="1" applyAlignment="1" applyProtection="1">
      <alignment vertical="center" wrapText="1"/>
      <protection locked="0"/>
    </xf>
    <xf numFmtId="164" fontId="3" fillId="0" borderId="124" xfId="7" applyNumberFormat="1" applyFont="1" applyBorder="1" applyAlignment="1" applyProtection="1">
      <alignment vertical="center" wrapText="1"/>
      <protection locked="0"/>
    </xf>
    <xf numFmtId="193" fontId="97" fillId="0" borderId="124" xfId="0" applyNumberFormat="1" applyFont="1" applyBorder="1" applyAlignment="1" applyProtection="1">
      <alignment horizontal="right" vertical="center" wrapText="1"/>
      <protection locked="0"/>
    </xf>
    <xf numFmtId="193" fontId="3" fillId="0" borderId="124" xfId="0" applyNumberFormat="1" applyFont="1" applyBorder="1" applyAlignment="1" applyProtection="1">
      <alignment vertical="center" wrapText="1"/>
      <protection locked="0"/>
    </xf>
    <xf numFmtId="10" fontId="3" fillId="0" borderId="124" xfId="20962" applyNumberFormat="1" applyFont="1" applyFill="1" applyBorder="1" applyAlignment="1" applyProtection="1">
      <alignment horizontal="right" vertical="center" wrapText="1"/>
      <protection locked="0"/>
    </xf>
    <xf numFmtId="10" fontId="3" fillId="0" borderId="124" xfId="20962" applyNumberFormat="1" applyFont="1" applyFill="1" applyBorder="1" applyAlignment="1" applyProtection="1">
      <alignment horizontal="right" vertical="center" wrapText="1"/>
    </xf>
    <xf numFmtId="10" fontId="3" fillId="0" borderId="124" xfId="20962" applyNumberFormat="1" applyFont="1" applyBorder="1" applyAlignment="1" applyProtection="1">
      <alignment vertical="center" wrapText="1"/>
      <protection locked="0"/>
    </xf>
    <xf numFmtId="10" fontId="95" fillId="0" borderId="124" xfId="20962" applyNumberFormat="1" applyFont="1" applyFill="1" applyBorder="1" applyAlignment="1" applyProtection="1">
      <alignment vertical="center"/>
      <protection locked="0"/>
    </xf>
    <xf numFmtId="10" fontId="138" fillId="2" borderId="124" xfId="20962" applyNumberFormat="1" applyFont="1" applyFill="1" applyBorder="1" applyAlignment="1" applyProtection="1">
      <alignment vertical="center"/>
      <protection locked="0"/>
    </xf>
    <xf numFmtId="10" fontId="138" fillId="2" borderId="81" xfId="20962" applyNumberFormat="1" applyFont="1" applyFill="1" applyBorder="1" applyAlignment="1" applyProtection="1">
      <alignment vertical="center"/>
      <protection locked="0"/>
    </xf>
    <xf numFmtId="10" fontId="95" fillId="2" borderId="124" xfId="20962" applyNumberFormat="1" applyFont="1" applyFill="1" applyBorder="1" applyAlignment="1" applyProtection="1">
      <alignment vertical="center"/>
      <protection locked="0"/>
    </xf>
    <xf numFmtId="10" fontId="138" fillId="2" borderId="124" xfId="20962" applyNumberFormat="1" applyFont="1" applyFill="1" applyBorder="1" applyAlignment="1" applyProtection="1">
      <alignment vertical="center"/>
    </xf>
    <xf numFmtId="193" fontId="95" fillId="0" borderId="124" xfId="0" applyNumberFormat="1" applyFont="1" applyBorder="1" applyAlignment="1" applyProtection="1">
      <alignment vertical="center"/>
      <protection locked="0"/>
    </xf>
    <xf numFmtId="164" fontId="95" fillId="0" borderId="124" xfId="7" applyNumberFormat="1" applyFont="1" applyFill="1" applyBorder="1" applyAlignment="1" applyProtection="1">
      <alignment vertical="center"/>
      <protection locked="0"/>
    </xf>
    <xf numFmtId="164" fontId="95" fillId="2" borderId="124" xfId="7" applyNumberFormat="1" applyFont="1" applyFill="1" applyBorder="1" applyAlignment="1" applyProtection="1">
      <alignment vertical="center"/>
      <protection locked="0"/>
    </xf>
    <xf numFmtId="164" fontId="138" fillId="2" borderId="124" xfId="7" applyNumberFormat="1" applyFont="1" applyFill="1" applyBorder="1" applyAlignment="1" applyProtection="1">
      <alignment vertical="center"/>
      <protection locked="0"/>
    </xf>
    <xf numFmtId="9" fontId="95" fillId="0" borderId="124" xfId="20962" applyFont="1" applyFill="1" applyBorder="1" applyAlignment="1" applyProtection="1">
      <alignment vertical="center"/>
      <protection locked="0"/>
    </xf>
    <xf numFmtId="9" fontId="95" fillId="2" borderId="124" xfId="20962" applyFont="1" applyFill="1" applyBorder="1" applyAlignment="1" applyProtection="1">
      <alignment vertical="center"/>
    </xf>
    <xf numFmtId="10" fontId="95" fillId="2" borderId="124" xfId="20962" applyNumberFormat="1" applyFont="1" applyFill="1" applyBorder="1" applyAlignment="1" applyProtection="1">
      <alignment vertical="center"/>
    </xf>
    <xf numFmtId="193" fontId="95" fillId="2" borderId="124" xfId="0" applyNumberFormat="1" applyFont="1" applyFill="1" applyBorder="1" applyAlignment="1" applyProtection="1">
      <alignment vertical="center"/>
      <protection locked="0"/>
    </xf>
    <xf numFmtId="193" fontId="138" fillId="2" borderId="124" xfId="0" applyNumberFormat="1" applyFont="1" applyFill="1" applyBorder="1" applyAlignment="1" applyProtection="1">
      <alignment vertical="center"/>
      <protection locked="0"/>
    </xf>
    <xf numFmtId="193" fontId="95" fillId="2" borderId="128" xfId="0" applyNumberFormat="1" applyFont="1" applyFill="1" applyBorder="1" applyAlignment="1" applyProtection="1">
      <alignment vertical="center"/>
      <protection locked="0"/>
    </xf>
    <xf numFmtId="193" fontId="138" fillId="2" borderId="128" xfId="0" applyNumberFormat="1" applyFont="1" applyFill="1" applyBorder="1" applyAlignment="1" applyProtection="1">
      <alignment vertical="center"/>
      <protection locked="0"/>
    </xf>
    <xf numFmtId="10" fontId="95" fillId="2" borderId="22" xfId="20962" applyNumberFormat="1" applyFont="1" applyFill="1" applyBorder="1" applyAlignment="1" applyProtection="1">
      <alignment vertical="center"/>
      <protection locked="0"/>
    </xf>
    <xf numFmtId="9" fontId="138" fillId="2" borderId="22" xfId="20962" applyFont="1" applyFill="1" applyBorder="1" applyAlignment="1" applyProtection="1">
      <alignment vertical="center"/>
      <protection locked="0"/>
    </xf>
    <xf numFmtId="9" fontId="95" fillId="2" borderId="22" xfId="20962" applyFont="1" applyFill="1" applyBorder="1" applyAlignment="1" applyProtection="1">
      <alignment vertical="center"/>
      <protection locked="0"/>
    </xf>
    <xf numFmtId="164" fontId="0" fillId="0" borderId="124" xfId="7" applyNumberFormat="1" applyFont="1" applyBorder="1"/>
    <xf numFmtId="164" fontId="0" fillId="0" borderId="124" xfId="7" applyNumberFormat="1" applyFont="1" applyBorder="1" applyAlignment="1">
      <alignment vertical="center"/>
    </xf>
    <xf numFmtId="164" fontId="0" fillId="36" borderId="111" xfId="7" applyNumberFormat="1" applyFont="1" applyFill="1" applyBorder="1"/>
    <xf numFmtId="164" fontId="0" fillId="36" borderId="111" xfId="7" applyNumberFormat="1" applyFont="1" applyFill="1" applyBorder="1" applyAlignment="1">
      <alignment vertical="center"/>
    </xf>
    <xf numFmtId="164" fontId="0" fillId="36" borderId="124" xfId="7" applyNumberFormat="1" applyFont="1" applyFill="1" applyBorder="1"/>
    <xf numFmtId="164" fontId="0" fillId="0" borderId="124" xfId="7" applyNumberFormat="1" applyFont="1" applyFill="1" applyBorder="1"/>
    <xf numFmtId="164" fontId="95" fillId="36" borderId="81" xfId="7" applyNumberFormat="1" applyFont="1" applyFill="1" applyBorder="1" applyAlignment="1">
      <alignment horizontal="right"/>
    </xf>
    <xf numFmtId="0" fontId="2" fillId="0" borderId="125" xfId="0" applyFont="1" applyBorder="1" applyAlignment="1">
      <alignment wrapText="1"/>
    </xf>
    <xf numFmtId="0" fontId="84" fillId="0" borderId="81" xfId="0" applyFont="1" applyBorder="1"/>
    <xf numFmtId="0" fontId="2" fillId="0" borderId="81" xfId="0" applyFont="1" applyBorder="1"/>
    <xf numFmtId="10" fontId="3" fillId="0" borderId="81" xfId="20962" applyNumberFormat="1" applyFont="1" applyBorder="1"/>
    <xf numFmtId="0" fontId="139" fillId="0" borderId="125" xfId="0" applyFont="1" applyBorder="1" applyAlignment="1">
      <alignment wrapText="1"/>
    </xf>
    <xf numFmtId="0" fontId="2" fillId="0" borderId="86" xfId="0" applyFont="1" applyBorder="1" applyAlignment="1">
      <alignment vertical="center"/>
    </xf>
    <xf numFmtId="0" fontId="2" fillId="0" borderId="103" xfId="0" applyFont="1" applyBorder="1" applyAlignment="1">
      <alignment wrapText="1"/>
    </xf>
    <xf numFmtId="10" fontId="3" fillId="0" borderId="89" xfId="20962" applyNumberFormat="1" applyFont="1" applyBorder="1"/>
    <xf numFmtId="164" fontId="4" fillId="0" borderId="124" xfId="7" applyNumberFormat="1" applyFont="1" applyFill="1" applyBorder="1" applyAlignment="1">
      <alignment vertical="center" wrapText="1"/>
    </xf>
    <xf numFmtId="164" fontId="3" fillId="0" borderId="124" xfId="7" applyNumberFormat="1" applyFont="1" applyFill="1" applyBorder="1" applyAlignment="1">
      <alignment vertical="center" wrapText="1"/>
    </xf>
    <xf numFmtId="164" fontId="3" fillId="0" borderId="124" xfId="7" applyNumberFormat="1" applyFont="1" applyBorder="1" applyAlignment="1">
      <alignment vertical="center"/>
    </xf>
    <xf numFmtId="164" fontId="4" fillId="0" borderId="124" xfId="7" applyNumberFormat="1" applyFont="1" applyBorder="1" applyAlignment="1">
      <alignment vertical="center"/>
    </xf>
    <xf numFmtId="193" fontId="97" fillId="36" borderId="81" xfId="2" applyNumberFormat="1" applyFont="1" applyFill="1" applyBorder="1" applyAlignment="1" applyProtection="1">
      <alignment vertical="top"/>
    </xf>
    <xf numFmtId="193" fontId="97" fillId="3" borderId="81" xfId="2" applyNumberFormat="1" applyFont="1" applyFill="1" applyBorder="1" applyAlignment="1" applyProtection="1">
      <alignment vertical="top"/>
      <protection locked="0"/>
    </xf>
    <xf numFmtId="193" fontId="97" fillId="36" borderId="81" xfId="2" applyNumberFormat="1" applyFont="1" applyFill="1" applyBorder="1" applyAlignment="1" applyProtection="1">
      <alignment vertical="top" wrapText="1"/>
    </xf>
    <xf numFmtId="193" fontId="97" fillId="3" borderId="81" xfId="2" applyNumberFormat="1" applyFont="1" applyFill="1" applyBorder="1" applyAlignment="1" applyProtection="1">
      <alignment vertical="top" wrapText="1"/>
      <protection locked="0"/>
    </xf>
    <xf numFmtId="193" fontId="97" fillId="36" borderId="81" xfId="2" applyNumberFormat="1" applyFont="1" applyFill="1" applyBorder="1" applyAlignment="1" applyProtection="1">
      <alignment vertical="top" wrapText="1"/>
      <protection locked="0"/>
    </xf>
    <xf numFmtId="193" fontId="97" fillId="36" borderId="23" xfId="2" applyNumberFormat="1" applyFont="1" applyFill="1" applyBorder="1" applyAlignment="1" applyProtection="1">
      <alignment vertical="top" wrapText="1"/>
    </xf>
    <xf numFmtId="10" fontId="101" fillId="0" borderId="124" xfId="20962" applyNumberFormat="1" applyFont="1" applyFill="1" applyBorder="1" applyAlignment="1">
      <alignment horizontal="left" vertical="center" wrapText="1"/>
    </xf>
    <xf numFmtId="164" fontId="3" fillId="0" borderId="81" xfId="7" applyNumberFormat="1" applyFont="1" applyBorder="1" applyAlignment="1">
      <alignment horizontal="right" vertical="center" wrapText="1"/>
    </xf>
    <xf numFmtId="164" fontId="4" fillId="36" borderId="81" xfId="7" applyNumberFormat="1" applyFont="1" applyFill="1" applyBorder="1" applyAlignment="1">
      <alignment horizontal="left" vertical="center" wrapText="1"/>
    </xf>
    <xf numFmtId="164" fontId="4" fillId="36" borderId="81" xfId="7" applyNumberFormat="1" applyFont="1" applyFill="1" applyBorder="1" applyAlignment="1">
      <alignment horizontal="center" vertical="center" wrapText="1"/>
    </xf>
    <xf numFmtId="164" fontId="3" fillId="0" borderId="23" xfId="7" applyNumberFormat="1" applyFont="1" applyBorder="1" applyAlignment="1">
      <alignment horizontal="right" vertical="center" wrapText="1"/>
    </xf>
    <xf numFmtId="193" fontId="140" fillId="0" borderId="31" xfId="0" applyNumberFormat="1" applyFont="1" applyBorder="1" applyAlignment="1">
      <alignment horizontal="center" vertical="center"/>
    </xf>
    <xf numFmtId="193" fontId="141" fillId="0" borderId="11" xfId="0" applyNumberFormat="1" applyFont="1" applyBorder="1" applyAlignment="1">
      <alignment horizontal="center" vertical="center"/>
    </xf>
    <xf numFmtId="193" fontId="140" fillId="0" borderId="11" xfId="0" applyNumberFormat="1" applyFont="1" applyBorder="1" applyAlignment="1">
      <alignment horizontal="center" vertical="center"/>
    </xf>
    <xf numFmtId="193" fontId="136" fillId="0" borderId="11" xfId="0" applyNumberFormat="1" applyFont="1" applyBorder="1" applyAlignment="1">
      <alignment horizontal="center" vertical="center"/>
    </xf>
    <xf numFmtId="193" fontId="142" fillId="0" borderId="11" xfId="0" applyNumberFormat="1" applyFont="1" applyBorder="1" applyAlignment="1">
      <alignment horizontal="center" vertical="center"/>
    </xf>
    <xf numFmtId="193" fontId="141" fillId="0" borderId="12" xfId="0" applyNumberFormat="1" applyFont="1" applyBorder="1" applyAlignment="1">
      <alignment horizontal="center" vertical="center"/>
    </xf>
    <xf numFmtId="193" fontId="140" fillId="0" borderId="13" xfId="0" applyNumberFormat="1" applyFont="1" applyBorder="1" applyAlignment="1">
      <alignment horizontal="center" vertical="center"/>
    </xf>
    <xf numFmtId="193" fontId="140" fillId="0" borderId="14" xfId="0" applyNumberFormat="1" applyFont="1" applyBorder="1" applyAlignment="1">
      <alignment horizontal="center" vertical="center"/>
    </xf>
    <xf numFmtId="193" fontId="140" fillId="0" borderId="12" xfId="0" applyNumberFormat="1" applyFont="1" applyBorder="1" applyAlignment="1">
      <alignment horizontal="center" vertical="center"/>
    </xf>
    <xf numFmtId="193" fontId="136" fillId="0" borderId="12" xfId="0" applyNumberFormat="1" applyFont="1" applyBorder="1" applyAlignment="1">
      <alignment vertical="center"/>
    </xf>
    <xf numFmtId="193" fontId="141" fillId="0" borderId="124" xfId="0" applyNumberFormat="1" applyFont="1" applyBorder="1" applyAlignment="1">
      <alignment horizontal="center" vertical="center"/>
    </xf>
    <xf numFmtId="193" fontId="140" fillId="0" borderId="124" xfId="0" applyNumberFormat="1" applyFont="1" applyBorder="1" applyAlignment="1">
      <alignment horizontal="center" vertical="center"/>
    </xf>
    <xf numFmtId="0" fontId="141" fillId="0" borderId="124" xfId="0" applyFont="1" applyBorder="1" applyAlignment="1">
      <alignment horizontal="center"/>
    </xf>
    <xf numFmtId="0" fontId="141" fillId="0" borderId="124" xfId="0" applyFont="1" applyBorder="1"/>
    <xf numFmtId="0" fontId="140" fillId="0" borderId="124" xfId="0" applyFont="1" applyBorder="1" applyAlignment="1">
      <alignment horizontal="center" vertical="center"/>
    </xf>
    <xf numFmtId="0" fontId="141" fillId="0" borderId="124" xfId="0" applyFont="1" applyBorder="1" applyAlignment="1">
      <alignment horizontal="center" vertical="center"/>
    </xf>
    <xf numFmtId="193" fontId="3" fillId="0" borderId="124" xfId="0" applyNumberFormat="1" applyFont="1" applyBorder="1"/>
    <xf numFmtId="193" fontId="3" fillId="0" borderId="125" xfId="0" applyNumberFormat="1" applyFont="1" applyBorder="1"/>
    <xf numFmtId="9" fontId="3" fillId="0" borderId="81" xfId="20962" applyFont="1" applyBorder="1"/>
    <xf numFmtId="164" fontId="3" fillId="0" borderId="125" xfId="7" applyNumberFormat="1" applyFont="1" applyBorder="1" applyAlignment="1">
      <alignment vertical="center"/>
    </xf>
    <xf numFmtId="164" fontId="3" fillId="3" borderId="126" xfId="7" applyNumberFormat="1" applyFont="1" applyFill="1" applyBorder="1" applyAlignment="1">
      <alignment vertical="center"/>
    </xf>
    <xf numFmtId="164" fontId="3" fillId="3" borderId="84" xfId="7" applyNumberFormat="1" applyFont="1" applyFill="1" applyBorder="1" applyAlignment="1">
      <alignment vertical="center"/>
    </xf>
    <xf numFmtId="164" fontId="3" fillId="0" borderId="81" xfId="7" applyNumberFormat="1" applyFont="1" applyBorder="1" applyAlignment="1">
      <alignment vertical="center"/>
    </xf>
    <xf numFmtId="164" fontId="4" fillId="0" borderId="125" xfId="7" applyNumberFormat="1" applyFont="1" applyBorder="1" applyAlignment="1">
      <alignment vertical="center"/>
    </xf>
    <xf numFmtId="164" fontId="4" fillId="0" borderId="22" xfId="0" applyNumberFormat="1" applyFont="1" applyBorder="1" applyAlignment="1">
      <alignment vertical="center"/>
    </xf>
    <xf numFmtId="164" fontId="3" fillId="0" borderId="85" xfId="7" applyNumberFormat="1" applyFont="1" applyBorder="1" applyAlignment="1">
      <alignment vertical="center"/>
    </xf>
    <xf numFmtId="164" fontId="3" fillId="0" borderId="26" xfId="7" applyNumberFormat="1" applyFont="1" applyFill="1" applyBorder="1" applyAlignment="1">
      <alignment vertical="center"/>
    </xf>
    <xf numFmtId="164" fontId="4" fillId="0" borderId="26" xfId="0" applyNumberFormat="1" applyFont="1" applyBorder="1" applyAlignment="1">
      <alignment vertical="center"/>
    </xf>
    <xf numFmtId="164" fontId="4" fillId="0" borderId="17" xfId="0" applyNumberFormat="1" applyFont="1" applyBorder="1" applyAlignment="1">
      <alignment vertical="center"/>
    </xf>
    <xf numFmtId="164" fontId="3" fillId="0" borderId="103" xfId="7" applyNumberFormat="1" applyFont="1" applyFill="1" applyBorder="1" applyAlignment="1">
      <alignment vertical="center"/>
    </xf>
    <xf numFmtId="9" fontId="3" fillId="0" borderId="92" xfId="20962" applyFont="1" applyFill="1" applyBorder="1" applyAlignment="1">
      <alignment vertical="center"/>
    </xf>
    <xf numFmtId="9" fontId="3" fillId="0" borderId="134" xfId="20962" applyFont="1" applyFill="1" applyBorder="1" applyAlignment="1">
      <alignment vertical="center"/>
    </xf>
    <xf numFmtId="164" fontId="106" fillId="0" borderId="124" xfId="948" applyNumberFormat="1" applyFont="1" applyFill="1" applyBorder="1" applyAlignment="1" applyProtection="1">
      <alignment horizontal="right" vertical="center"/>
      <protection locked="0"/>
    </xf>
    <xf numFmtId="164" fontId="106" fillId="77" borderId="124" xfId="948" applyNumberFormat="1" applyFont="1" applyFill="1" applyBorder="1" applyAlignment="1" applyProtection="1">
      <alignment horizontal="right" vertical="center"/>
    </xf>
    <xf numFmtId="164" fontId="45" fillId="76" borderId="127" xfId="948" applyNumberFormat="1" applyFont="1" applyFill="1" applyBorder="1" applyAlignment="1" applyProtection="1">
      <alignment horizontal="right" vertical="center"/>
      <protection locked="0"/>
    </xf>
    <xf numFmtId="164" fontId="105" fillId="76" borderId="127" xfId="948" applyNumberFormat="1" applyFont="1" applyFill="1" applyBorder="1" applyAlignment="1" applyProtection="1">
      <alignment horizontal="right" vertical="center"/>
      <protection locked="0"/>
    </xf>
    <xf numFmtId="164" fontId="106" fillId="3" borderId="124" xfId="948" applyNumberFormat="1" applyFont="1" applyFill="1" applyBorder="1" applyAlignment="1" applyProtection="1">
      <alignment horizontal="right" vertical="center"/>
      <protection locked="0"/>
    </xf>
    <xf numFmtId="10" fontId="106" fillId="77" borderId="124" xfId="20962" applyNumberFormat="1" applyFont="1" applyFill="1" applyBorder="1" applyAlignment="1" applyProtection="1">
      <alignment horizontal="right" vertical="center"/>
    </xf>
    <xf numFmtId="164" fontId="4" fillId="0" borderId="124" xfId="7" applyNumberFormat="1" applyFont="1" applyBorder="1"/>
    <xf numFmtId="164" fontId="3" fillId="0" borderId="124" xfId="7" applyNumberFormat="1" applyFont="1" applyBorder="1"/>
    <xf numFmtId="169" fontId="9" fillId="37" borderId="124" xfId="20" applyBorder="1"/>
    <xf numFmtId="164" fontId="3" fillId="0" borderId="124" xfId="7" applyNumberFormat="1" applyFont="1" applyBorder="1" applyAlignment="1"/>
    <xf numFmtId="164" fontId="3" fillId="0" borderId="81" xfId="7" applyNumberFormat="1" applyFont="1" applyBorder="1" applyAlignment="1"/>
    <xf numFmtId="164" fontId="4" fillId="0" borderId="124" xfId="7" applyNumberFormat="1" applyFont="1" applyFill="1" applyBorder="1"/>
    <xf numFmtId="164" fontId="4" fillId="0" borderId="124" xfId="7" applyNumberFormat="1" applyFont="1" applyFill="1" applyBorder="1" applyAlignment="1">
      <alignment vertical="center"/>
    </xf>
    <xf numFmtId="164" fontId="117" fillId="0" borderId="124" xfId="7" applyNumberFormat="1" applyFont="1" applyBorder="1"/>
    <xf numFmtId="164" fontId="113" fillId="0" borderId="124" xfId="7" applyNumberFormat="1" applyFont="1" applyBorder="1"/>
    <xf numFmtId="164" fontId="116" fillId="0" borderId="124" xfId="7" applyNumberFormat="1" applyFont="1" applyBorder="1"/>
    <xf numFmtId="164" fontId="114" fillId="0" borderId="124" xfId="7" applyNumberFormat="1" applyFont="1" applyBorder="1"/>
    <xf numFmtId="164" fontId="113" fillId="0" borderId="124" xfId="0" applyNumberFormat="1" applyFont="1" applyBorder="1" applyAlignment="1">
      <alignment horizontal="left" indent="1"/>
    </xf>
    <xf numFmtId="164" fontId="116" fillId="0" borderId="124" xfId="0" applyNumberFormat="1" applyFont="1" applyBorder="1" applyAlignment="1">
      <alignment horizontal="left" indent="1"/>
    </xf>
    <xf numFmtId="164" fontId="116" fillId="0" borderId="124" xfId="0" applyNumberFormat="1" applyFont="1" applyBorder="1"/>
    <xf numFmtId="164" fontId="116" fillId="82" borderId="124" xfId="7" applyNumberFormat="1" applyFont="1" applyFill="1" applyBorder="1"/>
    <xf numFmtId="164" fontId="116" fillId="0" borderId="124" xfId="7" applyNumberFormat="1" applyFont="1" applyBorder="1" applyAlignment="1">
      <alignment horizontal="left" indent="1"/>
    </xf>
    <xf numFmtId="164" fontId="116" fillId="0" borderId="67" xfId="0" applyNumberFormat="1" applyFont="1" applyBorder="1"/>
    <xf numFmtId="164" fontId="113" fillId="0" borderId="81" xfId="7" applyNumberFormat="1" applyFont="1" applyBorder="1"/>
    <xf numFmtId="164" fontId="113" fillId="0" borderId="18" xfId="7" applyNumberFormat="1" applyFont="1" applyBorder="1" applyAlignment="1">
      <alignment horizontal="left" indent="3"/>
    </xf>
    <xf numFmtId="164" fontId="116" fillId="0" borderId="18" xfId="7" applyNumberFormat="1" applyFont="1" applyBorder="1" applyAlignment="1">
      <alignment horizontal="left" indent="2"/>
    </xf>
    <xf numFmtId="164" fontId="116" fillId="0" borderId="18" xfId="7" applyNumberFormat="1" applyFont="1" applyFill="1" applyBorder="1" applyAlignment="1">
      <alignment horizontal="left" indent="2"/>
    </xf>
    <xf numFmtId="164" fontId="113" fillId="79" borderId="18" xfId="7" applyNumberFormat="1" applyFont="1" applyFill="1" applyBorder="1"/>
    <xf numFmtId="164" fontId="113" fillId="79" borderId="124" xfId="7" applyNumberFormat="1" applyFont="1" applyFill="1" applyBorder="1"/>
    <xf numFmtId="164" fontId="113" fillId="79" borderId="81" xfId="7" applyNumberFormat="1" applyFont="1" applyFill="1" applyBorder="1"/>
    <xf numFmtId="164" fontId="116" fillId="0" borderId="18" xfId="7" applyNumberFormat="1" applyFont="1" applyBorder="1" applyAlignment="1">
      <alignment horizontal="left" wrapText="1" indent="3"/>
    </xf>
    <xf numFmtId="164" fontId="113" fillId="0" borderId="22" xfId="7" applyNumberFormat="1" applyFont="1" applyBorder="1"/>
    <xf numFmtId="164" fontId="113" fillId="0" borderId="23" xfId="7" applyNumberFormat="1" applyFont="1" applyBorder="1"/>
    <xf numFmtId="164" fontId="116" fillId="0" borderId="124" xfId="0" applyNumberFormat="1" applyFont="1" applyBorder="1" applyAlignment="1">
      <alignment horizontal="left" vertical="center" wrapText="1"/>
    </xf>
    <xf numFmtId="164" fontId="113" fillId="0" borderId="124" xfId="7" applyNumberFormat="1" applyFont="1" applyBorder="1" applyAlignment="1">
      <alignment horizontal="center" vertical="center" textRotation="90" wrapText="1"/>
    </xf>
    <xf numFmtId="164" fontId="113" fillId="0" borderId="124" xfId="7" applyNumberFormat="1" applyFont="1" applyBorder="1" applyAlignment="1">
      <alignment horizontal="center" vertical="center" wrapText="1"/>
    </xf>
    <xf numFmtId="164" fontId="113" fillId="0" borderId="124" xfId="7" applyNumberFormat="1" applyFont="1" applyBorder="1" applyAlignment="1">
      <alignment horizontal="center" vertical="center"/>
    </xf>
    <xf numFmtId="164" fontId="116" fillId="0" borderId="124" xfId="0" applyNumberFormat="1" applyFont="1" applyBorder="1" applyAlignment="1">
      <alignment horizontal="center" vertical="center"/>
    </xf>
    <xf numFmtId="164" fontId="118" fillId="0" borderId="124" xfId="7" applyNumberFormat="1" applyFont="1" applyBorder="1"/>
    <xf numFmtId="164" fontId="143" fillId="0" borderId="124" xfId="0" applyNumberFormat="1" applyFont="1" applyBorder="1"/>
    <xf numFmtId="9" fontId="118" fillId="0" borderId="124" xfId="20962" applyFont="1" applyBorder="1"/>
    <xf numFmtId="43" fontId="118" fillId="0" borderId="124" xfId="7" applyFont="1" applyBorder="1"/>
    <xf numFmtId="164" fontId="143" fillId="0" borderId="124" xfId="7" applyNumberFormat="1" applyFont="1" applyBorder="1"/>
    <xf numFmtId="9" fontId="143" fillId="0" borderId="124" xfId="20962" applyFont="1" applyBorder="1"/>
    <xf numFmtId="43" fontId="143" fillId="0" borderId="124" xfId="7" applyFont="1" applyBorder="1"/>
    <xf numFmtId="164" fontId="118" fillId="0" borderId="128" xfId="7" applyNumberFormat="1" applyFont="1" applyBorder="1"/>
    <xf numFmtId="9" fontId="118" fillId="0" borderId="128" xfId="20962" applyFont="1" applyBorder="1"/>
    <xf numFmtId="43" fontId="118" fillId="0" borderId="128" xfId="7" applyFont="1" applyBorder="1"/>
    <xf numFmtId="164" fontId="118" fillId="0" borderId="124" xfId="0" applyNumberFormat="1" applyFont="1" applyBorder="1"/>
    <xf numFmtId="164" fontId="112" fillId="0" borderId="124" xfId="7" applyNumberFormat="1" applyFont="1" applyBorder="1"/>
    <xf numFmtId="164" fontId="112" fillId="36" borderId="111" xfId="7" applyNumberFormat="1" applyFont="1" applyFill="1" applyBorder="1"/>
    <xf numFmtId="193" fontId="123" fillId="0" borderId="124" xfId="0" applyNumberFormat="1" applyFont="1" applyBorder="1" applyAlignment="1">
      <alignment horizontal="right"/>
    </xf>
    <xf numFmtId="0" fontId="94" fillId="0" borderId="66" xfId="0" applyFont="1" applyBorder="1" applyAlignment="1">
      <alignment horizontal="left" wrapText="1"/>
    </xf>
    <xf numFmtId="0" fontId="94" fillId="0" borderId="65" xfId="0" applyFont="1" applyBorder="1" applyAlignment="1">
      <alignment horizontal="left" wrapText="1"/>
    </xf>
    <xf numFmtId="0" fontId="94" fillId="0" borderId="132" xfId="0" applyFont="1" applyBorder="1" applyAlignment="1">
      <alignment horizontal="center" vertical="center"/>
    </xf>
    <xf numFmtId="0" fontId="94" fillId="0" borderId="30" xfId="0" applyFont="1" applyBorder="1" applyAlignment="1">
      <alignment horizontal="center" vertical="center"/>
    </xf>
    <xf numFmtId="0" fontId="94" fillId="0" borderId="133" xfId="0" applyFont="1" applyBorder="1" applyAlignment="1">
      <alignment horizontal="center" vertical="center"/>
    </xf>
    <xf numFmtId="0" fontId="135" fillId="0" borderId="132" xfId="0" applyFont="1" applyBorder="1" applyAlignment="1">
      <alignment horizontal="center"/>
    </xf>
    <xf numFmtId="0" fontId="135" fillId="0" borderId="30" xfId="0" applyFont="1" applyBorder="1" applyAlignment="1">
      <alignment horizontal="center"/>
    </xf>
    <xf numFmtId="0" fontId="135" fillId="0" borderId="133" xfId="0" applyFont="1" applyBorder="1" applyAlignment="1">
      <alignment horizontal="center"/>
    </xf>
    <xf numFmtId="0" fontId="0" fillId="0" borderId="125" xfId="0" applyBorder="1" applyAlignment="1">
      <alignment horizontal="center"/>
    </xf>
    <xf numFmtId="0" fontId="0" fillId="0" borderId="126" xfId="0" applyBorder="1" applyAlignment="1">
      <alignment horizontal="center"/>
    </xf>
    <xf numFmtId="0" fontId="0" fillId="0" borderId="127" xfId="0" applyBorder="1" applyAlignment="1">
      <alignment horizontal="center"/>
    </xf>
    <xf numFmtId="0" fontId="0" fillId="0" borderId="111" xfId="0" applyBorder="1" applyAlignment="1">
      <alignment horizontal="center" vertical="center"/>
    </xf>
    <xf numFmtId="0" fontId="122" fillId="0" borderId="112" xfId="0" applyFont="1" applyBorder="1" applyAlignment="1">
      <alignment horizontal="center" vertical="center"/>
    </xf>
    <xf numFmtId="0" fontId="122" fillId="0" borderId="7" xfId="0" applyFont="1" applyBorder="1" applyAlignment="1">
      <alignment horizontal="center" vertical="center"/>
    </xf>
    <xf numFmtId="0" fontId="123" fillId="0" borderId="16" xfId="0" applyFont="1" applyBorder="1" applyAlignment="1">
      <alignment horizontal="center" vertical="center"/>
    </xf>
    <xf numFmtId="0" fontId="123" fillId="0" borderId="17" xfId="0" applyFont="1" applyBorder="1" applyAlignment="1">
      <alignment horizontal="center" vertical="center"/>
    </xf>
    <xf numFmtId="0" fontId="0" fillId="0" borderId="113" xfId="0" applyBorder="1" applyAlignment="1">
      <alignment horizontal="center"/>
    </xf>
    <xf numFmtId="0" fontId="0" fillId="0" borderId="114" xfId="0" applyBorder="1" applyAlignment="1">
      <alignment horizontal="center"/>
    </xf>
    <xf numFmtId="0" fontId="0" fillId="0" borderId="115" xfId="0"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22" fillId="0" borderId="128" xfId="0" applyFont="1" applyBorder="1" applyAlignment="1">
      <alignment horizontal="center" vertical="center" wrapText="1"/>
    </xf>
    <xf numFmtId="0" fontId="122" fillId="0" borderId="7" xfId="0" applyFont="1" applyBorder="1" applyAlignment="1">
      <alignment horizontal="center" vertical="center" wrapText="1"/>
    </xf>
    <xf numFmtId="0" fontId="0" fillId="0" borderId="124" xfId="0" applyBorder="1" applyAlignment="1">
      <alignment horizontal="center" vertical="center"/>
    </xf>
    <xf numFmtId="0" fontId="0" fillId="0" borderId="124"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80" xfId="0" applyFont="1" applyBorder="1" applyAlignment="1">
      <alignment horizontal="center" vertical="center" wrapText="1"/>
    </xf>
    <xf numFmtId="0" fontId="84" fillId="0" borderId="80" xfId="0" applyFont="1" applyBorder="1" applyAlignment="1">
      <alignment horizontal="center" vertical="center" wrapText="1"/>
    </xf>
    <xf numFmtId="0" fontId="45" fillId="0" borderId="80" xfId="11" applyFont="1" applyBorder="1" applyAlignment="1">
      <alignment horizontal="center" vertical="center" wrapText="1"/>
    </xf>
    <xf numFmtId="0" fontId="45" fillId="0" borderId="81" xfId="11" applyFont="1" applyBorder="1" applyAlignment="1">
      <alignment horizontal="center" vertical="center" wrapText="1"/>
    </xf>
    <xf numFmtId="0" fontId="45" fillId="0" borderId="70"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1" xfId="13" applyFont="1" applyFill="1" applyBorder="1" applyAlignment="1" applyProtection="1">
      <alignment horizontal="center" vertical="center" wrapText="1"/>
      <protection locked="0"/>
    </xf>
    <xf numFmtId="0" fontId="99"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9"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72" xfId="1" applyNumberFormat="1" applyFont="1" applyFill="1" applyBorder="1" applyAlignment="1" applyProtection="1">
      <alignment horizontal="center" vertical="center" wrapText="1"/>
      <protection locked="0"/>
    </xf>
    <xf numFmtId="164" fontId="45" fillId="0" borderId="73" xfId="1" applyNumberFormat="1" applyFont="1" applyFill="1" applyBorder="1" applyAlignment="1" applyProtection="1">
      <alignment horizontal="center" vertical="center" wrapText="1"/>
      <protection locked="0"/>
    </xf>
    <xf numFmtId="0" fontId="3" fillId="0" borderId="71" xfId="0" applyFont="1" applyBorder="1" applyAlignment="1">
      <alignment horizontal="center" vertical="center" wrapText="1"/>
    </xf>
    <xf numFmtId="0" fontId="3" fillId="0" borderId="64" xfId="0" applyFont="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100" fillId="0" borderId="54" xfId="0" applyFont="1" applyBorder="1" applyAlignment="1">
      <alignment horizontal="left" vertical="center"/>
    </xf>
    <xf numFmtId="0" fontId="100" fillId="0" borderId="55" xfId="0" applyFont="1" applyBorder="1" applyAlignment="1">
      <alignment horizontal="left" vertical="center"/>
    </xf>
    <xf numFmtId="0" fontId="3" fillId="0" borderId="5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1" xfId="0" applyFont="1" applyBorder="1" applyAlignment="1">
      <alignment horizontal="center" vertical="center" wrapText="1"/>
    </xf>
    <xf numFmtId="0" fontId="116" fillId="0" borderId="101" xfId="0" applyFont="1" applyBorder="1" applyAlignment="1">
      <alignment horizontal="left" vertical="center" wrapText="1"/>
    </xf>
    <xf numFmtId="0" fontId="116" fillId="0" borderId="102" xfId="0" applyFont="1" applyBorder="1" applyAlignment="1">
      <alignment horizontal="left" vertical="center" wrapText="1"/>
    </xf>
    <xf numFmtId="0" fontId="116" fillId="0" borderId="106" xfId="0" applyFont="1" applyBorder="1" applyAlignment="1">
      <alignment horizontal="left" vertical="center" wrapText="1"/>
    </xf>
    <xf numFmtId="0" fontId="116" fillId="0" borderId="107" xfId="0" applyFont="1" applyBorder="1" applyAlignment="1">
      <alignment horizontal="left" vertical="center" wrapText="1"/>
    </xf>
    <xf numFmtId="0" fontId="116" fillId="0" borderId="109" xfId="0" applyFont="1" applyBorder="1" applyAlignment="1">
      <alignment horizontal="left" vertical="center" wrapText="1"/>
    </xf>
    <xf numFmtId="0" fontId="116" fillId="0" borderId="110" xfId="0" applyFont="1" applyBorder="1" applyAlignment="1">
      <alignment horizontal="left" vertical="center" wrapText="1"/>
    </xf>
    <xf numFmtId="0" fontId="117" fillId="0" borderId="103" xfId="0" applyFont="1" applyBorder="1" applyAlignment="1">
      <alignment horizontal="center" vertical="center" wrapText="1"/>
    </xf>
    <xf numFmtId="0" fontId="117" fillId="0" borderId="104" xfId="0" applyFont="1" applyBorder="1" applyAlignment="1">
      <alignment horizontal="center" vertical="center" wrapText="1"/>
    </xf>
    <xf numFmtId="0" fontId="117" fillId="0" borderId="105" xfId="0" applyFont="1" applyBorder="1" applyAlignment="1">
      <alignment horizontal="center" vertical="center" wrapText="1"/>
    </xf>
    <xf numFmtId="0" fontId="117" fillId="0" borderId="85" xfId="0" applyFont="1" applyBorder="1" applyAlignment="1">
      <alignment horizontal="center" vertical="center" wrapText="1"/>
    </xf>
    <xf numFmtId="0" fontId="117" fillId="0" borderId="108" xfId="0" applyFont="1" applyBorder="1" applyAlignment="1">
      <alignment horizontal="center" vertical="center" wrapText="1"/>
    </xf>
    <xf numFmtId="0" fontId="117" fillId="0" borderId="75" xfId="0" applyFont="1" applyBorder="1" applyAlignment="1">
      <alignment horizontal="center" vertical="center" wrapText="1"/>
    </xf>
    <xf numFmtId="0" fontId="113" fillId="0" borderId="128"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4" xfId="0" applyFont="1" applyBorder="1" applyAlignment="1">
      <alignment horizontal="center" vertical="center" wrapText="1"/>
    </xf>
    <xf numFmtId="0" fontId="121" fillId="0" borderId="124" xfId="0" applyFont="1" applyBorder="1" applyAlignment="1">
      <alignment horizontal="center" vertical="center"/>
    </xf>
    <xf numFmtId="0" fontId="121" fillId="0" borderId="103" xfId="0" applyFont="1" applyBorder="1" applyAlignment="1">
      <alignment horizontal="center" vertical="center"/>
    </xf>
    <xf numFmtId="0" fontId="121" fillId="0" borderId="105" xfId="0" applyFont="1" applyBorder="1" applyAlignment="1">
      <alignment horizontal="center" vertical="center"/>
    </xf>
    <xf numFmtId="0" fontId="121" fillId="0" borderId="85" xfId="0" applyFont="1" applyBorder="1" applyAlignment="1">
      <alignment horizontal="center" vertical="center"/>
    </xf>
    <xf numFmtId="0" fontId="121" fillId="0" borderId="75" xfId="0" applyFont="1" applyBorder="1" applyAlignment="1">
      <alignment horizontal="center" vertical="center"/>
    </xf>
    <xf numFmtId="0" fontId="117" fillId="0" borderId="124" xfId="0" applyFont="1" applyBorder="1" applyAlignment="1">
      <alignment horizontal="center" vertical="center" wrapText="1"/>
    </xf>
    <xf numFmtId="0" fontId="113" fillId="0" borderId="127" xfId="0" applyFont="1" applyBorder="1" applyAlignment="1">
      <alignment horizontal="center" vertical="center" wrapText="1"/>
    </xf>
    <xf numFmtId="0" fontId="116" fillId="0" borderId="103" xfId="0" applyFont="1" applyBorder="1" applyAlignment="1">
      <alignment horizontal="center" vertical="center" wrapText="1"/>
    </xf>
    <xf numFmtId="0" fontId="116" fillId="0" borderId="105" xfId="0" applyFont="1" applyBorder="1" applyAlignment="1">
      <alignment horizontal="center" vertical="center" wrapText="1"/>
    </xf>
    <xf numFmtId="0" fontId="116" fillId="0" borderId="70" xfId="0" applyFont="1" applyBorder="1" applyAlignment="1">
      <alignment horizontal="center" vertical="center" wrapText="1"/>
    </xf>
    <xf numFmtId="0" fontId="116" fillId="0" borderId="68" xfId="0" applyFont="1" applyBorder="1" applyAlignment="1">
      <alignment horizontal="center" vertical="center" wrapText="1"/>
    </xf>
    <xf numFmtId="0" fontId="116" fillId="0" borderId="85" xfId="0" applyFont="1" applyBorder="1" applyAlignment="1">
      <alignment horizontal="center" vertical="center" wrapText="1"/>
    </xf>
    <xf numFmtId="0" fontId="116" fillId="0" borderId="75" xfId="0" applyFont="1" applyBorder="1" applyAlignment="1">
      <alignment horizontal="center" vertical="center" wrapText="1"/>
    </xf>
    <xf numFmtId="0" fontId="113" fillId="0" borderId="125" xfId="0" applyFont="1" applyBorder="1" applyAlignment="1">
      <alignment horizontal="center" vertical="center" wrapText="1"/>
    </xf>
    <xf numFmtId="0" fontId="113" fillId="0" borderId="126" xfId="0" applyFont="1" applyBorder="1" applyAlignment="1">
      <alignment horizontal="center" vertical="center" wrapText="1"/>
    </xf>
    <xf numFmtId="0" fontId="116" fillId="0" borderId="76" xfId="0" applyFont="1" applyBorder="1" applyAlignment="1">
      <alignment horizontal="center" vertical="center" wrapText="1"/>
    </xf>
    <xf numFmtId="0" fontId="116" fillId="0" borderId="7" xfId="0" applyFont="1" applyBorder="1" applyAlignment="1">
      <alignment horizontal="center" vertical="center" wrapText="1"/>
    </xf>
    <xf numFmtId="0" fontId="113" fillId="0" borderId="76" xfId="0" applyFont="1" applyBorder="1" applyAlignment="1">
      <alignment horizontal="center" vertical="center" wrapText="1"/>
    </xf>
    <xf numFmtId="0" fontId="113" fillId="0" borderId="75" xfId="0" applyFont="1" applyBorder="1" applyAlignment="1">
      <alignment horizontal="center" vertical="center" wrapText="1"/>
    </xf>
    <xf numFmtId="0" fontId="116" fillId="0" borderId="54" xfId="0" applyFont="1" applyBorder="1" applyAlignment="1">
      <alignment horizontal="left" vertical="top" wrapText="1"/>
    </xf>
    <xf numFmtId="0" fontId="116" fillId="0" borderId="77" xfId="0" applyFont="1" applyBorder="1" applyAlignment="1">
      <alignment horizontal="left" vertical="top" wrapText="1"/>
    </xf>
    <xf numFmtId="0" fontId="116" fillId="0" borderId="63" xfId="0" applyFont="1" applyBorder="1" applyAlignment="1">
      <alignment horizontal="left" vertical="top" wrapText="1"/>
    </xf>
    <xf numFmtId="0" fontId="116" fillId="0" borderId="93" xfId="0" applyFont="1" applyBorder="1" applyAlignment="1">
      <alignment horizontal="left" vertical="top" wrapText="1"/>
    </xf>
    <xf numFmtId="0" fontId="116" fillId="0" borderId="100" xfId="0" applyFont="1" applyBorder="1" applyAlignment="1">
      <alignment horizontal="left" vertical="top" wrapText="1"/>
    </xf>
    <xf numFmtId="0" fontId="116" fillId="0" borderId="131" xfId="0" applyFont="1" applyBorder="1" applyAlignment="1">
      <alignment horizontal="left" vertical="top" wrapText="1"/>
    </xf>
    <xf numFmtId="0" fontId="116" fillId="0" borderId="86" xfId="0" applyFont="1" applyBorder="1" applyAlignment="1">
      <alignment horizontal="center" vertical="center" wrapText="1"/>
    </xf>
    <xf numFmtId="0" fontId="116" fillId="0" borderId="67" xfId="0" applyFont="1" applyBorder="1" applyAlignment="1">
      <alignment horizontal="center" vertical="center" wrapText="1"/>
    </xf>
    <xf numFmtId="0" fontId="113" fillId="0" borderId="64" xfId="0" applyFont="1" applyBorder="1" applyAlignment="1">
      <alignment horizontal="center" vertical="center" wrapText="1"/>
    </xf>
    <xf numFmtId="0" fontId="113" fillId="0" borderId="69" xfId="0" applyFont="1" applyBorder="1" applyAlignment="1">
      <alignment horizontal="center" vertical="center" wrapText="1"/>
    </xf>
    <xf numFmtId="0" fontId="113" fillId="0" borderId="27" xfId="0" applyFont="1" applyBorder="1" applyAlignment="1">
      <alignment horizontal="center" vertical="center" wrapText="1"/>
    </xf>
    <xf numFmtId="0" fontId="113" fillId="0" borderId="28" xfId="0" applyFont="1" applyBorder="1" applyAlignment="1">
      <alignment horizontal="center" vertical="center" wrapText="1"/>
    </xf>
    <xf numFmtId="0" fontId="113" fillId="0" borderId="103" xfId="0" applyFont="1" applyBorder="1" applyAlignment="1">
      <alignment horizontal="center" vertical="top" wrapText="1"/>
    </xf>
    <xf numFmtId="0" fontId="113" fillId="0" borderId="104" xfId="0" applyFont="1" applyBorder="1" applyAlignment="1">
      <alignment horizontal="center" vertical="top" wrapText="1"/>
    </xf>
    <xf numFmtId="0" fontId="113" fillId="0" borderId="126" xfId="0" applyFont="1" applyBorder="1" applyAlignment="1">
      <alignment horizontal="center" vertical="top" wrapText="1"/>
    </xf>
    <xf numFmtId="0" fontId="113" fillId="0" borderId="127" xfId="0" applyFont="1" applyBorder="1" applyAlignment="1">
      <alignment horizontal="center" vertical="top" wrapText="1"/>
    </xf>
    <xf numFmtId="0" fontId="133" fillId="0" borderId="116" xfId="0" applyFont="1" applyBorder="1" applyAlignment="1">
      <alignment horizontal="left" vertical="top" wrapText="1"/>
    </xf>
    <xf numFmtId="0" fontId="133" fillId="0" borderId="117" xfId="0" applyFont="1" applyBorder="1" applyAlignment="1">
      <alignment horizontal="left" vertical="top" wrapText="1"/>
    </xf>
    <xf numFmtId="0" fontId="119" fillId="0" borderId="103" xfId="0" applyFont="1" applyBorder="1" applyAlignment="1">
      <alignment horizontal="center" vertical="center"/>
    </xf>
    <xf numFmtId="0" fontId="119" fillId="0" borderId="105" xfId="0" applyFont="1" applyBorder="1" applyAlignment="1">
      <alignment horizontal="center" vertical="center"/>
    </xf>
    <xf numFmtId="0" fontId="119" fillId="0" borderId="85" xfId="0" applyFont="1" applyBorder="1" applyAlignment="1">
      <alignment horizontal="center" vertical="center"/>
    </xf>
    <xf numFmtId="0" fontId="119" fillId="0" borderId="75" xfId="0" applyFont="1" applyBorder="1" applyAlignment="1">
      <alignment horizontal="center" vertical="center"/>
    </xf>
    <xf numFmtId="0" fontId="118" fillId="0" borderId="124" xfId="0" applyFont="1" applyBorder="1" applyAlignment="1">
      <alignment horizontal="center" vertical="center" wrapText="1"/>
    </xf>
    <xf numFmtId="0" fontId="118" fillId="0" borderId="128"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redo.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Normal="100" workbookViewId="0">
      <selection activeCell="B13" sqref="B13"/>
    </sheetView>
  </sheetViews>
  <sheetFormatPr defaultColWidth="9.21875" defaultRowHeight="13.8"/>
  <cols>
    <col min="1" max="1" width="10.21875" style="4" customWidth="1"/>
    <col min="2" max="2" width="138.33203125" style="5" bestFit="1" customWidth="1"/>
    <col min="3" max="3" width="39.44140625" style="5" customWidth="1"/>
    <col min="4" max="6" width="9.21875" style="5"/>
    <col min="7" max="7" width="25" style="5" customWidth="1"/>
    <col min="8" max="16384" width="9.21875" style="5"/>
  </cols>
  <sheetData>
    <row r="1" spans="1:3">
      <c r="A1" s="97"/>
      <c r="B1" s="133" t="s">
        <v>223</v>
      </c>
      <c r="C1" s="97"/>
    </row>
    <row r="2" spans="1:3">
      <c r="A2" s="134">
        <v>1</v>
      </c>
      <c r="B2" s="245" t="s">
        <v>224</v>
      </c>
      <c r="C2" s="522" t="s">
        <v>712</v>
      </c>
    </row>
    <row r="3" spans="1:3" ht="15">
      <c r="A3" s="134">
        <v>2</v>
      </c>
      <c r="B3" s="246" t="s">
        <v>220</v>
      </c>
      <c r="C3" s="523" t="s">
        <v>713</v>
      </c>
    </row>
    <row r="4" spans="1:3">
      <c r="A4" s="134">
        <v>3</v>
      </c>
      <c r="B4" s="247" t="s">
        <v>225</v>
      </c>
      <c r="C4" s="522" t="s">
        <v>714</v>
      </c>
    </row>
    <row r="5" spans="1:3">
      <c r="A5" s="135">
        <v>4</v>
      </c>
      <c r="B5" s="248" t="s">
        <v>221</v>
      </c>
      <c r="C5" s="524" t="s">
        <v>715</v>
      </c>
    </row>
    <row r="6" spans="1:3" s="136" customFormat="1" ht="45.75" customHeight="1">
      <c r="A6" s="666" t="s">
        <v>297</v>
      </c>
      <c r="B6" s="667"/>
      <c r="C6" s="667"/>
    </row>
    <row r="7" spans="1:3">
      <c r="A7" s="137" t="s">
        <v>29</v>
      </c>
      <c r="B7" s="133" t="s">
        <v>222</v>
      </c>
    </row>
    <row r="8" spans="1:3">
      <c r="A8" s="97">
        <v>1</v>
      </c>
      <c r="B8" s="168" t="s">
        <v>20</v>
      </c>
    </row>
    <row r="9" spans="1:3">
      <c r="A9" s="97">
        <v>2</v>
      </c>
      <c r="B9" s="169" t="s">
        <v>21</v>
      </c>
    </row>
    <row r="10" spans="1:3">
      <c r="A10" s="97">
        <v>3</v>
      </c>
      <c r="B10" s="169" t="s">
        <v>22</v>
      </c>
    </row>
    <row r="11" spans="1:3">
      <c r="A11" s="97">
        <v>4</v>
      </c>
      <c r="B11" s="169" t="s">
        <v>23</v>
      </c>
    </row>
    <row r="12" spans="1:3">
      <c r="A12" s="97">
        <v>5</v>
      </c>
      <c r="B12" s="169" t="s">
        <v>24</v>
      </c>
    </row>
    <row r="13" spans="1:3">
      <c r="A13" s="97">
        <v>6</v>
      </c>
      <c r="B13" s="170" t="s">
        <v>232</v>
      </c>
    </row>
    <row r="14" spans="1:3">
      <c r="A14" s="97">
        <v>7</v>
      </c>
      <c r="B14" s="169" t="s">
        <v>226</v>
      </c>
    </row>
    <row r="15" spans="1:3">
      <c r="A15" s="97">
        <v>8</v>
      </c>
      <c r="B15" s="169" t="s">
        <v>227</v>
      </c>
    </row>
    <row r="16" spans="1:3">
      <c r="A16" s="97">
        <v>9</v>
      </c>
      <c r="B16" s="169" t="s">
        <v>25</v>
      </c>
    </row>
    <row r="17" spans="1:2">
      <c r="A17" s="244" t="s">
        <v>296</v>
      </c>
      <c r="B17" s="243" t="s">
        <v>283</v>
      </c>
    </row>
    <row r="18" spans="1:2">
      <c r="A18" s="97">
        <v>10</v>
      </c>
      <c r="B18" s="169" t="s">
        <v>26</v>
      </c>
    </row>
    <row r="19" spans="1:2">
      <c r="A19" s="97">
        <v>11</v>
      </c>
      <c r="B19" s="170" t="s">
        <v>228</v>
      </c>
    </row>
    <row r="20" spans="1:2">
      <c r="A20" s="97">
        <v>12</v>
      </c>
      <c r="B20" s="170" t="s">
        <v>27</v>
      </c>
    </row>
    <row r="21" spans="1:2">
      <c r="A21" s="292">
        <v>13</v>
      </c>
      <c r="B21" s="293" t="s">
        <v>229</v>
      </c>
    </row>
    <row r="22" spans="1:2">
      <c r="A22" s="292">
        <v>14</v>
      </c>
      <c r="B22" s="294" t="s">
        <v>254</v>
      </c>
    </row>
    <row r="23" spans="1:2">
      <c r="A23" s="292">
        <v>15</v>
      </c>
      <c r="B23" s="295" t="s">
        <v>28</v>
      </c>
    </row>
    <row r="24" spans="1:2">
      <c r="A24" s="292">
        <v>15.1</v>
      </c>
      <c r="B24" s="296" t="s">
        <v>310</v>
      </c>
    </row>
    <row r="25" spans="1:2">
      <c r="A25" s="292">
        <v>16</v>
      </c>
      <c r="B25" s="296" t="s">
        <v>374</v>
      </c>
    </row>
    <row r="26" spans="1:2">
      <c r="A26" s="292">
        <v>17</v>
      </c>
      <c r="B26" s="296" t="s">
        <v>415</v>
      </c>
    </row>
    <row r="27" spans="1:2">
      <c r="A27" s="292">
        <v>18</v>
      </c>
      <c r="B27" s="296" t="s">
        <v>705</v>
      </c>
    </row>
    <row r="28" spans="1:2">
      <c r="A28" s="292">
        <v>19</v>
      </c>
      <c r="B28" s="296" t="s">
        <v>706</v>
      </c>
    </row>
    <row r="29" spans="1:2">
      <c r="A29" s="292">
        <v>20</v>
      </c>
      <c r="B29" s="354" t="s">
        <v>707</v>
      </c>
    </row>
    <row r="30" spans="1:2">
      <c r="A30" s="292">
        <v>21</v>
      </c>
      <c r="B30" s="296" t="s">
        <v>531</v>
      </c>
    </row>
    <row r="31" spans="1:2">
      <c r="A31" s="292">
        <v>22</v>
      </c>
      <c r="B31" s="296" t="s">
        <v>708</v>
      </c>
    </row>
    <row r="32" spans="1:2">
      <c r="A32" s="292">
        <v>23</v>
      </c>
      <c r="B32" s="296" t="s">
        <v>709</v>
      </c>
    </row>
    <row r="33" spans="1:2">
      <c r="A33" s="292">
        <v>24</v>
      </c>
      <c r="B33" s="296" t="s">
        <v>710</v>
      </c>
    </row>
    <row r="34" spans="1:2">
      <c r="A34" s="292">
        <v>25</v>
      </c>
      <c r="B34" s="296" t="s">
        <v>416</v>
      </c>
    </row>
    <row r="35" spans="1:2">
      <c r="A35" s="292">
        <v>26</v>
      </c>
      <c r="B35" s="296" t="s">
        <v>555</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 ref="C5" r:id="rId1" xr:uid="{5444D80F-4350-464C-A745-CAF93CAFE40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tabSelected="1" zoomScale="76" zoomScaleNormal="76" workbookViewId="0">
      <pane xSplit="1" ySplit="5" topLeftCell="B6" activePane="bottomRight" state="frozen"/>
      <selection activeCell="B9" sqref="B9"/>
      <selection pane="topRight" activeCell="B9" sqref="B9"/>
      <selection pane="bottomLeft" activeCell="B9" sqref="B9"/>
      <selection pane="bottomRight" activeCell="C19" sqref="C19"/>
    </sheetView>
  </sheetViews>
  <sheetFormatPr defaultColWidth="9.21875" defaultRowHeight="13.8"/>
  <cols>
    <col min="1" max="1" width="9.5546875" style="3" bestFit="1" customWidth="1"/>
    <col min="2" max="2" width="86" style="3" customWidth="1"/>
    <col min="3" max="3" width="12.77734375" style="3" customWidth="1"/>
    <col min="4" max="7" width="12.77734375" style="4" customWidth="1"/>
    <col min="8" max="8" width="6.77734375" style="5" customWidth="1"/>
    <col min="9" max="9" width="10.33203125" style="5" customWidth="1"/>
    <col min="10" max="10" width="8.77734375" style="5" customWidth="1"/>
    <col min="11" max="12" width="13" style="5" bestFit="1" customWidth="1"/>
    <col min="13" max="13" width="6.77734375" style="5" customWidth="1"/>
    <col min="14" max="16384" width="9.21875" style="5"/>
  </cols>
  <sheetData>
    <row r="1" spans="1:12">
      <c r="A1" s="2" t="s">
        <v>30</v>
      </c>
      <c r="B1" s="3" t="str">
        <f>'Info '!C2</f>
        <v>JSC "CREDOBANK"</v>
      </c>
    </row>
    <row r="2" spans="1:12">
      <c r="A2" s="2" t="s">
        <v>31</v>
      </c>
      <c r="B2" s="312">
        <v>45473</v>
      </c>
    </row>
    <row r="3" spans="1:12" ht="14.4" thickBot="1">
      <c r="A3" s="2"/>
    </row>
    <row r="4" spans="1:12" ht="15" customHeight="1" thickBot="1">
      <c r="A4" s="6" t="s">
        <v>94</v>
      </c>
      <c r="B4" s="7" t="s">
        <v>93</v>
      </c>
      <c r="C4" s="7"/>
      <c r="D4" s="668" t="s">
        <v>703</v>
      </c>
      <c r="E4" s="669"/>
      <c r="F4" s="669"/>
      <c r="G4" s="670"/>
      <c r="I4" s="671" t="s">
        <v>704</v>
      </c>
      <c r="J4" s="672"/>
      <c r="K4" s="672"/>
      <c r="L4" s="673"/>
    </row>
    <row r="5" spans="1:12" ht="26.4">
      <c r="A5" s="8" t="s">
        <v>6</v>
      </c>
      <c r="B5" s="9"/>
      <c r="C5" s="310" t="str">
        <f>INT((MONTH($B$2))/3)&amp;"Q"&amp;"-"&amp;YEAR($B$2)</f>
        <v>2Q-2024</v>
      </c>
      <c r="D5" s="310" t="str">
        <f>IF(INT(MONTH($B$2))=3, "4"&amp;"Q"&amp;"-"&amp;YEAR($B$2)-1, IF(INT(MONTH($B$2))=6, "1"&amp;"Q"&amp;"-"&amp;YEAR($B$2), IF(INT(MONTH($B$2))=9, "2"&amp;"Q"&amp;"-"&amp;YEAR($B$2),IF(INT(MONTH($B$2))=12, "3"&amp;"Q"&amp;"-"&amp;YEAR($B$2), 0))))</f>
        <v>1Q-2024</v>
      </c>
      <c r="E5" s="310" t="str">
        <f>IF(INT(MONTH($B$2))=3, "3"&amp;"Q"&amp;"-"&amp;YEAR($B$2)-1, IF(INT(MONTH($B$2))=6, "4"&amp;"Q"&amp;"-"&amp;YEAR($B$2)-1, IF(INT(MONTH($B$2))=9, "1"&amp;"Q"&amp;"-"&amp;YEAR($B$2),IF(INT(MONTH($B$2))=12, "2"&amp;"Q"&amp;"-"&amp;YEAR($B$2), 0))))</f>
        <v>4Q-2023</v>
      </c>
      <c r="F5" s="310" t="str">
        <f>IF(INT(MONTH($B$2))=3, "2"&amp;"Q"&amp;"-"&amp;YEAR($B$2)-1, IF(INT(MONTH($B$2))=6, "3"&amp;"Q"&amp;"-"&amp;YEAR($B$2)-1, IF(INT(MONTH($B$2))=9, "4"&amp;"Q"&amp;"-"&amp;YEAR($B$2)-1,IF(INT(MONTH($B$2))=12, "1"&amp;"Q"&amp;"-"&amp;YEAR($B$2), 0))))</f>
        <v>3Q-2023</v>
      </c>
      <c r="G5" s="311" t="str">
        <f>IF(INT(MONTH($B$2))=3, "1"&amp;"Q"&amp;"-"&amp;YEAR($B$2)-1, IF(INT(MONTH($B$2))=6, "2"&amp;"Q"&amp;"-"&amp;YEAR($B$2)-1, IF(INT(MONTH($B$2))=9, "3"&amp;"Q"&amp;"-"&amp;YEAR($B$2)-1,IF(INT(MONTH($B$2))=12, "4"&amp;"Q"&amp;"-"&amp;YEAR($B$2)-1, 0))))</f>
        <v>2Q-2023</v>
      </c>
      <c r="I5" s="509" t="str">
        <f>D5</f>
        <v>1Q-2024</v>
      </c>
      <c r="J5" s="310" t="str">
        <f t="shared" ref="J5:L5" si="0">E5</f>
        <v>4Q-2023</v>
      </c>
      <c r="K5" s="310" t="str">
        <f t="shared" si="0"/>
        <v>3Q-2023</v>
      </c>
      <c r="L5" s="311" t="str">
        <f t="shared" si="0"/>
        <v>2Q-2023</v>
      </c>
    </row>
    <row r="6" spans="1:12">
      <c r="B6" s="138" t="s">
        <v>92</v>
      </c>
      <c r="C6" s="313"/>
      <c r="D6" s="313"/>
      <c r="E6" s="313"/>
      <c r="F6" s="313"/>
      <c r="G6" s="314"/>
      <c r="I6" s="510"/>
      <c r="J6" s="313"/>
      <c r="K6" s="313"/>
      <c r="L6" s="314"/>
    </row>
    <row r="7" spans="1:12">
      <c r="A7" s="10"/>
      <c r="B7" s="139" t="s">
        <v>90</v>
      </c>
      <c r="C7" s="313"/>
      <c r="D7" s="313"/>
      <c r="E7" s="313"/>
      <c r="F7" s="313"/>
      <c r="G7" s="314"/>
      <c r="I7" s="510"/>
      <c r="J7" s="313"/>
      <c r="K7" s="313"/>
      <c r="L7" s="314"/>
    </row>
    <row r="8" spans="1:12">
      <c r="A8" s="8">
        <v>1</v>
      </c>
      <c r="B8" s="11" t="s">
        <v>364</v>
      </c>
      <c r="C8" s="525">
        <v>307510915.44</v>
      </c>
      <c r="D8" s="526">
        <v>294760030.40000677</v>
      </c>
      <c r="E8" s="527">
        <v>282252213.47002703</v>
      </c>
      <c r="F8" s="527">
        <v>273581181.16999578</v>
      </c>
      <c r="G8" s="527">
        <v>260667992.61999992</v>
      </c>
      <c r="I8" s="511"/>
      <c r="J8" s="512"/>
      <c r="K8" s="527"/>
      <c r="L8" s="527">
        <v>238102682.34000072</v>
      </c>
    </row>
    <row r="9" spans="1:12">
      <c r="A9" s="8">
        <v>2</v>
      </c>
      <c r="B9" s="11" t="s">
        <v>365</v>
      </c>
      <c r="C9" s="525">
        <v>307510915.44</v>
      </c>
      <c r="D9" s="526">
        <v>294760030.40000677</v>
      </c>
      <c r="E9" s="527">
        <v>282252213.47002703</v>
      </c>
      <c r="F9" s="527">
        <v>273581181.16999578</v>
      </c>
      <c r="G9" s="527">
        <v>260667992.61999992</v>
      </c>
      <c r="I9" s="511"/>
      <c r="J9" s="512"/>
      <c r="K9" s="527"/>
      <c r="L9" s="527">
        <v>238102682.34000072</v>
      </c>
    </row>
    <row r="10" spans="1:12">
      <c r="A10" s="8">
        <v>3</v>
      </c>
      <c r="B10" s="11" t="s">
        <v>143</v>
      </c>
      <c r="C10" s="525">
        <v>392259543.44</v>
      </c>
      <c r="D10" s="526">
        <v>386387595.40000677</v>
      </c>
      <c r="E10" s="527">
        <v>376832935.47002703</v>
      </c>
      <c r="F10" s="527">
        <v>348715297.16999578</v>
      </c>
      <c r="G10" s="527">
        <v>339370410.61999989</v>
      </c>
      <c r="I10" s="511"/>
      <c r="J10" s="512"/>
      <c r="K10" s="527"/>
      <c r="L10" s="527">
        <v>337198825.76114929</v>
      </c>
    </row>
    <row r="11" spans="1:12">
      <c r="A11" s="8">
        <v>4</v>
      </c>
      <c r="B11" s="11" t="s">
        <v>367</v>
      </c>
      <c r="C11" s="525">
        <v>249673088.00032899</v>
      </c>
      <c r="D11" s="526">
        <v>235221441.97906715</v>
      </c>
      <c r="E11" s="527">
        <v>223619344.16650155</v>
      </c>
      <c r="F11" s="527">
        <v>211366153.40843534</v>
      </c>
      <c r="G11" s="527">
        <v>206145177.04826996</v>
      </c>
      <c r="I11" s="511"/>
      <c r="J11" s="512"/>
      <c r="K11" s="527"/>
      <c r="L11" s="527">
        <v>176489743.36682165</v>
      </c>
    </row>
    <row r="12" spans="1:12">
      <c r="A12" s="8">
        <v>5</v>
      </c>
      <c r="B12" s="11" t="s">
        <v>368</v>
      </c>
      <c r="C12" s="525">
        <v>298383605.45777577</v>
      </c>
      <c r="D12" s="526">
        <v>280986650.92338198</v>
      </c>
      <c r="E12" s="527">
        <v>268498759.33575952</v>
      </c>
      <c r="F12" s="527">
        <v>253060191.63724506</v>
      </c>
      <c r="G12" s="527">
        <v>246974104.80373019</v>
      </c>
      <c r="I12" s="511"/>
      <c r="J12" s="512"/>
      <c r="K12" s="527"/>
      <c r="L12" s="527">
        <v>218714358.1203261</v>
      </c>
    </row>
    <row r="13" spans="1:12">
      <c r="A13" s="8">
        <v>6</v>
      </c>
      <c r="B13" s="11" t="s">
        <v>366</v>
      </c>
      <c r="C13" s="525">
        <v>363088883.30139267</v>
      </c>
      <c r="D13" s="526">
        <v>341780044.03136235</v>
      </c>
      <c r="E13" s="527">
        <v>328114982.32836872</v>
      </c>
      <c r="F13" s="527">
        <v>308445062.24420512</v>
      </c>
      <c r="G13" s="527">
        <v>301209566.78413063</v>
      </c>
      <c r="I13" s="511"/>
      <c r="J13" s="512"/>
      <c r="K13" s="527"/>
      <c r="L13" s="527">
        <v>274804064.26633006</v>
      </c>
    </row>
    <row r="14" spans="1:12">
      <c r="A14" s="10"/>
      <c r="B14" s="138" t="s">
        <v>370</v>
      </c>
      <c r="C14" s="313"/>
      <c r="D14" s="313"/>
      <c r="E14" s="313"/>
      <c r="F14" s="313"/>
      <c r="G14" s="314"/>
      <c r="I14" s="510"/>
      <c r="J14" s="313"/>
      <c r="K14" s="313"/>
      <c r="L14" s="314"/>
    </row>
    <row r="15" spans="1:12" ht="15" customHeight="1">
      <c r="A15" s="8">
        <v>7</v>
      </c>
      <c r="B15" s="11" t="s">
        <v>369</v>
      </c>
      <c r="C15" s="528">
        <v>2327468517.7289338</v>
      </c>
      <c r="D15" s="528">
        <v>2188849088.750977</v>
      </c>
      <c r="E15" s="529">
        <v>2144983701.6647725</v>
      </c>
      <c r="F15" s="529">
        <v>1992317162.3594787</v>
      </c>
      <c r="G15" s="529">
        <v>1950116748.2201159</v>
      </c>
      <c r="I15" s="511"/>
      <c r="J15" s="512"/>
      <c r="K15" s="529"/>
      <c r="L15" s="529">
        <v>2017809587.2925699</v>
      </c>
    </row>
    <row r="16" spans="1:12">
      <c r="A16" s="10"/>
      <c r="B16" s="138" t="s">
        <v>371</v>
      </c>
      <c r="C16" s="313"/>
      <c r="D16" s="313"/>
      <c r="E16" s="313"/>
      <c r="F16" s="313"/>
      <c r="G16" s="314"/>
      <c r="I16" s="510"/>
      <c r="J16" s="313"/>
      <c r="K16" s="313"/>
      <c r="L16" s="314"/>
    </row>
    <row r="17" spans="1:12">
      <c r="A17" s="8"/>
      <c r="B17" s="139" t="s">
        <v>355</v>
      </c>
      <c r="C17" s="313"/>
      <c r="D17" s="313"/>
      <c r="E17" s="313"/>
      <c r="F17" s="313"/>
      <c r="G17" s="314"/>
      <c r="I17" s="510"/>
      <c r="J17" s="313"/>
      <c r="K17" s="313"/>
      <c r="L17" s="314"/>
    </row>
    <row r="18" spans="1:12">
      <c r="A18" s="8">
        <v>8</v>
      </c>
      <c r="B18" s="11" t="s">
        <v>364</v>
      </c>
      <c r="C18" s="530">
        <v>0.13212248118400283</v>
      </c>
      <c r="D18" s="531">
        <v>0.13466439139858916</v>
      </c>
      <c r="E18" s="532">
        <v>0.13158711334308248</v>
      </c>
      <c r="F18" s="532">
        <v>0.13731808686825581</v>
      </c>
      <c r="G18" s="532">
        <v>0.13366789083674774</v>
      </c>
      <c r="I18" s="511"/>
      <c r="J18" s="512"/>
      <c r="K18" s="532"/>
      <c r="L18" s="532">
        <v>0.11800057044008747</v>
      </c>
    </row>
    <row r="19" spans="1:12" ht="15" customHeight="1">
      <c r="A19" s="8">
        <v>9</v>
      </c>
      <c r="B19" s="11" t="s">
        <v>365</v>
      </c>
      <c r="C19" s="530">
        <v>0.13212248118400283</v>
      </c>
      <c r="D19" s="531">
        <v>0.13466439139858916</v>
      </c>
      <c r="E19" s="532">
        <v>0.13158711334308248</v>
      </c>
      <c r="F19" s="532">
        <v>0.13731808686825581</v>
      </c>
      <c r="G19" s="532">
        <v>0.13366789083674774</v>
      </c>
      <c r="I19" s="511"/>
      <c r="J19" s="512"/>
      <c r="K19" s="532"/>
      <c r="L19" s="532">
        <v>0.11800057044008747</v>
      </c>
    </row>
    <row r="20" spans="1:12">
      <c r="A20" s="8">
        <v>10</v>
      </c>
      <c r="B20" s="11" t="s">
        <v>143</v>
      </c>
      <c r="C20" s="530">
        <v>0.16853484395258492</v>
      </c>
      <c r="D20" s="531">
        <v>0.17652546143347467</v>
      </c>
      <c r="E20" s="532">
        <v>0.17568102507145303</v>
      </c>
      <c r="F20" s="532">
        <v>0.17503001216784991</v>
      </c>
      <c r="G20" s="532">
        <v>0.17402568893874967</v>
      </c>
      <c r="I20" s="511"/>
      <c r="J20" s="512"/>
      <c r="K20" s="532"/>
      <c r="L20" s="532">
        <v>0.16711132105066043</v>
      </c>
    </row>
    <row r="21" spans="1:12">
      <c r="A21" s="8">
        <v>11</v>
      </c>
      <c r="B21" s="11" t="s">
        <v>367</v>
      </c>
      <c r="C21" s="530">
        <v>0.1072723802769953</v>
      </c>
      <c r="D21" s="530">
        <v>0.10746352646599842</v>
      </c>
      <c r="E21" s="532">
        <v>0.10427227140458992</v>
      </c>
      <c r="F21" s="532">
        <v>0.10609061518793181</v>
      </c>
      <c r="G21" s="532">
        <v>0.10570914650952051</v>
      </c>
      <c r="I21" s="511"/>
      <c r="J21" s="512"/>
      <c r="K21" s="532"/>
      <c r="L21" s="532">
        <v>8.7466004958193178E-2</v>
      </c>
    </row>
    <row r="22" spans="1:12">
      <c r="A22" s="8">
        <v>12</v>
      </c>
      <c r="B22" s="11" t="s">
        <v>368</v>
      </c>
      <c r="C22" s="530">
        <v>0.1282009200488812</v>
      </c>
      <c r="D22" s="530">
        <v>0.12837187011541368</v>
      </c>
      <c r="E22" s="532">
        <v>0.12519925594812636</v>
      </c>
      <c r="F22" s="532">
        <v>0.12701802524878519</v>
      </c>
      <c r="G22" s="532">
        <v>0.12664580468279402</v>
      </c>
      <c r="I22" s="511"/>
      <c r="J22" s="512"/>
      <c r="K22" s="532"/>
      <c r="L22" s="532">
        <v>0.10839197092615155</v>
      </c>
    </row>
    <row r="23" spans="1:12">
      <c r="A23" s="8">
        <v>13</v>
      </c>
      <c r="B23" s="11" t="s">
        <v>366</v>
      </c>
      <c r="C23" s="530">
        <v>0.15600163027504688</v>
      </c>
      <c r="D23" s="530">
        <v>0.15614600649622323</v>
      </c>
      <c r="E23" s="532">
        <v>0.1529979198212007</v>
      </c>
      <c r="F23" s="532">
        <v>0.15481724901306598</v>
      </c>
      <c r="G23" s="532">
        <v>0.15445719701604868</v>
      </c>
      <c r="I23" s="511"/>
      <c r="J23" s="512"/>
      <c r="K23" s="532"/>
      <c r="L23" s="532">
        <v>0.13618929456820209</v>
      </c>
    </row>
    <row r="24" spans="1:12">
      <c r="A24" s="10"/>
      <c r="B24" s="138" t="s">
        <v>89</v>
      </c>
      <c r="C24" s="313"/>
      <c r="D24" s="313"/>
      <c r="E24" s="313"/>
      <c r="F24" s="313"/>
      <c r="G24" s="314"/>
      <c r="I24" s="510"/>
      <c r="J24" s="313"/>
      <c r="K24" s="313"/>
      <c r="L24" s="314"/>
    </row>
    <row r="25" spans="1:12" ht="15" customHeight="1">
      <c r="A25" s="315">
        <v>14</v>
      </c>
      <c r="B25" s="11" t="s">
        <v>88</v>
      </c>
      <c r="C25" s="533">
        <v>0.19253379781443603</v>
      </c>
      <c r="D25" s="534">
        <v>0.19471331239746859</v>
      </c>
      <c r="E25" s="534">
        <v>0.19844300818259863</v>
      </c>
      <c r="F25" s="534">
        <v>0.20165843052568264</v>
      </c>
      <c r="G25" s="535">
        <v>0.19999527941386908</v>
      </c>
      <c r="I25" s="513"/>
      <c r="J25" s="514"/>
      <c r="K25" s="534"/>
      <c r="L25" s="534">
        <v>0.16472293116836484</v>
      </c>
    </row>
    <row r="26" spans="1:12">
      <c r="A26" s="315">
        <v>15</v>
      </c>
      <c r="B26" s="11" t="s">
        <v>87</v>
      </c>
      <c r="C26" s="533">
        <v>8.1955343895458471E-2</v>
      </c>
      <c r="D26" s="534">
        <v>8.4122770748092768E-2</v>
      </c>
      <c r="E26" s="534">
        <v>8.8097851768275032E-2</v>
      </c>
      <c r="F26" s="534">
        <v>8.8709309573833328E-2</v>
      </c>
      <c r="G26" s="535">
        <v>8.9230553744010108E-2</v>
      </c>
      <c r="I26" s="513"/>
      <c r="J26" s="514"/>
      <c r="K26" s="534"/>
      <c r="L26" s="534">
        <v>8.698686307012729E-2</v>
      </c>
    </row>
    <row r="27" spans="1:12">
      <c r="A27" s="315">
        <v>16</v>
      </c>
      <c r="B27" s="11" t="s">
        <v>86</v>
      </c>
      <c r="C27" s="533">
        <v>5.6337157255993871E-2</v>
      </c>
      <c r="D27" s="534">
        <v>5.2486735611213073E-2</v>
      </c>
      <c r="E27" s="534">
        <v>5.3579218956215487E-2</v>
      </c>
      <c r="F27" s="534">
        <v>4.8751558674860834E-2</v>
      </c>
      <c r="G27" s="535">
        <v>4.535246578869833E-2</v>
      </c>
      <c r="I27" s="513"/>
      <c r="J27" s="514"/>
      <c r="K27" s="534"/>
      <c r="L27" s="534">
        <v>3.2228817310131372E-2</v>
      </c>
    </row>
    <row r="28" spans="1:12">
      <c r="A28" s="315">
        <v>17</v>
      </c>
      <c r="B28" s="11" t="s">
        <v>85</v>
      </c>
      <c r="C28" s="533">
        <v>0.11057845391897754</v>
      </c>
      <c r="D28" s="534">
        <v>0.11059054164937582</v>
      </c>
      <c r="E28" s="534">
        <v>0.1103451564143236</v>
      </c>
      <c r="F28" s="534">
        <v>0.11294912095184928</v>
      </c>
      <c r="G28" s="535">
        <v>0.11076472566985895</v>
      </c>
      <c r="I28" s="513"/>
      <c r="J28" s="514"/>
      <c r="K28" s="534"/>
      <c r="L28" s="534">
        <v>7.7736068098237535E-2</v>
      </c>
    </row>
    <row r="29" spans="1:12">
      <c r="A29" s="315">
        <v>18</v>
      </c>
      <c r="B29" s="11" t="s">
        <v>167</v>
      </c>
      <c r="C29" s="533">
        <v>1.8909144248147748E-2</v>
      </c>
      <c r="D29" s="534">
        <v>1.7735109302061541E-2</v>
      </c>
      <c r="E29" s="534">
        <v>1.71543416866742E-2</v>
      </c>
      <c r="F29" s="534">
        <v>1.5755517094875125E-2</v>
      </c>
      <c r="G29" s="535">
        <v>1.2539140240782745E-2</v>
      </c>
      <c r="I29" s="513"/>
      <c r="J29" s="514"/>
      <c r="K29" s="534"/>
      <c r="L29" s="534">
        <v>2.1427121222337031E-2</v>
      </c>
    </row>
    <row r="30" spans="1:12">
      <c r="A30" s="315">
        <v>19</v>
      </c>
      <c r="B30" s="11" t="s">
        <v>168</v>
      </c>
      <c r="C30" s="533">
        <v>0.15192912114358181</v>
      </c>
      <c r="D30" s="534">
        <v>0.14134815594655317</v>
      </c>
      <c r="E30" s="534">
        <v>0.13904267442844001</v>
      </c>
      <c r="F30" s="534">
        <v>0.12818915166632455</v>
      </c>
      <c r="G30" s="535">
        <v>0.10215598934812109</v>
      </c>
      <c r="I30" s="513"/>
      <c r="J30" s="514"/>
      <c r="K30" s="534"/>
      <c r="L30" s="534">
        <v>0.19558561384584894</v>
      </c>
    </row>
    <row r="31" spans="1:12">
      <c r="A31" s="10"/>
      <c r="B31" s="138" t="s">
        <v>230</v>
      </c>
      <c r="C31" s="313"/>
      <c r="D31" s="313"/>
      <c r="E31" s="313"/>
      <c r="F31" s="313"/>
      <c r="G31" s="314"/>
      <c r="I31" s="510"/>
      <c r="J31" s="313"/>
      <c r="K31" s="313"/>
      <c r="L31" s="314"/>
    </row>
    <row r="32" spans="1:12">
      <c r="A32" s="315">
        <v>20</v>
      </c>
      <c r="B32" s="11" t="s">
        <v>84</v>
      </c>
      <c r="C32" s="533">
        <v>8.7586572703909852E-3</v>
      </c>
      <c r="D32" s="536">
        <v>8.1219588336098412E-3</v>
      </c>
      <c r="E32" s="537">
        <v>9.7530832598432034E-3</v>
      </c>
      <c r="F32" s="537">
        <v>7.4144834285758739E-3</v>
      </c>
      <c r="G32" s="537">
        <v>7.7999999999999996E-3</v>
      </c>
      <c r="I32" s="513"/>
      <c r="J32" s="514"/>
      <c r="K32" s="534"/>
      <c r="L32" s="534">
        <v>1.9863989380456613E-2</v>
      </c>
    </row>
    <row r="33" spans="1:12" ht="15" customHeight="1">
      <c r="A33" s="315">
        <v>21</v>
      </c>
      <c r="B33" s="11" t="s">
        <v>83</v>
      </c>
      <c r="C33" s="533">
        <v>2.1871875651814743E-2</v>
      </c>
      <c r="D33" s="536">
        <v>2.1194038964220549E-2</v>
      </c>
      <c r="E33" s="534">
        <v>2.1495102154491498E-2</v>
      </c>
      <c r="F33" s="534">
        <v>2.1419550833918735E-2</v>
      </c>
      <c r="G33" s="534">
        <v>2.1999999999999999E-2</v>
      </c>
      <c r="I33" s="513"/>
      <c r="J33" s="514"/>
      <c r="K33" s="534"/>
      <c r="L33" s="534">
        <v>3.0701935911251893E-2</v>
      </c>
    </row>
    <row r="34" spans="1:12">
      <c r="A34" s="315">
        <v>22</v>
      </c>
      <c r="B34" s="11" t="s">
        <v>82</v>
      </c>
      <c r="C34" s="533">
        <v>0.10276321098714909</v>
      </c>
      <c r="D34" s="536">
        <v>0.10045865201514509</v>
      </c>
      <c r="E34" s="534">
        <v>0.10338967450284264</v>
      </c>
      <c r="F34" s="534">
        <v>0.10351869435446093</v>
      </c>
      <c r="G34" s="534">
        <v>0.1048</v>
      </c>
      <c r="I34" s="513"/>
      <c r="J34" s="514"/>
      <c r="K34" s="534"/>
      <c r="L34" s="534">
        <v>0.10448446454123435</v>
      </c>
    </row>
    <row r="35" spans="1:12" ht="15" customHeight="1">
      <c r="A35" s="315">
        <v>23</v>
      </c>
      <c r="B35" s="11" t="s">
        <v>81</v>
      </c>
      <c r="C35" s="533">
        <v>0.14991316449708772</v>
      </c>
      <c r="D35" s="536">
        <v>0.14234189175559583</v>
      </c>
      <c r="E35" s="534">
        <v>0.15449997552386294</v>
      </c>
      <c r="F35" s="534">
        <v>0.16217350737877462</v>
      </c>
      <c r="G35" s="534">
        <v>0.15959999999999999</v>
      </c>
      <c r="I35" s="513"/>
      <c r="J35" s="514"/>
      <c r="K35" s="534"/>
      <c r="L35" s="534">
        <v>0.15763967398674023</v>
      </c>
    </row>
    <row r="36" spans="1:12">
      <c r="A36" s="315">
        <v>24</v>
      </c>
      <c r="B36" s="11" t="s">
        <v>80</v>
      </c>
      <c r="C36" s="533">
        <v>0.10679062780268311</v>
      </c>
      <c r="D36" s="536">
        <v>3.0171373791620715E-2</v>
      </c>
      <c r="E36" s="534">
        <v>0.12972628367582595</v>
      </c>
      <c r="F36" s="534">
        <v>6.9868414348527752E-2</v>
      </c>
      <c r="G36" s="534">
        <v>1.47E-2</v>
      </c>
      <c r="I36" s="513"/>
      <c r="J36" s="514"/>
      <c r="K36" s="534"/>
      <c r="L36" s="534">
        <v>4.3132208158023211E-2</v>
      </c>
    </row>
    <row r="37" spans="1:12" ht="15" customHeight="1">
      <c r="A37" s="10"/>
      <c r="B37" s="138" t="s">
        <v>231</v>
      </c>
      <c r="C37" s="313"/>
      <c r="D37" s="313"/>
      <c r="E37" s="313"/>
      <c r="F37" s="313"/>
      <c r="G37" s="314"/>
      <c r="I37" s="510"/>
      <c r="J37" s="313"/>
      <c r="K37" s="313"/>
      <c r="L37" s="314"/>
    </row>
    <row r="38" spans="1:12" ht="15" customHeight="1">
      <c r="A38" s="315">
        <v>25</v>
      </c>
      <c r="B38" s="11" t="s">
        <v>79</v>
      </c>
      <c r="C38" s="533">
        <v>9.74E-2</v>
      </c>
      <c r="D38" s="533">
        <v>0.11453361552620851</v>
      </c>
      <c r="E38" s="536">
        <v>0.1157894550541905</v>
      </c>
      <c r="F38" s="536">
        <v>0.13885243177897869</v>
      </c>
      <c r="G38" s="536">
        <v>0.1237</v>
      </c>
      <c r="I38" s="515"/>
      <c r="J38" s="516"/>
      <c r="K38" s="536"/>
      <c r="L38" s="536">
        <v>0.13306139921560961</v>
      </c>
    </row>
    <row r="39" spans="1:12" ht="15" customHeight="1">
      <c r="A39" s="315">
        <v>26</v>
      </c>
      <c r="B39" s="11" t="s">
        <v>78</v>
      </c>
      <c r="C39" s="533">
        <v>0.26135797701365837</v>
      </c>
      <c r="D39" s="536">
        <v>0.27592078848908108</v>
      </c>
      <c r="E39" s="536">
        <v>0.28190597541225704</v>
      </c>
      <c r="F39" s="536">
        <v>0.27619886094964935</v>
      </c>
      <c r="G39" s="536">
        <v>0.27900000000000003</v>
      </c>
      <c r="I39" s="515"/>
      <c r="J39" s="516"/>
      <c r="K39" s="536"/>
      <c r="L39" s="536">
        <v>0.27400709540261015</v>
      </c>
    </row>
    <row r="40" spans="1:12" ht="15" customHeight="1">
      <c r="A40" s="315">
        <v>27</v>
      </c>
      <c r="B40" s="11" t="s">
        <v>77</v>
      </c>
      <c r="C40" s="533">
        <v>0.12502131745250195</v>
      </c>
      <c r="D40" s="536">
        <v>0.12405639796147981</v>
      </c>
      <c r="E40" s="536">
        <v>0.13196480147465034</v>
      </c>
      <c r="F40" s="536">
        <v>0.11626490808823245</v>
      </c>
      <c r="G40" s="536">
        <v>0.1143</v>
      </c>
      <c r="I40" s="515"/>
      <c r="J40" s="516"/>
      <c r="K40" s="536"/>
      <c r="L40" s="536">
        <v>0.11290332193742683</v>
      </c>
    </row>
    <row r="41" spans="1:12" ht="15" customHeight="1">
      <c r="A41" s="316"/>
      <c r="B41" s="138" t="s">
        <v>272</v>
      </c>
      <c r="C41" s="313"/>
      <c r="D41" s="313"/>
      <c r="E41" s="313"/>
      <c r="F41" s="313"/>
      <c r="G41" s="314"/>
      <c r="I41" s="510"/>
      <c r="J41" s="313"/>
      <c r="K41" s="313"/>
      <c r="L41" s="314"/>
    </row>
    <row r="42" spans="1:12">
      <c r="A42" s="315">
        <v>28</v>
      </c>
      <c r="B42" s="11" t="s">
        <v>255</v>
      </c>
      <c r="C42" s="538">
        <v>322932808.75098884</v>
      </c>
      <c r="D42" s="539">
        <v>286777207.70376343</v>
      </c>
      <c r="E42" s="540">
        <v>310366256.82059133</v>
      </c>
      <c r="F42" s="540">
        <v>297388065.41654223</v>
      </c>
      <c r="G42" s="540">
        <v>250231994.76926982</v>
      </c>
      <c r="I42" s="513"/>
      <c r="J42" s="514"/>
      <c r="K42" s="538"/>
      <c r="L42" s="545">
        <v>273697131.07999998</v>
      </c>
    </row>
    <row r="43" spans="1:12" ht="15" customHeight="1">
      <c r="A43" s="315">
        <v>29</v>
      </c>
      <c r="B43" s="11" t="s">
        <v>267</v>
      </c>
      <c r="C43" s="538">
        <v>251877305.676018</v>
      </c>
      <c r="D43" s="539">
        <v>205992124.83978236</v>
      </c>
      <c r="E43" s="541">
        <v>190296632.22046226</v>
      </c>
      <c r="F43" s="541">
        <v>146641907.00037274</v>
      </c>
      <c r="G43" s="541">
        <v>134230427.80348599</v>
      </c>
      <c r="I43" s="513"/>
      <c r="J43" s="514"/>
      <c r="K43" s="538"/>
      <c r="L43" s="546">
        <v>144543917.90864196</v>
      </c>
    </row>
    <row r="44" spans="1:12" ht="15" customHeight="1">
      <c r="A44" s="348">
        <v>30</v>
      </c>
      <c r="B44" s="349" t="s">
        <v>256</v>
      </c>
      <c r="C44" s="542">
        <v>1.2821036332918669</v>
      </c>
      <c r="D44" s="542">
        <v>1.3921755888814416</v>
      </c>
      <c r="E44" s="543">
        <v>1.6309603233599328</v>
      </c>
      <c r="F44" s="543">
        <v>2.0279882572434516</v>
      </c>
      <c r="G44" s="544">
        <v>1.8641972529180246</v>
      </c>
      <c r="I44" s="517"/>
      <c r="J44" s="518"/>
      <c r="K44" s="533"/>
      <c r="L44" s="536">
        <v>1.893522294400436</v>
      </c>
    </row>
    <row r="45" spans="1:12" ht="15" customHeight="1">
      <c r="A45" s="348"/>
      <c r="B45" s="138" t="s">
        <v>374</v>
      </c>
      <c r="C45" s="313"/>
      <c r="D45" s="313"/>
      <c r="E45" s="313"/>
      <c r="F45" s="313"/>
      <c r="G45" s="314"/>
      <c r="I45" s="510"/>
      <c r="J45" s="313"/>
      <c r="K45" s="313"/>
      <c r="L45" s="314"/>
    </row>
    <row r="46" spans="1:12" ht="15" customHeight="1">
      <c r="A46" s="348">
        <v>31</v>
      </c>
      <c r="B46" s="349" t="s">
        <v>381</v>
      </c>
      <c r="C46" s="547">
        <v>1994145286.5617981</v>
      </c>
      <c r="D46" s="547">
        <v>1773147269.2837365</v>
      </c>
      <c r="E46" s="548">
        <v>1733165385.5043237</v>
      </c>
      <c r="F46" s="548">
        <v>1683962194.49</v>
      </c>
      <c r="G46" s="548">
        <v>1699059876.4952438</v>
      </c>
      <c r="I46" s="517"/>
      <c r="J46" s="518"/>
      <c r="K46" s="547"/>
      <c r="L46" s="548">
        <v>1670552616.4387963</v>
      </c>
    </row>
    <row r="47" spans="1:12" ht="15" customHeight="1">
      <c r="A47" s="348">
        <v>32</v>
      </c>
      <c r="B47" s="349" t="s">
        <v>396</v>
      </c>
      <c r="C47" s="547">
        <v>1662737766.77197</v>
      </c>
      <c r="D47" s="547">
        <v>1520451279.7750127</v>
      </c>
      <c r="E47" s="548">
        <v>1479507030.2746589</v>
      </c>
      <c r="F47" s="548">
        <v>1367414778.53</v>
      </c>
      <c r="G47" s="548">
        <v>1360891625.4603355</v>
      </c>
      <c r="I47" s="517"/>
      <c r="J47" s="518"/>
      <c r="K47" s="547"/>
      <c r="L47" s="548">
        <v>1371227000.0091734</v>
      </c>
    </row>
    <row r="48" spans="1:12" ht="14.4" thickBot="1">
      <c r="A48" s="317">
        <v>33</v>
      </c>
      <c r="B48" s="140" t="s">
        <v>414</v>
      </c>
      <c r="C48" s="549">
        <v>1.1993143634385415</v>
      </c>
      <c r="D48" s="549">
        <v>1.1661980182266125</v>
      </c>
      <c r="E48" s="550">
        <v>1.1714478877349945</v>
      </c>
      <c r="F48" s="550">
        <v>1.231493341</v>
      </c>
      <c r="G48" s="550">
        <v>1.248490213848233</v>
      </c>
      <c r="I48" s="519"/>
      <c r="J48" s="12"/>
      <c r="K48" s="551"/>
      <c r="L48" s="550">
        <v>1.2182903461116361</v>
      </c>
    </row>
    <row r="49" spans="1:2">
      <c r="A49" s="13"/>
    </row>
    <row r="50" spans="1:2" ht="39.6">
      <c r="B50" s="196" t="s">
        <v>711</v>
      </c>
    </row>
    <row r="51" spans="1:2" ht="52.8">
      <c r="B51" s="196" t="s">
        <v>271</v>
      </c>
    </row>
    <row r="53" spans="1:2" ht="14.4">
      <c r="B53" s="195"/>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topLeftCell="A46" zoomScale="80" zoomScaleNormal="80" workbookViewId="0">
      <selection activeCell="F67" sqref="F67"/>
    </sheetView>
  </sheetViews>
  <sheetFormatPr defaultRowHeight="14.4"/>
  <cols>
    <col min="1" max="1" width="8.77734375" style="386"/>
    <col min="2" max="2" width="69.21875" style="387" customWidth="1"/>
    <col min="3" max="3" width="13.6640625" customWidth="1"/>
    <col min="4" max="4" width="14.44140625" customWidth="1"/>
    <col min="5" max="5" width="16.33203125" bestFit="1" customWidth="1"/>
    <col min="6" max="6" width="14" bestFit="1" customWidth="1"/>
    <col min="7" max="7" width="13.21875" customWidth="1"/>
    <col min="8" max="8" width="14" bestFit="1" customWidth="1"/>
  </cols>
  <sheetData>
    <row r="1" spans="1:8" s="5" customFormat="1" ht="13.8">
      <c r="A1" s="2" t="s">
        <v>30</v>
      </c>
      <c r="B1" s="3" t="str">
        <f>'Info '!C2</f>
        <v>JSC "CREDOBANK"</v>
      </c>
      <c r="C1" s="3"/>
      <c r="D1" s="4"/>
      <c r="E1" s="4"/>
      <c r="F1" s="4"/>
      <c r="G1" s="4"/>
    </row>
    <row r="2" spans="1:8" s="5" customFormat="1" ht="13.8">
      <c r="A2" s="2" t="s">
        <v>31</v>
      </c>
      <c r="B2" s="312">
        <f>'1. key ratios '!B2</f>
        <v>45473</v>
      </c>
      <c r="C2" s="3"/>
      <c r="D2" s="4"/>
      <c r="E2" s="4"/>
      <c r="F2" s="4"/>
      <c r="G2" s="4"/>
    </row>
    <row r="3" spans="1:8" s="5" customFormat="1" ht="13.8">
      <c r="A3" s="2"/>
      <c r="B3" s="3"/>
      <c r="C3" s="3"/>
      <c r="D3" s="4"/>
      <c r="E3" s="4"/>
      <c r="F3" s="4"/>
      <c r="G3" s="4"/>
    </row>
    <row r="4" spans="1:8" ht="21" customHeight="1">
      <c r="A4" s="677" t="s">
        <v>6</v>
      </c>
      <c r="B4" s="678" t="s">
        <v>560</v>
      </c>
      <c r="C4" s="680" t="s">
        <v>561</v>
      </c>
      <c r="D4" s="680"/>
      <c r="E4" s="680"/>
      <c r="F4" s="680" t="s">
        <v>562</v>
      </c>
      <c r="G4" s="680"/>
      <c r="H4" s="681"/>
    </row>
    <row r="5" spans="1:8" ht="21" customHeight="1">
      <c r="A5" s="677"/>
      <c r="B5" s="679"/>
      <c r="C5" s="356" t="s">
        <v>32</v>
      </c>
      <c r="D5" s="356" t="s">
        <v>33</v>
      </c>
      <c r="E5" s="356" t="s">
        <v>34</v>
      </c>
      <c r="F5" s="356" t="s">
        <v>32</v>
      </c>
      <c r="G5" s="356" t="s">
        <v>33</v>
      </c>
      <c r="H5" s="356" t="s">
        <v>34</v>
      </c>
    </row>
    <row r="6" spans="1:8" ht="26.55" customHeight="1">
      <c r="A6" s="677"/>
      <c r="B6" s="357" t="s">
        <v>563</v>
      </c>
      <c r="C6" s="682"/>
      <c r="D6" s="683"/>
      <c r="E6" s="683"/>
      <c r="F6" s="683"/>
      <c r="G6" s="683"/>
      <c r="H6" s="684"/>
    </row>
    <row r="7" spans="1:8" ht="22.95" customHeight="1">
      <c r="A7" s="358">
        <v>1</v>
      </c>
      <c r="B7" s="359" t="s">
        <v>564</v>
      </c>
      <c r="C7" s="663">
        <f>SUM(C8:C10)</f>
        <v>185397966.5</v>
      </c>
      <c r="D7" s="663">
        <f>SUM(D8:D10)</f>
        <v>171109276.51999998</v>
      </c>
      <c r="E7" s="554">
        <f>C7+D7</f>
        <v>356507243.01999998</v>
      </c>
      <c r="F7" s="663">
        <f>SUM(F8:F10)</f>
        <v>133308900.64</v>
      </c>
      <c r="G7" s="663">
        <f>SUM(G8:G10)</f>
        <v>166328012.00999999</v>
      </c>
      <c r="H7" s="554">
        <f>F7+G7</f>
        <v>299636912.64999998</v>
      </c>
    </row>
    <row r="8" spans="1:8">
      <c r="A8" s="358">
        <v>1.1000000000000001</v>
      </c>
      <c r="B8" s="360" t="s">
        <v>565</v>
      </c>
      <c r="C8" s="552">
        <v>48554469.75</v>
      </c>
      <c r="D8" s="552">
        <v>40279658.359999999</v>
      </c>
      <c r="E8" s="554">
        <f t="shared" ref="E8:E36" si="0">C8+D8</f>
        <v>88834128.109999999</v>
      </c>
      <c r="F8" s="552">
        <v>45725319.049999997</v>
      </c>
      <c r="G8" s="552">
        <v>31700988.260000005</v>
      </c>
      <c r="H8" s="554">
        <f t="shared" ref="H8:H36" si="1">F8+G8</f>
        <v>77426307.310000002</v>
      </c>
    </row>
    <row r="9" spans="1:8">
      <c r="A9" s="358">
        <v>1.2</v>
      </c>
      <c r="B9" s="360" t="s">
        <v>566</v>
      </c>
      <c r="C9" s="552">
        <v>136315599.5</v>
      </c>
      <c r="D9" s="552">
        <v>51420799.060000002</v>
      </c>
      <c r="E9" s="554">
        <f t="shared" si="0"/>
        <v>187736398.56</v>
      </c>
      <c r="F9" s="552">
        <v>85375468.120000005</v>
      </c>
      <c r="G9" s="552">
        <v>33909903.859999999</v>
      </c>
      <c r="H9" s="554">
        <f t="shared" si="1"/>
        <v>119285371.98</v>
      </c>
    </row>
    <row r="10" spans="1:8">
      <c r="A10" s="358">
        <v>1.3</v>
      </c>
      <c r="B10" s="360" t="s">
        <v>567</v>
      </c>
      <c r="C10" s="552">
        <v>527897.25</v>
      </c>
      <c r="D10" s="552">
        <v>79408819.099999994</v>
      </c>
      <c r="E10" s="554">
        <f t="shared" si="0"/>
        <v>79936716.349999994</v>
      </c>
      <c r="F10" s="552">
        <v>2208113.4700000002</v>
      </c>
      <c r="G10" s="552">
        <v>100717119.89</v>
      </c>
      <c r="H10" s="554">
        <f t="shared" si="1"/>
        <v>102925233.36</v>
      </c>
    </row>
    <row r="11" spans="1:8">
      <c r="A11" s="358">
        <v>2</v>
      </c>
      <c r="B11" s="361" t="s">
        <v>568</v>
      </c>
      <c r="C11" s="552">
        <v>906908.67</v>
      </c>
      <c r="D11" s="373"/>
      <c r="E11" s="554">
        <f t="shared" si="0"/>
        <v>906908.67</v>
      </c>
      <c r="F11" s="552">
        <v>698316.45</v>
      </c>
      <c r="G11" s="552"/>
      <c r="H11" s="554">
        <f t="shared" si="1"/>
        <v>698316.45</v>
      </c>
    </row>
    <row r="12" spans="1:8">
      <c r="A12" s="358">
        <v>2.1</v>
      </c>
      <c r="B12" s="362" t="s">
        <v>569</v>
      </c>
      <c r="C12" s="552">
        <v>906908.67</v>
      </c>
      <c r="D12" s="373"/>
      <c r="E12" s="554">
        <f t="shared" si="0"/>
        <v>906908.67</v>
      </c>
      <c r="F12" s="552">
        <v>698316.45</v>
      </c>
      <c r="G12" s="552"/>
      <c r="H12" s="554">
        <f t="shared" si="1"/>
        <v>698316.45</v>
      </c>
    </row>
    <row r="13" spans="1:8" ht="26.55" customHeight="1">
      <c r="A13" s="358">
        <v>3</v>
      </c>
      <c r="B13" s="363" t="s">
        <v>570</v>
      </c>
      <c r="C13" s="552"/>
      <c r="D13" s="552"/>
      <c r="E13" s="554">
        <f t="shared" si="0"/>
        <v>0</v>
      </c>
      <c r="F13" s="552"/>
      <c r="G13" s="552"/>
      <c r="H13" s="554">
        <f t="shared" si="1"/>
        <v>0</v>
      </c>
    </row>
    <row r="14" spans="1:8" ht="26.55" customHeight="1">
      <c r="A14" s="358">
        <v>4</v>
      </c>
      <c r="B14" s="364" t="s">
        <v>571</v>
      </c>
      <c r="C14" s="552"/>
      <c r="D14" s="552"/>
      <c r="E14" s="554">
        <f t="shared" si="0"/>
        <v>0</v>
      </c>
      <c r="F14" s="552"/>
      <c r="G14" s="552"/>
      <c r="H14" s="554">
        <f t="shared" si="1"/>
        <v>0</v>
      </c>
    </row>
    <row r="15" spans="1:8" ht="24.45" customHeight="1">
      <c r="A15" s="358">
        <v>5</v>
      </c>
      <c r="B15" s="365" t="s">
        <v>572</v>
      </c>
      <c r="C15" s="553">
        <f>SUM(C16:C18)</f>
        <v>0</v>
      </c>
      <c r="D15" s="553">
        <f>SUM(D16:D18)</f>
        <v>0</v>
      </c>
      <c r="E15" s="555">
        <f t="shared" si="0"/>
        <v>0</v>
      </c>
      <c r="F15" s="553">
        <f>SUM(F16:F18)</f>
        <v>0</v>
      </c>
      <c r="G15" s="553">
        <f>SUM(G16:G18)</f>
        <v>0</v>
      </c>
      <c r="H15" s="555">
        <f t="shared" si="1"/>
        <v>0</v>
      </c>
    </row>
    <row r="16" spans="1:8">
      <c r="A16" s="358">
        <v>5.0999999999999996</v>
      </c>
      <c r="B16" s="366" t="s">
        <v>573</v>
      </c>
      <c r="C16" s="552"/>
      <c r="D16" s="552"/>
      <c r="E16" s="554">
        <f t="shared" si="0"/>
        <v>0</v>
      </c>
      <c r="F16" s="552"/>
      <c r="G16" s="552"/>
      <c r="H16" s="554">
        <f t="shared" si="1"/>
        <v>0</v>
      </c>
    </row>
    <row r="17" spans="1:8">
      <c r="A17" s="358">
        <v>5.2</v>
      </c>
      <c r="B17" s="366" t="s">
        <v>574</v>
      </c>
      <c r="C17" s="552"/>
      <c r="D17" s="552"/>
      <c r="E17" s="554">
        <f t="shared" si="0"/>
        <v>0</v>
      </c>
      <c r="F17" s="552"/>
      <c r="G17" s="552"/>
      <c r="H17" s="554">
        <f t="shared" si="1"/>
        <v>0</v>
      </c>
    </row>
    <row r="18" spans="1:8">
      <c r="A18" s="358">
        <v>5.3</v>
      </c>
      <c r="B18" s="367" t="s">
        <v>575</v>
      </c>
      <c r="C18" s="552"/>
      <c r="D18" s="552"/>
      <c r="E18" s="554">
        <f t="shared" si="0"/>
        <v>0</v>
      </c>
      <c r="F18" s="552"/>
      <c r="G18" s="552"/>
      <c r="H18" s="554">
        <f t="shared" si="1"/>
        <v>0</v>
      </c>
    </row>
    <row r="19" spans="1:8">
      <c r="A19" s="358">
        <v>6</v>
      </c>
      <c r="B19" s="363" t="s">
        <v>576</v>
      </c>
      <c r="C19" s="663">
        <f>SUM(C20:C21)</f>
        <v>1983660982.8453</v>
      </c>
      <c r="D19" s="663">
        <f>SUM(D20:D21)</f>
        <v>228424004.96383023</v>
      </c>
      <c r="E19" s="554">
        <f t="shared" si="0"/>
        <v>2212084987.8091302</v>
      </c>
      <c r="F19" s="663">
        <f>SUM(F20:F21)</f>
        <v>1690882276.0331099</v>
      </c>
      <c r="G19" s="663">
        <f>SUM(G20:G21)</f>
        <v>196585213.965597</v>
      </c>
      <c r="H19" s="554">
        <f t="shared" si="1"/>
        <v>1887467489.9987068</v>
      </c>
    </row>
    <row r="20" spans="1:8">
      <c r="A20" s="358">
        <v>6.1</v>
      </c>
      <c r="B20" s="366" t="s">
        <v>574</v>
      </c>
      <c r="C20" s="552">
        <v>19745284.289999999</v>
      </c>
      <c r="D20" s="552"/>
      <c r="E20" s="554">
        <f t="shared" si="0"/>
        <v>19745284.289999999</v>
      </c>
      <c r="F20" s="552">
        <v>48863928.109999999</v>
      </c>
      <c r="G20" s="552"/>
      <c r="H20" s="554">
        <f t="shared" si="1"/>
        <v>48863928.109999999</v>
      </c>
    </row>
    <row r="21" spans="1:8">
      <c r="A21" s="358">
        <v>6.2</v>
      </c>
      <c r="B21" s="367" t="s">
        <v>575</v>
      </c>
      <c r="C21" s="552">
        <v>1963915698.5553</v>
      </c>
      <c r="D21" s="552">
        <v>228424004.96383023</v>
      </c>
      <c r="E21" s="554">
        <f t="shared" si="0"/>
        <v>2192339703.5191302</v>
      </c>
      <c r="F21" s="552">
        <v>1642018347.92311</v>
      </c>
      <c r="G21" s="552">
        <v>196585213.965597</v>
      </c>
      <c r="H21" s="554">
        <f t="shared" si="1"/>
        <v>1838603561.8887069</v>
      </c>
    </row>
    <row r="22" spans="1:8">
      <c r="A22" s="358">
        <v>7</v>
      </c>
      <c r="B22" s="361" t="s">
        <v>577</v>
      </c>
      <c r="C22" s="552">
        <v>1737632.6</v>
      </c>
      <c r="D22" s="552"/>
      <c r="E22" s="554">
        <f t="shared" si="0"/>
        <v>1737632.6</v>
      </c>
      <c r="F22" s="552"/>
      <c r="G22" s="552"/>
      <c r="H22" s="554">
        <f t="shared" si="1"/>
        <v>0</v>
      </c>
    </row>
    <row r="23" spans="1:8">
      <c r="A23" s="358">
        <v>8</v>
      </c>
      <c r="B23" s="368" t="s">
        <v>578</v>
      </c>
      <c r="C23" s="552"/>
      <c r="D23" s="552"/>
      <c r="E23" s="554">
        <f t="shared" si="0"/>
        <v>0</v>
      </c>
      <c r="F23" s="552"/>
      <c r="G23" s="552"/>
      <c r="H23" s="554">
        <f t="shared" si="1"/>
        <v>0</v>
      </c>
    </row>
    <row r="24" spans="1:8">
      <c r="A24" s="358">
        <v>9</v>
      </c>
      <c r="B24" s="364" t="s">
        <v>579</v>
      </c>
      <c r="C24" s="663">
        <f>SUM(C25:C26)</f>
        <v>46309270.910000011</v>
      </c>
      <c r="D24" s="663">
        <f>SUM(D25:D26)</f>
        <v>0</v>
      </c>
      <c r="E24" s="554">
        <f t="shared" si="0"/>
        <v>46309270.910000011</v>
      </c>
      <c r="F24" s="663">
        <f>SUM(F25:F26)</f>
        <v>38702281.240000002</v>
      </c>
      <c r="G24" s="663">
        <f>SUM(G25:G26)</f>
        <v>0</v>
      </c>
      <c r="H24" s="554">
        <f t="shared" si="1"/>
        <v>38702281.240000002</v>
      </c>
    </row>
    <row r="25" spans="1:8">
      <c r="A25" s="358">
        <v>9.1</v>
      </c>
      <c r="B25" s="366" t="s">
        <v>580</v>
      </c>
      <c r="C25" s="552">
        <v>46309270.910000011</v>
      </c>
      <c r="D25" s="552"/>
      <c r="E25" s="554">
        <f t="shared" si="0"/>
        <v>46309270.910000011</v>
      </c>
      <c r="F25" s="552">
        <v>38702281.240000002</v>
      </c>
      <c r="G25" s="552"/>
      <c r="H25" s="554">
        <f t="shared" si="1"/>
        <v>38702281.240000002</v>
      </c>
    </row>
    <row r="26" spans="1:8">
      <c r="A26" s="358">
        <v>9.1999999999999993</v>
      </c>
      <c r="B26" s="366" t="s">
        <v>581</v>
      </c>
      <c r="C26" s="552"/>
      <c r="D26" s="552"/>
      <c r="E26" s="554">
        <f t="shared" si="0"/>
        <v>0</v>
      </c>
      <c r="F26" s="552"/>
      <c r="G26" s="552"/>
      <c r="H26" s="554">
        <f t="shared" si="1"/>
        <v>0</v>
      </c>
    </row>
    <row r="27" spans="1:8">
      <c r="A27" s="358">
        <v>10</v>
      </c>
      <c r="B27" s="364" t="s">
        <v>582</v>
      </c>
      <c r="C27" s="663">
        <f>SUM(C28:C29)</f>
        <v>25359073.809999995</v>
      </c>
      <c r="D27" s="552">
        <f>SUM(D28:D29)</f>
        <v>0</v>
      </c>
      <c r="E27" s="554">
        <f t="shared" si="0"/>
        <v>25359073.809999995</v>
      </c>
      <c r="F27" s="663">
        <f>SUM(F28:F29)</f>
        <v>18857962.90000001</v>
      </c>
      <c r="G27" s="552">
        <f>SUM(G28:G29)</f>
        <v>0</v>
      </c>
      <c r="H27" s="554">
        <f t="shared" si="1"/>
        <v>18857962.90000001</v>
      </c>
    </row>
    <row r="28" spans="1:8">
      <c r="A28" s="358">
        <v>10.1</v>
      </c>
      <c r="B28" s="366" t="s">
        <v>583</v>
      </c>
      <c r="C28" s="552"/>
      <c r="D28" s="552"/>
      <c r="E28" s="554">
        <f t="shared" si="0"/>
        <v>0</v>
      </c>
      <c r="F28" s="552"/>
      <c r="G28" s="552"/>
      <c r="H28" s="554">
        <f t="shared" si="1"/>
        <v>0</v>
      </c>
    </row>
    <row r="29" spans="1:8">
      <c r="A29" s="358">
        <v>10.199999999999999</v>
      </c>
      <c r="B29" s="366" t="s">
        <v>584</v>
      </c>
      <c r="C29" s="552">
        <v>25359073.809999995</v>
      </c>
      <c r="D29" s="552"/>
      <c r="E29" s="554">
        <f t="shared" si="0"/>
        <v>25359073.809999995</v>
      </c>
      <c r="F29" s="552">
        <v>18857962.90000001</v>
      </c>
      <c r="G29" s="552"/>
      <c r="H29" s="554">
        <f t="shared" si="1"/>
        <v>18857962.90000001</v>
      </c>
    </row>
    <row r="30" spans="1:8">
      <c r="A30" s="358">
        <v>11</v>
      </c>
      <c r="B30" s="364" t="s">
        <v>585</v>
      </c>
      <c r="C30" s="663">
        <f>SUM(C31:C32)</f>
        <v>0</v>
      </c>
      <c r="D30" s="552">
        <f>SUM(D31:D32)</f>
        <v>0</v>
      </c>
      <c r="E30" s="554">
        <f t="shared" si="0"/>
        <v>0</v>
      </c>
      <c r="F30" s="663">
        <f>SUM(F31:F32)</f>
        <v>1116264.32</v>
      </c>
      <c r="G30" s="552">
        <f>SUM(G31:G32)</f>
        <v>0</v>
      </c>
      <c r="H30" s="554">
        <f t="shared" si="1"/>
        <v>1116264.32</v>
      </c>
    </row>
    <row r="31" spans="1:8">
      <c r="A31" s="358">
        <v>11.1</v>
      </c>
      <c r="B31" s="366" t="s">
        <v>586</v>
      </c>
      <c r="C31" s="552"/>
      <c r="D31" s="552"/>
      <c r="E31" s="554">
        <f t="shared" si="0"/>
        <v>0</v>
      </c>
      <c r="F31" s="552">
        <v>1116264.32</v>
      </c>
      <c r="G31" s="552"/>
      <c r="H31" s="554">
        <f t="shared" si="1"/>
        <v>1116264.32</v>
      </c>
    </row>
    <row r="32" spans="1:8">
      <c r="A32" s="358">
        <v>11.2</v>
      </c>
      <c r="B32" s="366" t="s">
        <v>587</v>
      </c>
      <c r="C32" s="552"/>
      <c r="D32" s="552"/>
      <c r="E32" s="554">
        <f t="shared" si="0"/>
        <v>0</v>
      </c>
      <c r="F32" s="552"/>
      <c r="G32" s="552"/>
      <c r="H32" s="554">
        <f t="shared" si="1"/>
        <v>0</v>
      </c>
    </row>
    <row r="33" spans="1:8">
      <c r="A33" s="358">
        <v>13</v>
      </c>
      <c r="B33" s="364" t="s">
        <v>588</v>
      </c>
      <c r="C33" s="552">
        <v>47877446.290000014</v>
      </c>
      <c r="D33" s="552">
        <v>4529475.2</v>
      </c>
      <c r="E33" s="554">
        <f t="shared" si="0"/>
        <v>52406921.490000017</v>
      </c>
      <c r="F33" s="552">
        <v>32068857</v>
      </c>
      <c r="G33" s="552">
        <v>2374884</v>
      </c>
      <c r="H33" s="554">
        <f t="shared" si="1"/>
        <v>34443741</v>
      </c>
    </row>
    <row r="34" spans="1:8">
      <c r="A34" s="358">
        <v>13.1</v>
      </c>
      <c r="B34" s="369" t="s">
        <v>589</v>
      </c>
      <c r="C34" s="552">
        <v>16518198.929999992</v>
      </c>
      <c r="D34" s="552"/>
      <c r="E34" s="554">
        <f t="shared" si="0"/>
        <v>16518198.929999992</v>
      </c>
      <c r="F34" s="552">
        <v>9625982</v>
      </c>
      <c r="G34" s="373"/>
      <c r="H34" s="554">
        <f t="shared" si="1"/>
        <v>9625982</v>
      </c>
    </row>
    <row r="35" spans="1:8">
      <c r="A35" s="358">
        <v>13.2</v>
      </c>
      <c r="B35" s="369" t="s">
        <v>590</v>
      </c>
      <c r="C35" s="552"/>
      <c r="D35" s="552"/>
      <c r="E35" s="554">
        <f t="shared" si="0"/>
        <v>0</v>
      </c>
      <c r="F35" s="373"/>
      <c r="G35" s="373"/>
      <c r="H35" s="554">
        <f t="shared" si="1"/>
        <v>0</v>
      </c>
    </row>
    <row r="36" spans="1:8">
      <c r="A36" s="358">
        <v>14</v>
      </c>
      <c r="B36" s="370" t="s">
        <v>591</v>
      </c>
      <c r="C36" s="663">
        <f>SUM(C7,C11,C13,C14,C15,C19,C22,C23,C24,C27,C30,C33)</f>
        <v>2291249281.6252995</v>
      </c>
      <c r="D36" s="663">
        <f>SUM(D7,D11,D13,D14,D15,D19,D22,D23,D24,D27,D30,D33)</f>
        <v>404062756.6838302</v>
      </c>
      <c r="E36" s="664">
        <f t="shared" si="0"/>
        <v>2695312038.3091297</v>
      </c>
      <c r="F36" s="663">
        <f>SUM(F7,F11,F13,F14,F15,F19,F22,F23,F24,F27,F30,F33)</f>
        <v>1915634858.5831099</v>
      </c>
      <c r="G36" s="663">
        <f>SUM(G7,G11,G13,G14,G15,G19,G22,G23,G24,G27,G30,G33)</f>
        <v>365288109.97559702</v>
      </c>
      <c r="H36" s="664">
        <f t="shared" si="1"/>
        <v>2280922968.5587068</v>
      </c>
    </row>
    <row r="37" spans="1:8" ht="22.5" customHeight="1">
      <c r="A37" s="358"/>
      <c r="B37" s="371" t="s">
        <v>592</v>
      </c>
      <c r="C37" s="682"/>
      <c r="D37" s="683"/>
      <c r="E37" s="683"/>
      <c r="F37" s="683"/>
      <c r="G37" s="683"/>
      <c r="H37" s="684"/>
    </row>
    <row r="38" spans="1:8">
      <c r="A38" s="358">
        <v>15</v>
      </c>
      <c r="B38" s="372" t="s">
        <v>593</v>
      </c>
      <c r="C38" s="552">
        <v>3227465.49</v>
      </c>
      <c r="D38" s="373"/>
      <c r="E38" s="556">
        <f>C38+D38</f>
        <v>3227465.49</v>
      </c>
      <c r="F38" s="552"/>
      <c r="G38" s="552"/>
      <c r="H38" s="556">
        <f>F38+G38</f>
        <v>0</v>
      </c>
    </row>
    <row r="39" spans="1:8">
      <c r="A39" s="374">
        <v>15.1</v>
      </c>
      <c r="B39" s="375" t="s">
        <v>569</v>
      </c>
      <c r="C39" s="552">
        <v>3227465.49</v>
      </c>
      <c r="D39" s="552"/>
      <c r="E39" s="556">
        <f t="shared" ref="E39:E53" si="2">C39+D39</f>
        <v>3227465.49</v>
      </c>
      <c r="F39" s="552"/>
      <c r="G39" s="552"/>
      <c r="H39" s="556">
        <f t="shared" ref="H39:H53" si="3">F39+G39</f>
        <v>0</v>
      </c>
    </row>
    <row r="40" spans="1:8" ht="24" customHeight="1">
      <c r="A40" s="374">
        <v>16</v>
      </c>
      <c r="B40" s="361" t="s">
        <v>594</v>
      </c>
      <c r="C40" s="552"/>
      <c r="D40" s="552"/>
      <c r="E40" s="556">
        <f t="shared" si="2"/>
        <v>0</v>
      </c>
      <c r="F40" s="552"/>
      <c r="G40" s="552"/>
      <c r="H40" s="556">
        <f t="shared" si="3"/>
        <v>0</v>
      </c>
    </row>
    <row r="41" spans="1:8">
      <c r="A41" s="374">
        <v>17</v>
      </c>
      <c r="B41" s="361" t="s">
        <v>595</v>
      </c>
      <c r="C41" s="663">
        <f>SUM(C42:C45)</f>
        <v>1629266078.2800164</v>
      </c>
      <c r="D41" s="663">
        <f>SUM(D42:D45)</f>
        <v>546670398.93390095</v>
      </c>
      <c r="E41" s="556">
        <f t="shared" si="2"/>
        <v>2175936477.2139173</v>
      </c>
      <c r="F41" s="663">
        <f>SUM(F42:F45)</f>
        <v>1346788543.5999999</v>
      </c>
      <c r="G41" s="663">
        <f>SUM(G42:G45)</f>
        <v>512005190.10000008</v>
      </c>
      <c r="H41" s="556">
        <f t="shared" si="3"/>
        <v>1858793733.7</v>
      </c>
    </row>
    <row r="42" spans="1:8">
      <c r="A42" s="374">
        <v>17.100000000000001</v>
      </c>
      <c r="B42" s="376" t="s">
        <v>596</v>
      </c>
      <c r="C42" s="552">
        <v>726628693.50001621</v>
      </c>
      <c r="D42" s="552">
        <v>322941507.42390102</v>
      </c>
      <c r="E42" s="556">
        <f t="shared" si="2"/>
        <v>1049570200.9239173</v>
      </c>
      <c r="F42" s="552">
        <v>528611212.16999984</v>
      </c>
      <c r="G42" s="552">
        <v>222130010.94000006</v>
      </c>
      <c r="H42" s="556">
        <f t="shared" si="3"/>
        <v>750741223.1099999</v>
      </c>
    </row>
    <row r="43" spans="1:8">
      <c r="A43" s="374">
        <v>17.2</v>
      </c>
      <c r="B43" s="377" t="s">
        <v>597</v>
      </c>
      <c r="C43" s="552">
        <v>886696816.26000011</v>
      </c>
      <c r="D43" s="552">
        <v>217395956.12</v>
      </c>
      <c r="E43" s="556">
        <f t="shared" si="2"/>
        <v>1104092772.3800001</v>
      </c>
      <c r="F43" s="552">
        <v>807377080.1400001</v>
      </c>
      <c r="G43" s="552">
        <v>283533630.27000004</v>
      </c>
      <c r="H43" s="556">
        <f t="shared" si="3"/>
        <v>1090910710.4100001</v>
      </c>
    </row>
    <row r="44" spans="1:8">
      <c r="A44" s="374">
        <v>17.3</v>
      </c>
      <c r="B44" s="376" t="s">
        <v>598</v>
      </c>
      <c r="C44" s="552"/>
      <c r="D44" s="552"/>
      <c r="E44" s="556">
        <f t="shared" si="2"/>
        <v>0</v>
      </c>
      <c r="F44" s="552"/>
      <c r="G44" s="552"/>
      <c r="H44" s="556">
        <f t="shared" si="3"/>
        <v>0</v>
      </c>
    </row>
    <row r="45" spans="1:8">
      <c r="A45" s="374">
        <v>17.399999999999999</v>
      </c>
      <c r="B45" s="376" t="s">
        <v>599</v>
      </c>
      <c r="C45" s="552">
        <v>15940568.52</v>
      </c>
      <c r="D45" s="552">
        <v>6332935.3899999997</v>
      </c>
      <c r="E45" s="556">
        <f t="shared" si="2"/>
        <v>22273503.91</v>
      </c>
      <c r="F45" s="557">
        <v>10800251.289999999</v>
      </c>
      <c r="G45" s="557">
        <v>6341548.8899999997</v>
      </c>
      <c r="H45" s="556">
        <f t="shared" si="3"/>
        <v>17141800.18</v>
      </c>
    </row>
    <row r="46" spans="1:8">
      <c r="A46" s="374">
        <v>18</v>
      </c>
      <c r="B46" s="364" t="s">
        <v>600</v>
      </c>
      <c r="C46" s="552"/>
      <c r="D46" s="552"/>
      <c r="E46" s="556">
        <f t="shared" si="2"/>
        <v>0</v>
      </c>
      <c r="F46" s="552"/>
      <c r="G46" s="552"/>
      <c r="H46" s="556">
        <f t="shared" si="3"/>
        <v>0</v>
      </c>
    </row>
    <row r="47" spans="1:8">
      <c r="A47" s="374">
        <v>19</v>
      </c>
      <c r="B47" s="364" t="s">
        <v>601</v>
      </c>
      <c r="C47" s="663">
        <f>SUM(C48:C49)</f>
        <v>6841829.4399999958</v>
      </c>
      <c r="D47" s="552">
        <f>SUM(D48:D49)</f>
        <v>0</v>
      </c>
      <c r="E47" s="556">
        <f t="shared" si="2"/>
        <v>6841829.4399999958</v>
      </c>
      <c r="F47" s="663">
        <f>SUM(F48:F49)</f>
        <v>2365519.34</v>
      </c>
      <c r="G47" s="552">
        <f>SUM(G48:G49)</f>
        <v>0</v>
      </c>
      <c r="H47" s="556">
        <f t="shared" si="3"/>
        <v>2365519.34</v>
      </c>
    </row>
    <row r="48" spans="1:8">
      <c r="A48" s="374">
        <v>19.100000000000001</v>
      </c>
      <c r="B48" s="378" t="s">
        <v>602</v>
      </c>
      <c r="C48" s="552">
        <v>1741235.5999999968</v>
      </c>
      <c r="D48" s="552"/>
      <c r="E48" s="556">
        <f t="shared" si="2"/>
        <v>1741235.5999999968</v>
      </c>
      <c r="F48" s="552"/>
      <c r="G48" s="552"/>
      <c r="H48" s="556">
        <f t="shared" si="3"/>
        <v>0</v>
      </c>
    </row>
    <row r="49" spans="1:8">
      <c r="A49" s="374">
        <v>19.2</v>
      </c>
      <c r="B49" s="379" t="s">
        <v>603</v>
      </c>
      <c r="C49" s="552">
        <v>5100593.8399999989</v>
      </c>
      <c r="D49" s="552"/>
      <c r="E49" s="556">
        <f t="shared" si="2"/>
        <v>5100593.8399999989</v>
      </c>
      <c r="F49" s="552">
        <v>2365519.34</v>
      </c>
      <c r="G49" s="552"/>
      <c r="H49" s="556">
        <f t="shared" si="3"/>
        <v>2365519.34</v>
      </c>
    </row>
    <row r="50" spans="1:8">
      <c r="A50" s="374">
        <v>20</v>
      </c>
      <c r="B50" s="380" t="s">
        <v>604</v>
      </c>
      <c r="C50" s="552">
        <v>62688217.670000002</v>
      </c>
      <c r="D50" s="552">
        <v>66522853.489999995</v>
      </c>
      <c r="E50" s="556">
        <f t="shared" si="2"/>
        <v>129211071.16</v>
      </c>
      <c r="F50" s="552">
        <v>62646776.330000006</v>
      </c>
      <c r="G50" s="552">
        <v>41692933.169999994</v>
      </c>
      <c r="H50" s="556">
        <f t="shared" si="3"/>
        <v>104339709.5</v>
      </c>
    </row>
    <row r="51" spans="1:8">
      <c r="A51" s="374">
        <v>21</v>
      </c>
      <c r="B51" s="368" t="s">
        <v>605</v>
      </c>
      <c r="C51" s="552">
        <v>42975384.690000013</v>
      </c>
      <c r="D51" s="552">
        <v>4249822.3400000036</v>
      </c>
      <c r="E51" s="556">
        <f t="shared" si="2"/>
        <v>47225207.030000016</v>
      </c>
      <c r="F51" s="552">
        <v>31162603.549999997</v>
      </c>
      <c r="G51" s="552">
        <v>4735447.2899999991</v>
      </c>
      <c r="H51" s="556">
        <f t="shared" si="3"/>
        <v>35898050.839999996</v>
      </c>
    </row>
    <row r="52" spans="1:8">
      <c r="A52" s="374">
        <v>21.1</v>
      </c>
      <c r="B52" s="377" t="s">
        <v>606</v>
      </c>
      <c r="C52" s="552"/>
      <c r="D52" s="552"/>
      <c r="E52" s="556">
        <f t="shared" si="2"/>
        <v>0</v>
      </c>
      <c r="F52" s="552"/>
      <c r="G52" s="552"/>
      <c r="H52" s="556">
        <f t="shared" si="3"/>
        <v>0</v>
      </c>
    </row>
    <row r="53" spans="1:8">
      <c r="A53" s="374">
        <v>22</v>
      </c>
      <c r="B53" s="381" t="s">
        <v>607</v>
      </c>
      <c r="C53" s="663">
        <f>SUM(C38,C40,C41,C46,C47,C50,C51)</f>
        <v>1744998975.5700166</v>
      </c>
      <c r="D53" s="663">
        <f>SUM(D38,D40,D41,D46,D47,D50,D51)</f>
        <v>617443074.763901</v>
      </c>
      <c r="E53" s="556">
        <f t="shared" si="2"/>
        <v>2362442050.3339176</v>
      </c>
      <c r="F53" s="663">
        <f>SUM(F38,F40,F41,F46,F47,F50,F51)</f>
        <v>1442963442.8199997</v>
      </c>
      <c r="G53" s="663">
        <f>SUM(G38,G40,G41,G46,G47,G50,G51)</f>
        <v>558433570.56000006</v>
      </c>
      <c r="H53" s="556">
        <f t="shared" si="3"/>
        <v>2001397013.3799996</v>
      </c>
    </row>
    <row r="54" spans="1:8" ht="24" customHeight="1">
      <c r="A54" s="374"/>
      <c r="B54" s="382" t="s">
        <v>608</v>
      </c>
      <c r="C54" s="674"/>
      <c r="D54" s="675"/>
      <c r="E54" s="675"/>
      <c r="F54" s="675"/>
      <c r="G54" s="675"/>
      <c r="H54" s="676"/>
    </row>
    <row r="55" spans="1:8">
      <c r="A55" s="374">
        <v>23</v>
      </c>
      <c r="B55" s="380" t="s">
        <v>609</v>
      </c>
      <c r="C55" s="552">
        <v>5236850</v>
      </c>
      <c r="D55" s="552"/>
      <c r="E55" s="556">
        <f>C55+D55</f>
        <v>5236850</v>
      </c>
      <c r="F55" s="552">
        <v>5207180</v>
      </c>
      <c r="G55" s="552"/>
      <c r="H55" s="556">
        <f>F55+G55</f>
        <v>5207180</v>
      </c>
    </row>
    <row r="56" spans="1:8">
      <c r="A56" s="374">
        <v>24</v>
      </c>
      <c r="B56" s="380" t="s">
        <v>610</v>
      </c>
      <c r="C56" s="552"/>
      <c r="D56" s="552"/>
      <c r="E56" s="556">
        <f t="shared" ref="E56:E69" si="4">C56+D56</f>
        <v>0</v>
      </c>
      <c r="F56" s="552"/>
      <c r="G56" s="552"/>
      <c r="H56" s="556">
        <f t="shared" ref="H56:H69" si="5">F56+G56</f>
        <v>0</v>
      </c>
    </row>
    <row r="57" spans="1:8">
      <c r="A57" s="374">
        <v>25</v>
      </c>
      <c r="B57" s="364" t="s">
        <v>611</v>
      </c>
      <c r="C57" s="552">
        <v>38936573.159999996</v>
      </c>
      <c r="D57" s="552"/>
      <c r="E57" s="556">
        <f t="shared" si="4"/>
        <v>38936573.159999996</v>
      </c>
      <c r="F57" s="552">
        <v>36929894.049999997</v>
      </c>
      <c r="G57" s="552"/>
      <c r="H57" s="556">
        <f t="shared" si="5"/>
        <v>36929894.049999997</v>
      </c>
    </row>
    <row r="58" spans="1:8">
      <c r="A58" s="374">
        <v>26</v>
      </c>
      <c r="B58" s="364" t="s">
        <v>612</v>
      </c>
      <c r="C58" s="552"/>
      <c r="D58" s="552"/>
      <c r="E58" s="556">
        <f t="shared" si="4"/>
        <v>0</v>
      </c>
      <c r="F58" s="552"/>
      <c r="G58" s="552"/>
      <c r="H58" s="556">
        <f t="shared" si="5"/>
        <v>0</v>
      </c>
    </row>
    <row r="59" spans="1:8">
      <c r="A59" s="374">
        <v>27</v>
      </c>
      <c r="B59" s="364" t="s">
        <v>613</v>
      </c>
      <c r="C59" s="552">
        <f>SUM(C60:C61)</f>
        <v>0</v>
      </c>
      <c r="D59" s="552">
        <f>SUM(D60:D61)</f>
        <v>0</v>
      </c>
      <c r="E59" s="556">
        <f t="shared" si="4"/>
        <v>0</v>
      </c>
      <c r="F59" s="552">
        <v>0</v>
      </c>
      <c r="G59" s="552"/>
      <c r="H59" s="556">
        <f t="shared" si="5"/>
        <v>0</v>
      </c>
    </row>
    <row r="60" spans="1:8">
      <c r="A60" s="374">
        <v>27.1</v>
      </c>
      <c r="B60" s="376" t="s">
        <v>614</v>
      </c>
      <c r="C60" s="552"/>
      <c r="D60" s="552"/>
      <c r="E60" s="556">
        <f t="shared" si="4"/>
        <v>0</v>
      </c>
      <c r="F60" s="552"/>
      <c r="G60" s="552"/>
      <c r="H60" s="556">
        <f t="shared" si="5"/>
        <v>0</v>
      </c>
    </row>
    <row r="61" spans="1:8">
      <c r="A61" s="374">
        <v>27.2</v>
      </c>
      <c r="B61" s="376" t="s">
        <v>615</v>
      </c>
      <c r="C61" s="552"/>
      <c r="D61" s="552"/>
      <c r="E61" s="556">
        <f t="shared" si="4"/>
        <v>0</v>
      </c>
      <c r="F61" s="552"/>
      <c r="G61" s="552"/>
      <c r="H61" s="556">
        <f t="shared" si="5"/>
        <v>0</v>
      </c>
    </row>
    <row r="62" spans="1:8">
      <c r="A62" s="374">
        <v>28</v>
      </c>
      <c r="B62" s="383" t="s">
        <v>616</v>
      </c>
      <c r="C62" s="552"/>
      <c r="D62" s="552"/>
      <c r="E62" s="556">
        <f t="shared" si="4"/>
        <v>0</v>
      </c>
      <c r="F62" s="552"/>
      <c r="G62" s="552"/>
      <c r="H62" s="556">
        <f t="shared" si="5"/>
        <v>0</v>
      </c>
    </row>
    <row r="63" spans="1:8">
      <c r="A63" s="374">
        <v>29</v>
      </c>
      <c r="B63" s="364" t="s">
        <v>617</v>
      </c>
      <c r="C63" s="552">
        <f>SUM(C64:C66)</f>
        <v>0</v>
      </c>
      <c r="D63" s="552">
        <f>SUM(D64:D66)</f>
        <v>0</v>
      </c>
      <c r="E63" s="556">
        <f t="shared" si="4"/>
        <v>0</v>
      </c>
      <c r="F63" s="552">
        <v>0</v>
      </c>
      <c r="G63" s="552"/>
      <c r="H63" s="556">
        <f t="shared" si="5"/>
        <v>0</v>
      </c>
    </row>
    <row r="64" spans="1:8">
      <c r="A64" s="374">
        <v>29.1</v>
      </c>
      <c r="B64" s="367" t="s">
        <v>618</v>
      </c>
      <c r="C64" s="552"/>
      <c r="D64" s="552"/>
      <c r="E64" s="556">
        <f t="shared" si="4"/>
        <v>0</v>
      </c>
      <c r="F64" s="552"/>
      <c r="G64" s="552"/>
      <c r="H64" s="556">
        <f t="shared" si="5"/>
        <v>0</v>
      </c>
    </row>
    <row r="65" spans="1:8" ht="25.05" customHeight="1">
      <c r="A65" s="374">
        <v>29.2</v>
      </c>
      <c r="B65" s="378" t="s">
        <v>619</v>
      </c>
      <c r="C65" s="552"/>
      <c r="D65" s="552"/>
      <c r="E65" s="556">
        <f t="shared" si="4"/>
        <v>0</v>
      </c>
      <c r="F65" s="552"/>
      <c r="G65" s="552"/>
      <c r="H65" s="556">
        <f t="shared" si="5"/>
        <v>0</v>
      </c>
    </row>
    <row r="66" spans="1:8" ht="22.5" customHeight="1">
      <c r="A66" s="374">
        <v>29.3</v>
      </c>
      <c r="B66" s="378" t="s">
        <v>620</v>
      </c>
      <c r="C66" s="552"/>
      <c r="D66" s="552"/>
      <c r="E66" s="556">
        <f t="shared" si="4"/>
        <v>0</v>
      </c>
      <c r="F66" s="552"/>
      <c r="G66" s="552"/>
      <c r="H66" s="556">
        <f t="shared" si="5"/>
        <v>0</v>
      </c>
    </row>
    <row r="67" spans="1:8">
      <c r="A67" s="374">
        <v>30</v>
      </c>
      <c r="B67" s="364" t="s">
        <v>621</v>
      </c>
      <c r="C67" s="552">
        <v>288696564.04002368</v>
      </c>
      <c r="D67" s="552"/>
      <c r="E67" s="556">
        <f t="shared" si="4"/>
        <v>288696564.04002368</v>
      </c>
      <c r="F67" s="552">
        <v>237388881.46999991</v>
      </c>
      <c r="G67" s="552"/>
      <c r="H67" s="556">
        <f t="shared" si="5"/>
        <v>237388881.46999991</v>
      </c>
    </row>
    <row r="68" spans="1:8">
      <c r="A68" s="374">
        <v>31</v>
      </c>
      <c r="B68" s="384" t="s">
        <v>622</v>
      </c>
      <c r="C68" s="552">
        <f>SUM(C55,C56,C57,C58,C59,C62,C63,C67)</f>
        <v>332869987.20002365</v>
      </c>
      <c r="D68" s="552">
        <f>SUM(D55,D56,D57,D58,D59,D62,D63,D67)</f>
        <v>0</v>
      </c>
      <c r="E68" s="556">
        <f t="shared" si="4"/>
        <v>332869987.20002365</v>
      </c>
      <c r="F68" s="552">
        <f>SUM(F55,F56,F57,F58,F59,F62,F63,F67)</f>
        <v>279525955.51999992</v>
      </c>
      <c r="G68" s="552">
        <f>SUM(G55,G56,G57,G58,G59,G62,G63,G67)</f>
        <v>0</v>
      </c>
      <c r="H68" s="556">
        <f t="shared" si="5"/>
        <v>279525955.51999992</v>
      </c>
    </row>
    <row r="69" spans="1:8">
      <c r="A69" s="374">
        <v>32</v>
      </c>
      <c r="B69" s="385" t="s">
        <v>623</v>
      </c>
      <c r="C69" s="552">
        <f>SUM(C53,C68)</f>
        <v>2077868962.7700403</v>
      </c>
      <c r="D69" s="552">
        <f>SUM(D53,D68)</f>
        <v>617443074.763901</v>
      </c>
      <c r="E69" s="556">
        <f t="shared" si="4"/>
        <v>2695312037.5339413</v>
      </c>
      <c r="F69" s="552">
        <f>SUM(F53,F68)</f>
        <v>1722489398.3399997</v>
      </c>
      <c r="G69" s="552">
        <f>SUM(G53,G68)</f>
        <v>558433570.56000006</v>
      </c>
      <c r="H69" s="556">
        <f t="shared" si="5"/>
        <v>2280922968.8999996</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topLeftCell="A24" zoomScale="80" zoomScaleNormal="80" workbookViewId="0">
      <selection activeCell="F44" sqref="F44"/>
    </sheetView>
  </sheetViews>
  <sheetFormatPr defaultRowHeight="14.4"/>
  <cols>
    <col min="2" max="2" width="66.6640625" customWidth="1"/>
    <col min="3" max="8" width="17.77734375" customWidth="1"/>
  </cols>
  <sheetData>
    <row r="1" spans="1:8" s="5" customFormat="1" ht="13.8">
      <c r="A1" s="2" t="s">
        <v>30</v>
      </c>
      <c r="B1" s="3" t="str">
        <f>'Info '!C2</f>
        <v>JSC "CREDOBANK"</v>
      </c>
      <c r="C1" s="3"/>
      <c r="D1" s="4"/>
      <c r="E1" s="4"/>
      <c r="F1" s="4"/>
      <c r="G1" s="4"/>
    </row>
    <row r="2" spans="1:8" s="5" customFormat="1" ht="13.8">
      <c r="A2" s="2" t="s">
        <v>31</v>
      </c>
      <c r="B2" s="312">
        <f>'1. key ratios '!B2</f>
        <v>45473</v>
      </c>
      <c r="C2" s="3"/>
      <c r="D2" s="4"/>
      <c r="E2" s="4"/>
      <c r="F2" s="4"/>
      <c r="G2" s="4"/>
    </row>
    <row r="4" spans="1:8">
      <c r="A4" s="685" t="s">
        <v>6</v>
      </c>
      <c r="B4" s="687" t="s">
        <v>624</v>
      </c>
      <c r="C4" s="680" t="s">
        <v>561</v>
      </c>
      <c r="D4" s="680"/>
      <c r="E4" s="680"/>
      <c r="F4" s="680" t="s">
        <v>562</v>
      </c>
      <c r="G4" s="680"/>
      <c r="H4" s="681"/>
    </row>
    <row r="5" spans="1:8" ht="15.45" customHeight="1">
      <c r="A5" s="686"/>
      <c r="B5" s="688"/>
      <c r="C5" s="388" t="s">
        <v>32</v>
      </c>
      <c r="D5" s="388" t="s">
        <v>33</v>
      </c>
      <c r="E5" s="388" t="s">
        <v>34</v>
      </c>
      <c r="F5" s="388" t="s">
        <v>32</v>
      </c>
      <c r="G5" s="388" t="s">
        <v>33</v>
      </c>
      <c r="H5" s="388" t="s">
        <v>34</v>
      </c>
    </row>
    <row r="6" spans="1:8">
      <c r="A6" s="389">
        <v>1</v>
      </c>
      <c r="B6" s="390" t="s">
        <v>625</v>
      </c>
      <c r="C6" s="663">
        <f>SUM(C7:C12)</f>
        <v>234356605.46001977</v>
      </c>
      <c r="D6" s="663">
        <f>SUM(D7:D12)</f>
        <v>10921772.76000002</v>
      </c>
      <c r="E6" s="556">
        <f>C6+D6</f>
        <v>245278378.22001979</v>
      </c>
      <c r="F6" s="663">
        <f>SUM(F7:F12)</f>
        <v>212570399</v>
      </c>
      <c r="G6" s="663">
        <f>SUM(G7:G12)</f>
        <v>8400109.8799999654</v>
      </c>
      <c r="H6" s="556">
        <f>F6+G6</f>
        <v>220970508.87999997</v>
      </c>
    </row>
    <row r="7" spans="1:8">
      <c r="A7" s="389">
        <v>1.1000000000000001</v>
      </c>
      <c r="B7" s="378" t="s">
        <v>568</v>
      </c>
      <c r="C7" s="552"/>
      <c r="D7" s="552"/>
      <c r="E7" s="556">
        <f t="shared" ref="E7:E45" si="0">C7+D7</f>
        <v>0</v>
      </c>
      <c r="F7" s="552"/>
      <c r="G7" s="552"/>
      <c r="H7" s="556">
        <f t="shared" ref="H7:H45" si="1">F7+G7</f>
        <v>0</v>
      </c>
    </row>
    <row r="8" spans="1:8">
      <c r="A8" s="389">
        <v>1.2</v>
      </c>
      <c r="B8" s="378" t="s">
        <v>570</v>
      </c>
      <c r="C8" s="552"/>
      <c r="D8" s="552"/>
      <c r="E8" s="556">
        <f t="shared" si="0"/>
        <v>0</v>
      </c>
      <c r="F8" s="552"/>
      <c r="G8" s="552"/>
      <c r="H8" s="556">
        <f t="shared" si="1"/>
        <v>0</v>
      </c>
    </row>
    <row r="9" spans="1:8" ht="21.45" customHeight="1">
      <c r="A9" s="389">
        <v>1.3</v>
      </c>
      <c r="B9" s="378" t="s">
        <v>626</v>
      </c>
      <c r="C9" s="552"/>
      <c r="D9" s="552"/>
      <c r="E9" s="556">
        <f t="shared" si="0"/>
        <v>0</v>
      </c>
      <c r="F9" s="552"/>
      <c r="G9" s="552"/>
      <c r="H9" s="556">
        <f t="shared" si="1"/>
        <v>0</v>
      </c>
    </row>
    <row r="10" spans="1:8">
      <c r="A10" s="389">
        <v>1.4</v>
      </c>
      <c r="B10" s="378" t="s">
        <v>572</v>
      </c>
      <c r="C10" s="552"/>
      <c r="D10" s="552"/>
      <c r="E10" s="556">
        <f t="shared" si="0"/>
        <v>0</v>
      </c>
      <c r="F10" s="552"/>
      <c r="G10" s="552"/>
      <c r="H10" s="556">
        <f t="shared" si="1"/>
        <v>0</v>
      </c>
    </row>
    <row r="11" spans="1:8">
      <c r="A11" s="389">
        <v>1.5</v>
      </c>
      <c r="B11" s="378" t="s">
        <v>576</v>
      </c>
      <c r="C11" s="552">
        <v>234356605.46001977</v>
      </c>
      <c r="D11" s="552">
        <v>10921772.76000002</v>
      </c>
      <c r="E11" s="556">
        <f t="shared" si="0"/>
        <v>245278378.22001979</v>
      </c>
      <c r="F11" s="552">
        <v>212570399</v>
      </c>
      <c r="G11" s="552">
        <v>8400109.8799999654</v>
      </c>
      <c r="H11" s="556">
        <f t="shared" si="1"/>
        <v>220970508.87999997</v>
      </c>
    </row>
    <row r="12" spans="1:8">
      <c r="A12" s="389">
        <v>1.6</v>
      </c>
      <c r="B12" s="379" t="s">
        <v>456</v>
      </c>
      <c r="C12" s="552"/>
      <c r="D12" s="552"/>
      <c r="E12" s="556">
        <f t="shared" si="0"/>
        <v>0</v>
      </c>
      <c r="F12" s="552"/>
      <c r="G12" s="552"/>
      <c r="H12" s="556">
        <f t="shared" si="1"/>
        <v>0</v>
      </c>
    </row>
    <row r="13" spans="1:8">
      <c r="A13" s="389">
        <v>2</v>
      </c>
      <c r="B13" s="391" t="s">
        <v>627</v>
      </c>
      <c r="C13" s="663">
        <f>SUM(C14:C17)</f>
        <v>-94149604.890000015</v>
      </c>
      <c r="D13" s="663">
        <f>SUM(D14:D17)</f>
        <v>-10257382.689999998</v>
      </c>
      <c r="E13" s="556">
        <f t="shared" si="0"/>
        <v>-104406987.58000001</v>
      </c>
      <c r="F13" s="663">
        <f>SUM(F14:F17)</f>
        <v>-89986308</v>
      </c>
      <c r="G13" s="663">
        <f>SUM(G14:G17)</f>
        <v>-8602623</v>
      </c>
      <c r="H13" s="556">
        <f t="shared" si="1"/>
        <v>-98588931</v>
      </c>
    </row>
    <row r="14" spans="1:8">
      <c r="A14" s="389">
        <v>2.1</v>
      </c>
      <c r="B14" s="378" t="s">
        <v>628</v>
      </c>
      <c r="C14" s="552"/>
      <c r="D14" s="552"/>
      <c r="E14" s="556">
        <f t="shared" si="0"/>
        <v>0</v>
      </c>
      <c r="F14" s="552"/>
      <c r="G14" s="552"/>
      <c r="H14" s="556">
        <f t="shared" si="1"/>
        <v>0</v>
      </c>
    </row>
    <row r="15" spans="1:8" ht="24.45" customHeight="1">
      <c r="A15" s="389">
        <v>2.2000000000000002</v>
      </c>
      <c r="B15" s="378" t="s">
        <v>629</v>
      </c>
      <c r="C15" s="552"/>
      <c r="D15" s="552"/>
      <c r="E15" s="556">
        <f t="shared" si="0"/>
        <v>0</v>
      </c>
      <c r="F15" s="552"/>
      <c r="G15" s="552"/>
      <c r="H15" s="556">
        <f t="shared" si="1"/>
        <v>0</v>
      </c>
    </row>
    <row r="16" spans="1:8" ht="20.55" customHeight="1">
      <c r="A16" s="389">
        <v>2.2999999999999998</v>
      </c>
      <c r="B16" s="378" t="s">
        <v>630</v>
      </c>
      <c r="C16" s="552">
        <v>-94149604.890000015</v>
      </c>
      <c r="D16" s="552">
        <v>-10257382.689999998</v>
      </c>
      <c r="E16" s="556">
        <f t="shared" si="0"/>
        <v>-104406987.58000001</v>
      </c>
      <c r="F16" s="552">
        <v>-89986308</v>
      </c>
      <c r="G16" s="552">
        <v>-8602623</v>
      </c>
      <c r="H16" s="556">
        <f t="shared" si="1"/>
        <v>-98588931</v>
      </c>
    </row>
    <row r="17" spans="1:8">
      <c r="A17" s="389">
        <v>2.4</v>
      </c>
      <c r="B17" s="378" t="s">
        <v>631</v>
      </c>
      <c r="C17" s="552"/>
      <c r="D17" s="552"/>
      <c r="E17" s="556">
        <f t="shared" si="0"/>
        <v>0</v>
      </c>
      <c r="F17" s="552"/>
      <c r="G17" s="552"/>
      <c r="H17" s="556">
        <f t="shared" si="1"/>
        <v>0</v>
      </c>
    </row>
    <row r="18" spans="1:8">
      <c r="A18" s="389">
        <v>3</v>
      </c>
      <c r="B18" s="391" t="s">
        <v>632</v>
      </c>
      <c r="C18" s="552"/>
      <c r="D18" s="552"/>
      <c r="E18" s="556">
        <f t="shared" si="0"/>
        <v>0</v>
      </c>
      <c r="F18" s="552"/>
      <c r="G18" s="552"/>
      <c r="H18" s="556">
        <f t="shared" si="1"/>
        <v>0</v>
      </c>
    </row>
    <row r="19" spans="1:8">
      <c r="A19" s="389">
        <v>4</v>
      </c>
      <c r="B19" s="391" t="s">
        <v>633</v>
      </c>
      <c r="C19" s="552">
        <v>25946054.460000001</v>
      </c>
      <c r="D19" s="552">
        <v>4495919.66</v>
      </c>
      <c r="E19" s="556">
        <f t="shared" si="0"/>
        <v>30441974.120000001</v>
      </c>
      <c r="F19" s="552">
        <v>23113080.869999997</v>
      </c>
      <c r="G19" s="552">
        <v>2758663.8899999969</v>
      </c>
      <c r="H19" s="556">
        <f t="shared" si="1"/>
        <v>25871744.759999994</v>
      </c>
    </row>
    <row r="20" spans="1:8">
      <c r="A20" s="389">
        <v>5</v>
      </c>
      <c r="B20" s="391" t="s">
        <v>634</v>
      </c>
      <c r="C20" s="552">
        <v>-8085111.4600000028</v>
      </c>
      <c r="D20" s="552">
        <v>-3513750.4500000011</v>
      </c>
      <c r="E20" s="556">
        <f t="shared" si="0"/>
        <v>-11598861.910000004</v>
      </c>
      <c r="F20" s="552">
        <v>-7310244.1599999992</v>
      </c>
      <c r="G20" s="552">
        <v>-3403378</v>
      </c>
      <c r="H20" s="556">
        <f t="shared" si="1"/>
        <v>-10713622.16</v>
      </c>
    </row>
    <row r="21" spans="1:8" ht="24" customHeight="1">
      <c r="A21" s="389">
        <v>6</v>
      </c>
      <c r="B21" s="391" t="s">
        <v>635</v>
      </c>
      <c r="C21" s="552"/>
      <c r="D21" s="552"/>
      <c r="E21" s="556">
        <f t="shared" si="0"/>
        <v>0</v>
      </c>
      <c r="F21" s="552"/>
      <c r="G21" s="552"/>
      <c r="H21" s="556">
        <f t="shared" si="1"/>
        <v>0</v>
      </c>
    </row>
    <row r="22" spans="1:8" ht="18.45" customHeight="1">
      <c r="A22" s="389">
        <v>7</v>
      </c>
      <c r="B22" s="391" t="s">
        <v>636</v>
      </c>
      <c r="C22" s="552"/>
      <c r="D22" s="552"/>
      <c r="E22" s="556">
        <f t="shared" si="0"/>
        <v>0</v>
      </c>
      <c r="F22" s="552"/>
      <c r="G22" s="552"/>
      <c r="H22" s="556">
        <f t="shared" si="1"/>
        <v>0</v>
      </c>
    </row>
    <row r="23" spans="1:8" ht="25.5" customHeight="1">
      <c r="A23" s="389">
        <v>8</v>
      </c>
      <c r="B23" s="392" t="s">
        <v>637</v>
      </c>
      <c r="C23" s="552"/>
      <c r="D23" s="552"/>
      <c r="E23" s="556">
        <f t="shared" si="0"/>
        <v>0</v>
      </c>
      <c r="F23" s="552"/>
      <c r="G23" s="552"/>
      <c r="H23" s="556">
        <f t="shared" si="1"/>
        <v>0</v>
      </c>
    </row>
    <row r="24" spans="1:8" ht="34.5" customHeight="1">
      <c r="A24" s="389">
        <v>9</v>
      </c>
      <c r="B24" s="392" t="s">
        <v>638</v>
      </c>
      <c r="C24" s="552">
        <v>-5877632.7699999483</v>
      </c>
      <c r="D24" s="552"/>
      <c r="E24" s="556">
        <f t="shared" si="0"/>
        <v>-5877632.7699999483</v>
      </c>
      <c r="F24" s="552">
        <v>-10983958.090000005</v>
      </c>
      <c r="G24" s="552"/>
      <c r="H24" s="556">
        <f t="shared" si="1"/>
        <v>-10983958.090000005</v>
      </c>
    </row>
    <row r="25" spans="1:8">
      <c r="A25" s="389">
        <v>10</v>
      </c>
      <c r="B25" s="391" t="s">
        <v>639</v>
      </c>
      <c r="C25" s="552">
        <v>3029730.5</v>
      </c>
      <c r="D25" s="552"/>
      <c r="E25" s="556">
        <f t="shared" si="0"/>
        <v>3029730.5</v>
      </c>
      <c r="F25" s="552">
        <v>2817899.6099999472</v>
      </c>
      <c r="G25" s="552"/>
      <c r="H25" s="556">
        <f t="shared" si="1"/>
        <v>2817899.6099999472</v>
      </c>
    </row>
    <row r="26" spans="1:8">
      <c r="A26" s="389">
        <v>11</v>
      </c>
      <c r="B26" s="393" t="s">
        <v>640</v>
      </c>
      <c r="C26" s="552">
        <v>96157.060000000085</v>
      </c>
      <c r="D26" s="552"/>
      <c r="E26" s="556">
        <f t="shared" si="0"/>
        <v>96157.060000000085</v>
      </c>
      <c r="F26" s="552">
        <v>98273.499999999985</v>
      </c>
      <c r="G26" s="552"/>
      <c r="H26" s="556">
        <f t="shared" si="1"/>
        <v>98273.499999999985</v>
      </c>
    </row>
    <row r="27" spans="1:8">
      <c r="A27" s="389">
        <v>12</v>
      </c>
      <c r="B27" s="391" t="s">
        <v>641</v>
      </c>
      <c r="C27" s="552">
        <v>731186.7699999999</v>
      </c>
      <c r="D27" s="552">
        <v>462</v>
      </c>
      <c r="E27" s="556">
        <f t="shared" si="0"/>
        <v>731648.7699999999</v>
      </c>
      <c r="F27" s="552">
        <v>2639579.1000000006</v>
      </c>
      <c r="G27" s="552"/>
      <c r="H27" s="556">
        <f t="shared" si="1"/>
        <v>2639579.1000000006</v>
      </c>
    </row>
    <row r="28" spans="1:8">
      <c r="A28" s="389">
        <v>13</v>
      </c>
      <c r="B28" s="394" t="s">
        <v>642</v>
      </c>
      <c r="C28" s="552">
        <v>-12854218.830000002</v>
      </c>
      <c r="D28" s="552">
        <v>-369307.49000000022</v>
      </c>
      <c r="E28" s="556">
        <f t="shared" si="0"/>
        <v>-13223526.320000002</v>
      </c>
      <c r="F28" s="552">
        <v>-11656093</v>
      </c>
      <c r="G28" s="552"/>
      <c r="H28" s="556">
        <f t="shared" si="1"/>
        <v>-11656093</v>
      </c>
    </row>
    <row r="29" spans="1:8">
      <c r="A29" s="389">
        <v>14</v>
      </c>
      <c r="B29" s="395" t="s">
        <v>643</v>
      </c>
      <c r="C29" s="663">
        <f>SUM(C30:C31)</f>
        <v>-67221197.329999998</v>
      </c>
      <c r="D29" s="663">
        <f>SUM(D30:D31)</f>
        <v>-771700.89</v>
      </c>
      <c r="E29" s="556">
        <f t="shared" si="0"/>
        <v>-67992898.219999999</v>
      </c>
      <c r="F29" s="663">
        <f>SUM(F30:F31)</f>
        <v>-69410218.670000002</v>
      </c>
      <c r="G29" s="663">
        <f>SUM(G30:G31)</f>
        <v>0</v>
      </c>
      <c r="H29" s="556">
        <f t="shared" si="1"/>
        <v>-69410218.670000002</v>
      </c>
    </row>
    <row r="30" spans="1:8">
      <c r="A30" s="389">
        <v>14.1</v>
      </c>
      <c r="B30" s="366" t="s">
        <v>644</v>
      </c>
      <c r="C30" s="552">
        <v>-64211217.640000001</v>
      </c>
      <c r="D30" s="552">
        <v>-83421.36</v>
      </c>
      <c r="E30" s="556">
        <f t="shared" si="0"/>
        <v>-64294639</v>
      </c>
      <c r="F30" s="552">
        <v>-66435740.009999998</v>
      </c>
      <c r="G30" s="552"/>
      <c r="H30" s="556">
        <f t="shared" si="1"/>
        <v>-66435740.009999998</v>
      </c>
    </row>
    <row r="31" spans="1:8">
      <c r="A31" s="389">
        <v>14.2</v>
      </c>
      <c r="B31" s="366" t="s">
        <v>645</v>
      </c>
      <c r="C31" s="552">
        <v>-3009979.6899999995</v>
      </c>
      <c r="D31" s="552">
        <v>-688279.53</v>
      </c>
      <c r="E31" s="556">
        <f t="shared" si="0"/>
        <v>-3698259.2199999997</v>
      </c>
      <c r="F31" s="552">
        <v>-2974478.66</v>
      </c>
      <c r="G31" s="552"/>
      <c r="H31" s="556">
        <f t="shared" si="1"/>
        <v>-2974478.66</v>
      </c>
    </row>
    <row r="32" spans="1:8">
      <c r="A32" s="389">
        <v>15</v>
      </c>
      <c r="B32" s="391" t="s">
        <v>646</v>
      </c>
      <c r="C32" s="552">
        <v>-10488751.75</v>
      </c>
      <c r="D32" s="552"/>
      <c r="E32" s="556">
        <f t="shared" si="0"/>
        <v>-10488751.75</v>
      </c>
      <c r="F32" s="552">
        <v>-9003997.6099999975</v>
      </c>
      <c r="G32" s="552"/>
      <c r="H32" s="556">
        <f t="shared" si="1"/>
        <v>-9003997.6099999975</v>
      </c>
    </row>
    <row r="33" spans="1:8" ht="22.5" customHeight="1">
      <c r="A33" s="389">
        <v>16</v>
      </c>
      <c r="B33" s="364" t="s">
        <v>647</v>
      </c>
      <c r="C33" s="552"/>
      <c r="D33" s="552"/>
      <c r="E33" s="556">
        <f t="shared" si="0"/>
        <v>0</v>
      </c>
      <c r="F33" s="552"/>
      <c r="G33" s="552"/>
      <c r="H33" s="556">
        <f t="shared" si="1"/>
        <v>0</v>
      </c>
    </row>
    <row r="34" spans="1:8">
      <c r="A34" s="389">
        <v>17</v>
      </c>
      <c r="B34" s="391" t="s">
        <v>648</v>
      </c>
      <c r="C34" s="552">
        <f>SUM(C35:C36)</f>
        <v>0</v>
      </c>
      <c r="D34" s="552">
        <f>SUM(D35:D36)</f>
        <v>0</v>
      </c>
      <c r="E34" s="556">
        <f t="shared" si="0"/>
        <v>0</v>
      </c>
      <c r="F34" s="552">
        <f>SUM(F35:F36)</f>
        <v>0</v>
      </c>
      <c r="G34" s="552">
        <f>SUM(G35:G36)</f>
        <v>0</v>
      </c>
      <c r="H34" s="556">
        <f t="shared" si="1"/>
        <v>0</v>
      </c>
    </row>
    <row r="35" spans="1:8">
      <c r="A35" s="389">
        <v>17.100000000000001</v>
      </c>
      <c r="B35" s="366" t="s">
        <v>649</v>
      </c>
      <c r="C35" s="552"/>
      <c r="D35" s="552"/>
      <c r="E35" s="556">
        <f t="shared" si="0"/>
        <v>0</v>
      </c>
      <c r="F35" s="552"/>
      <c r="G35" s="552"/>
      <c r="H35" s="556">
        <f t="shared" si="1"/>
        <v>0</v>
      </c>
    </row>
    <row r="36" spans="1:8">
      <c r="A36" s="389">
        <v>17.2</v>
      </c>
      <c r="B36" s="366" t="s">
        <v>650</v>
      </c>
      <c r="C36" s="552"/>
      <c r="D36" s="552"/>
      <c r="E36" s="556">
        <f t="shared" si="0"/>
        <v>0</v>
      </c>
      <c r="F36" s="552"/>
      <c r="G36" s="552"/>
      <c r="H36" s="556">
        <f t="shared" si="1"/>
        <v>0</v>
      </c>
    </row>
    <row r="37" spans="1:8" ht="41.55" customHeight="1">
      <c r="A37" s="389">
        <v>18</v>
      </c>
      <c r="B37" s="396" t="s">
        <v>651</v>
      </c>
      <c r="C37" s="663">
        <f>SUM(C38:C39)</f>
        <v>-33858228.579996139</v>
      </c>
      <c r="D37" s="663">
        <f>SUM(D38:D39)</f>
        <v>-1075558.5599999949</v>
      </c>
      <c r="E37" s="556">
        <f t="shared" si="0"/>
        <v>-34933787.139996134</v>
      </c>
      <c r="F37" s="663">
        <f>SUM(F38:F39)</f>
        <v>-26512651.210000001</v>
      </c>
      <c r="G37" s="663">
        <f>SUM(G38:G39)</f>
        <v>461248.19000000134</v>
      </c>
      <c r="H37" s="556">
        <f t="shared" si="1"/>
        <v>-26051403.02</v>
      </c>
    </row>
    <row r="38" spans="1:8">
      <c r="A38" s="389">
        <v>18.100000000000001</v>
      </c>
      <c r="B38" s="397" t="s">
        <v>652</v>
      </c>
      <c r="C38" s="552"/>
      <c r="D38" s="552"/>
      <c r="E38" s="556">
        <f t="shared" si="0"/>
        <v>0</v>
      </c>
      <c r="F38" s="552"/>
      <c r="G38" s="552"/>
      <c r="H38" s="556">
        <f t="shared" si="1"/>
        <v>0</v>
      </c>
    </row>
    <row r="39" spans="1:8">
      <c r="A39" s="389">
        <v>18.2</v>
      </c>
      <c r="B39" s="397" t="s">
        <v>653</v>
      </c>
      <c r="C39" s="552">
        <v>-33858228.579996139</v>
      </c>
      <c r="D39" s="552">
        <v>-1075558.5599999949</v>
      </c>
      <c r="E39" s="556">
        <f t="shared" si="0"/>
        <v>-34933787.139996134</v>
      </c>
      <c r="F39" s="552">
        <v>-26512651.210000001</v>
      </c>
      <c r="G39" s="552">
        <v>461248.19000000134</v>
      </c>
      <c r="H39" s="556">
        <f t="shared" si="1"/>
        <v>-26051403.02</v>
      </c>
    </row>
    <row r="40" spans="1:8" ht="24.45" customHeight="1">
      <c r="A40" s="389">
        <v>19</v>
      </c>
      <c r="B40" s="396" t="s">
        <v>654</v>
      </c>
      <c r="C40" s="552"/>
      <c r="D40" s="552"/>
      <c r="E40" s="556">
        <f t="shared" si="0"/>
        <v>0</v>
      </c>
      <c r="F40" s="552"/>
      <c r="G40" s="552"/>
      <c r="H40" s="556">
        <f t="shared" si="1"/>
        <v>0</v>
      </c>
    </row>
    <row r="41" spans="1:8" ht="17.55" customHeight="1">
      <c r="A41" s="389">
        <v>20</v>
      </c>
      <c r="B41" s="396" t="s">
        <v>655</v>
      </c>
      <c r="C41" s="552">
        <v>-958922.37</v>
      </c>
      <c r="D41" s="552"/>
      <c r="E41" s="556">
        <f t="shared" si="0"/>
        <v>-958922.37</v>
      </c>
      <c r="F41" s="552">
        <v>-449060.21</v>
      </c>
      <c r="G41" s="552"/>
      <c r="H41" s="556">
        <f t="shared" si="1"/>
        <v>-449060.21</v>
      </c>
    </row>
    <row r="42" spans="1:8" ht="26.55" customHeight="1">
      <c r="A42" s="389">
        <v>21</v>
      </c>
      <c r="B42" s="396" t="s">
        <v>656</v>
      </c>
      <c r="C42" s="552"/>
      <c r="D42" s="552"/>
      <c r="E42" s="556">
        <f t="shared" si="0"/>
        <v>0</v>
      </c>
      <c r="F42" s="552"/>
      <c r="G42" s="552"/>
      <c r="H42" s="556">
        <f t="shared" si="1"/>
        <v>0</v>
      </c>
    </row>
    <row r="43" spans="1:8">
      <c r="A43" s="389">
        <v>22</v>
      </c>
      <c r="B43" s="398" t="s">
        <v>657</v>
      </c>
      <c r="C43" s="663">
        <f>SUM(C6,C13,C18,C19,C20,C21,C22,C23,C24,C25,C26,C27,C28,C29,C32,C33,C34,C37,C40,C41,C42)</f>
        <v>30666066.270023663</v>
      </c>
      <c r="D43" s="663">
        <f>SUM(D6,D13,D18,D19,D20,D21,D22,D23,D24,D25,D26,D27,D28,D29,D32,D33,D34,D37,D40,D41,D42)</f>
        <v>-569545.65999997349</v>
      </c>
      <c r="E43" s="556">
        <f t="shared" si="0"/>
        <v>30096520.610023689</v>
      </c>
      <c r="F43" s="663">
        <f>SUM(F6,F13,F18,F19,F20,F21,F22,F23,F24,F25,F26,F27,F28,F29,F32,F33,F34,F37,F40,F41,F42)</f>
        <v>15926701.129999951</v>
      </c>
      <c r="G43" s="663">
        <f>SUM(G6,G13,G18,G19,G20,G21,G22,G23,G24,G25,G26,G27,G28,G29,G32,G33,G34,G37,G40,G41,G42)</f>
        <v>-385979.04000003636</v>
      </c>
      <c r="H43" s="556">
        <f t="shared" si="1"/>
        <v>15540722.089999914</v>
      </c>
    </row>
    <row r="44" spans="1:8">
      <c r="A44" s="389">
        <v>23</v>
      </c>
      <c r="B44" s="398" t="s">
        <v>658</v>
      </c>
      <c r="C44" s="552">
        <v>6007221.5499999998</v>
      </c>
      <c r="D44" s="552"/>
      <c r="E44" s="556">
        <f t="shared" si="0"/>
        <v>6007221.5499999998</v>
      </c>
      <c r="F44" s="552">
        <v>1686493.98</v>
      </c>
      <c r="G44" s="552"/>
      <c r="H44" s="556">
        <f t="shared" si="1"/>
        <v>1686493.98</v>
      </c>
    </row>
    <row r="45" spans="1:8">
      <c r="A45" s="389">
        <v>24</v>
      </c>
      <c r="B45" s="399" t="s">
        <v>659</v>
      </c>
      <c r="C45" s="663">
        <f>C43-C44</f>
        <v>24658844.720023662</v>
      </c>
      <c r="D45" s="663">
        <f>D43-D44</f>
        <v>-569545.65999997349</v>
      </c>
      <c r="E45" s="556">
        <f t="shared" si="0"/>
        <v>24089299.060023688</v>
      </c>
      <c r="F45" s="663">
        <f>F43-F44</f>
        <v>14240207.14999995</v>
      </c>
      <c r="G45" s="663">
        <f>G43-G44</f>
        <v>-385979.04000003636</v>
      </c>
      <c r="H45" s="556">
        <f t="shared" si="1"/>
        <v>13854228.109999914</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topLeftCell="A19" zoomScale="70" zoomScaleNormal="70" workbookViewId="0">
      <selection activeCell="F39" sqref="F39:G42"/>
    </sheetView>
  </sheetViews>
  <sheetFormatPr defaultRowHeight="14.4"/>
  <cols>
    <col min="1" max="1" width="8.77734375" style="386"/>
    <col min="2" max="2" width="87.6640625" bestFit="1" customWidth="1"/>
    <col min="3" max="3" width="20.6640625" customWidth="1"/>
    <col min="4" max="4" width="19.21875" customWidth="1"/>
    <col min="5" max="5" width="15.44140625" customWidth="1"/>
    <col min="6" max="6" width="19.5546875" customWidth="1"/>
    <col min="7" max="7" width="20.6640625" customWidth="1"/>
    <col min="8" max="8" width="15.44140625" customWidth="1"/>
  </cols>
  <sheetData>
    <row r="1" spans="1:8" s="5" customFormat="1" ht="13.8">
      <c r="A1" s="2" t="s">
        <v>30</v>
      </c>
      <c r="B1" s="3" t="str">
        <f>'Info '!C2</f>
        <v>JSC "CREDOBANK"</v>
      </c>
      <c r="C1" s="3"/>
      <c r="D1" s="4"/>
      <c r="E1" s="4"/>
      <c r="F1" s="4"/>
      <c r="G1" s="4"/>
    </row>
    <row r="2" spans="1:8" s="5" customFormat="1" ht="13.8">
      <c r="A2" s="2" t="s">
        <v>31</v>
      </c>
      <c r="B2" s="312">
        <f>'1. key ratios '!B2</f>
        <v>45473</v>
      </c>
      <c r="C2" s="3"/>
      <c r="D2" s="4"/>
      <c r="E2" s="4"/>
      <c r="F2" s="4"/>
      <c r="G2" s="4"/>
    </row>
    <row r="3" spans="1:8" ht="15" thickBot="1">
      <c r="A3"/>
    </row>
    <row r="4" spans="1:8">
      <c r="A4" s="689" t="s">
        <v>6</v>
      </c>
      <c r="B4" s="690" t="s">
        <v>95</v>
      </c>
      <c r="C4" s="680" t="s">
        <v>561</v>
      </c>
      <c r="D4" s="680"/>
      <c r="E4" s="680"/>
      <c r="F4" s="680" t="s">
        <v>562</v>
      </c>
      <c r="G4" s="680"/>
      <c r="H4" s="681"/>
    </row>
    <row r="5" spans="1:8">
      <c r="A5" s="689"/>
      <c r="B5" s="690"/>
      <c r="C5" s="388" t="s">
        <v>32</v>
      </c>
      <c r="D5" s="388" t="s">
        <v>33</v>
      </c>
      <c r="E5" s="388" t="s">
        <v>34</v>
      </c>
      <c r="F5" s="388" t="s">
        <v>32</v>
      </c>
      <c r="G5" s="388" t="s">
        <v>33</v>
      </c>
      <c r="H5" s="388" t="s">
        <v>34</v>
      </c>
    </row>
    <row r="6" spans="1:8">
      <c r="A6" s="374">
        <v>1</v>
      </c>
      <c r="B6" s="400" t="s">
        <v>660</v>
      </c>
      <c r="C6" s="401"/>
      <c r="D6" s="401"/>
      <c r="E6" s="402">
        <f t="shared" ref="E6:E43" si="0">C6+D6</f>
        <v>0</v>
      </c>
      <c r="F6" s="401"/>
      <c r="G6" s="401"/>
      <c r="H6" s="558">
        <f t="shared" ref="H6:H43" si="1">F6+G6</f>
        <v>0</v>
      </c>
    </row>
    <row r="7" spans="1:8">
      <c r="A7" s="374">
        <v>2</v>
      </c>
      <c r="B7" s="400" t="s">
        <v>197</v>
      </c>
      <c r="C7" s="401"/>
      <c r="D7" s="401"/>
      <c r="E7" s="402">
        <f t="shared" si="0"/>
        <v>0</v>
      </c>
      <c r="F7" s="401"/>
      <c r="G7" s="401"/>
      <c r="H7" s="558">
        <f t="shared" si="1"/>
        <v>0</v>
      </c>
    </row>
    <row r="8" spans="1:8">
      <c r="A8" s="374">
        <v>3</v>
      </c>
      <c r="B8" s="400" t="s">
        <v>207</v>
      </c>
      <c r="C8" s="665">
        <f>C9+C10</f>
        <v>1338576155.3399999</v>
      </c>
      <c r="D8" s="665">
        <f>D9+D10</f>
        <v>0</v>
      </c>
      <c r="E8" s="402">
        <f t="shared" si="0"/>
        <v>1338576155.3399999</v>
      </c>
      <c r="F8" s="665">
        <f>F9+F10</f>
        <v>1120369267.55</v>
      </c>
      <c r="G8" s="665">
        <f>G9+G10</f>
        <v>0</v>
      </c>
      <c r="H8" s="558">
        <f t="shared" si="1"/>
        <v>1120369267.55</v>
      </c>
    </row>
    <row r="9" spans="1:8">
      <c r="A9" s="374">
        <v>3.1</v>
      </c>
      <c r="B9" s="403" t="s">
        <v>198</v>
      </c>
      <c r="C9" s="401">
        <v>1338310050.3399999</v>
      </c>
      <c r="D9" s="401"/>
      <c r="E9" s="402">
        <f t="shared" si="0"/>
        <v>1338310050.3399999</v>
      </c>
      <c r="F9" s="401">
        <v>1120103162.55</v>
      </c>
      <c r="G9" s="401"/>
      <c r="H9" s="558">
        <f t="shared" si="1"/>
        <v>1120103162.55</v>
      </c>
    </row>
    <row r="10" spans="1:8">
      <c r="A10" s="374">
        <v>3.2</v>
      </c>
      <c r="B10" s="403" t="s">
        <v>194</v>
      </c>
      <c r="C10" s="401">
        <v>266105</v>
      </c>
      <c r="D10" s="401"/>
      <c r="E10" s="402">
        <f t="shared" si="0"/>
        <v>266105</v>
      </c>
      <c r="F10" s="401">
        <v>266105</v>
      </c>
      <c r="G10" s="401"/>
      <c r="H10" s="558">
        <f t="shared" si="1"/>
        <v>266105</v>
      </c>
    </row>
    <row r="11" spans="1:8">
      <c r="A11" s="374">
        <v>4</v>
      </c>
      <c r="B11" s="404" t="s">
        <v>196</v>
      </c>
      <c r="C11" s="665">
        <f>C12+C13</f>
        <v>0</v>
      </c>
      <c r="D11" s="665">
        <f>D12+D13</f>
        <v>0</v>
      </c>
      <c r="E11" s="402">
        <f t="shared" si="0"/>
        <v>0</v>
      </c>
      <c r="F11" s="665">
        <f>F12+F13</f>
        <v>0</v>
      </c>
      <c r="G11" s="665">
        <f>G12+G13</f>
        <v>0</v>
      </c>
      <c r="H11" s="558">
        <f t="shared" si="1"/>
        <v>0</v>
      </c>
    </row>
    <row r="12" spans="1:8">
      <c r="A12" s="374">
        <v>4.0999999999999996</v>
      </c>
      <c r="B12" s="403" t="s">
        <v>180</v>
      </c>
      <c r="C12" s="401"/>
      <c r="D12" s="401"/>
      <c r="E12" s="402">
        <f t="shared" si="0"/>
        <v>0</v>
      </c>
      <c r="F12" s="401"/>
      <c r="G12" s="401"/>
      <c r="H12" s="558">
        <f t="shared" si="1"/>
        <v>0</v>
      </c>
    </row>
    <row r="13" spans="1:8">
      <c r="A13" s="374">
        <v>4.2</v>
      </c>
      <c r="B13" s="403" t="s">
        <v>181</v>
      </c>
      <c r="C13" s="401"/>
      <c r="D13" s="401"/>
      <c r="E13" s="402">
        <f t="shared" si="0"/>
        <v>0</v>
      </c>
      <c r="F13" s="401"/>
      <c r="G13" s="401"/>
      <c r="H13" s="558">
        <f t="shared" si="1"/>
        <v>0</v>
      </c>
    </row>
    <row r="14" spans="1:8">
      <c r="A14" s="374">
        <v>5</v>
      </c>
      <c r="B14" s="404" t="s">
        <v>206</v>
      </c>
      <c r="C14" s="665">
        <f>C15+C16+C17+C23+C24+C25+C26</f>
        <v>1738313800.5200002</v>
      </c>
      <c r="D14" s="665">
        <f>D15+D16+D17+D23+D24+D25+D26</f>
        <v>1967070</v>
      </c>
      <c r="E14" s="402">
        <f t="shared" si="0"/>
        <v>1740280870.5200002</v>
      </c>
      <c r="F14" s="665">
        <f>F15+F16+F17+F23+F24+F25+F26</f>
        <v>1144444646.9400001</v>
      </c>
      <c r="G14" s="665">
        <f>G15+G16+G17+G23+G24+G25+G26</f>
        <v>2617700</v>
      </c>
      <c r="H14" s="558">
        <f t="shared" si="1"/>
        <v>1147062346.9400001</v>
      </c>
    </row>
    <row r="15" spans="1:8">
      <c r="A15" s="374">
        <v>5.0999999999999996</v>
      </c>
      <c r="B15" s="405" t="s">
        <v>184</v>
      </c>
      <c r="C15" s="401">
        <v>14461660.060000001</v>
      </c>
      <c r="D15" s="401">
        <v>1967070</v>
      </c>
      <c r="E15" s="402">
        <f t="shared" si="0"/>
        <v>16428730.060000001</v>
      </c>
      <c r="F15" s="401">
        <v>13767435.439999999</v>
      </c>
      <c r="G15" s="401">
        <v>2617700</v>
      </c>
      <c r="H15" s="558">
        <f t="shared" si="1"/>
        <v>16385135.439999999</v>
      </c>
    </row>
    <row r="16" spans="1:8">
      <c r="A16" s="374">
        <v>5.2</v>
      </c>
      <c r="B16" s="405" t="s">
        <v>183</v>
      </c>
      <c r="C16" s="401">
        <v>2028</v>
      </c>
      <c r="D16" s="401"/>
      <c r="E16" s="402">
        <f t="shared" si="0"/>
        <v>2028</v>
      </c>
      <c r="F16" s="401">
        <v>5004.78</v>
      </c>
      <c r="G16" s="401"/>
      <c r="H16" s="558">
        <f t="shared" si="1"/>
        <v>5004.78</v>
      </c>
    </row>
    <row r="17" spans="1:8">
      <c r="A17" s="374">
        <v>5.3</v>
      </c>
      <c r="B17" s="405" t="s">
        <v>182</v>
      </c>
      <c r="C17" s="665">
        <f>C18+C19+C20+C21+C22</f>
        <v>1539488761.3100002</v>
      </c>
      <c r="D17" s="665">
        <f>D18+D19+D20+D21+D22</f>
        <v>0</v>
      </c>
      <c r="E17" s="402">
        <f t="shared" si="0"/>
        <v>1539488761.3100002</v>
      </c>
      <c r="F17" s="665">
        <f>F18+F19+F20+F21+F22</f>
        <v>1021804093</v>
      </c>
      <c r="G17" s="665">
        <f>G18+G19+G20+G21+G22</f>
        <v>0</v>
      </c>
      <c r="H17" s="558">
        <f t="shared" si="1"/>
        <v>1021804093</v>
      </c>
    </row>
    <row r="18" spans="1:8">
      <c r="A18" s="374" t="s">
        <v>15</v>
      </c>
      <c r="B18" s="406" t="s">
        <v>36</v>
      </c>
      <c r="C18" s="401">
        <v>1142287850.72</v>
      </c>
      <c r="D18" s="401"/>
      <c r="E18" s="402">
        <f t="shared" si="0"/>
        <v>1142287850.72</v>
      </c>
      <c r="F18" s="401">
        <v>744415549.07000005</v>
      </c>
      <c r="G18" s="401"/>
      <c r="H18" s="558">
        <f t="shared" si="1"/>
        <v>744415549.07000005</v>
      </c>
    </row>
    <row r="19" spans="1:8">
      <c r="A19" s="374" t="s">
        <v>16</v>
      </c>
      <c r="B19" s="406" t="s">
        <v>37</v>
      </c>
      <c r="C19" s="401">
        <v>181088028.69999999</v>
      </c>
      <c r="D19" s="401"/>
      <c r="E19" s="402">
        <f t="shared" si="0"/>
        <v>181088028.69999999</v>
      </c>
      <c r="F19" s="401">
        <v>139251537.41</v>
      </c>
      <c r="G19" s="401"/>
      <c r="H19" s="558">
        <f t="shared" si="1"/>
        <v>139251537.41</v>
      </c>
    </row>
    <row r="20" spans="1:8">
      <c r="A20" s="374" t="s">
        <v>17</v>
      </c>
      <c r="B20" s="406" t="s">
        <v>38</v>
      </c>
      <c r="C20" s="401"/>
      <c r="D20" s="401"/>
      <c r="E20" s="402">
        <f t="shared" si="0"/>
        <v>0</v>
      </c>
      <c r="F20" s="401"/>
      <c r="G20" s="401"/>
      <c r="H20" s="558">
        <f t="shared" si="1"/>
        <v>0</v>
      </c>
    </row>
    <row r="21" spans="1:8">
      <c r="A21" s="374" t="s">
        <v>18</v>
      </c>
      <c r="B21" s="406" t="s">
        <v>39</v>
      </c>
      <c r="C21" s="401">
        <v>211570336.63</v>
      </c>
      <c r="D21" s="401"/>
      <c r="E21" s="402">
        <f t="shared" si="0"/>
        <v>211570336.63</v>
      </c>
      <c r="F21" s="401">
        <v>133857202.11</v>
      </c>
      <c r="G21" s="401"/>
      <c r="H21" s="558">
        <f t="shared" si="1"/>
        <v>133857202.11</v>
      </c>
    </row>
    <row r="22" spans="1:8">
      <c r="A22" s="374" t="s">
        <v>19</v>
      </c>
      <c r="B22" s="406" t="s">
        <v>40</v>
      </c>
      <c r="C22" s="401">
        <v>4542545.26</v>
      </c>
      <c r="D22" s="401"/>
      <c r="E22" s="402">
        <f t="shared" si="0"/>
        <v>4542545.26</v>
      </c>
      <c r="F22" s="401">
        <v>4279804.41</v>
      </c>
      <c r="G22" s="401"/>
      <c r="H22" s="558">
        <f t="shared" si="1"/>
        <v>4279804.41</v>
      </c>
    </row>
    <row r="23" spans="1:8">
      <c r="A23" s="374">
        <v>5.4</v>
      </c>
      <c r="B23" s="405" t="s">
        <v>185</v>
      </c>
      <c r="C23" s="401">
        <v>184361351.15000001</v>
      </c>
      <c r="D23" s="401"/>
      <c r="E23" s="402">
        <f t="shared" si="0"/>
        <v>184361351.15000001</v>
      </c>
      <c r="F23" s="401">
        <v>108868113.72</v>
      </c>
      <c r="G23" s="401"/>
      <c r="H23" s="558">
        <f t="shared" si="1"/>
        <v>108868113.72</v>
      </c>
    </row>
    <row r="24" spans="1:8">
      <c r="A24" s="374">
        <v>5.5</v>
      </c>
      <c r="B24" s="405" t="s">
        <v>186</v>
      </c>
      <c r="C24" s="401"/>
      <c r="D24" s="401"/>
      <c r="E24" s="402">
        <f t="shared" si="0"/>
        <v>0</v>
      </c>
      <c r="F24" s="401"/>
      <c r="G24" s="401"/>
      <c r="H24" s="558">
        <f t="shared" si="1"/>
        <v>0</v>
      </c>
    </row>
    <row r="25" spans="1:8">
      <c r="A25" s="374">
        <v>5.6</v>
      </c>
      <c r="B25" s="405" t="s">
        <v>187</v>
      </c>
      <c r="C25" s="401"/>
      <c r="D25" s="401"/>
      <c r="E25" s="402">
        <f t="shared" si="0"/>
        <v>0</v>
      </c>
      <c r="F25" s="401"/>
      <c r="G25" s="401"/>
      <c r="H25" s="558">
        <f t="shared" si="1"/>
        <v>0</v>
      </c>
    </row>
    <row r="26" spans="1:8">
      <c r="A26" s="374">
        <v>5.7</v>
      </c>
      <c r="B26" s="405" t="s">
        <v>40</v>
      </c>
      <c r="C26" s="401"/>
      <c r="D26" s="401"/>
      <c r="E26" s="402">
        <f t="shared" si="0"/>
        <v>0</v>
      </c>
      <c r="F26" s="401"/>
      <c r="G26" s="401"/>
      <c r="H26" s="558">
        <f t="shared" si="1"/>
        <v>0</v>
      </c>
    </row>
    <row r="27" spans="1:8">
      <c r="A27" s="374">
        <v>6</v>
      </c>
      <c r="B27" s="407" t="s">
        <v>661</v>
      </c>
      <c r="C27" s="401">
        <v>51545873</v>
      </c>
      <c r="D27" s="401">
        <v>23239725</v>
      </c>
      <c r="E27" s="402">
        <f t="shared" si="0"/>
        <v>74785598</v>
      </c>
      <c r="F27" s="401">
        <v>30877104.02</v>
      </c>
      <c r="G27" s="401">
        <v>13097722.42</v>
      </c>
      <c r="H27" s="558">
        <f t="shared" si="1"/>
        <v>43974826.439999998</v>
      </c>
    </row>
    <row r="28" spans="1:8">
      <c r="A28" s="374">
        <v>7</v>
      </c>
      <c r="B28" s="407" t="s">
        <v>662</v>
      </c>
      <c r="C28" s="401">
        <v>970850</v>
      </c>
      <c r="D28" s="401"/>
      <c r="E28" s="402">
        <f t="shared" si="0"/>
        <v>970850</v>
      </c>
      <c r="F28" s="401">
        <v>78045</v>
      </c>
      <c r="G28" s="401"/>
      <c r="H28" s="558">
        <f t="shared" si="1"/>
        <v>78045</v>
      </c>
    </row>
    <row r="29" spans="1:8">
      <c r="A29" s="374">
        <v>8</v>
      </c>
      <c r="B29" s="407" t="s">
        <v>195</v>
      </c>
      <c r="C29" s="401"/>
      <c r="D29" s="401"/>
      <c r="E29" s="402">
        <f t="shared" si="0"/>
        <v>0</v>
      </c>
      <c r="F29" s="401"/>
      <c r="G29" s="401"/>
      <c r="H29" s="558">
        <f t="shared" si="1"/>
        <v>0</v>
      </c>
    </row>
    <row r="30" spans="1:8">
      <c r="A30" s="374">
        <v>9</v>
      </c>
      <c r="B30" s="408" t="s">
        <v>212</v>
      </c>
      <c r="C30" s="665">
        <f>C31+C32+C33+C34+C35+C36+C37</f>
        <v>219987866.94999999</v>
      </c>
      <c r="D30" s="665">
        <f>D31+D32+D33+D34+D35+D36+D37</f>
        <v>2307510</v>
      </c>
      <c r="E30" s="402">
        <f t="shared" si="0"/>
        <v>222295376.94999999</v>
      </c>
      <c r="F30" s="665">
        <f>F31+F32+F33+F34+F35+F36+F37</f>
        <v>193719115.5</v>
      </c>
      <c r="G30" s="665">
        <f>G31+G32+G33+G34+G35+G36+G37</f>
        <v>2116982.6</v>
      </c>
      <c r="H30" s="558">
        <f t="shared" si="1"/>
        <v>195836098.09999999</v>
      </c>
    </row>
    <row r="31" spans="1:8">
      <c r="A31" s="374">
        <v>9.1</v>
      </c>
      <c r="B31" s="409" t="s">
        <v>202</v>
      </c>
      <c r="C31" s="401"/>
      <c r="D31" s="401"/>
      <c r="E31" s="402">
        <f t="shared" si="0"/>
        <v>0</v>
      </c>
      <c r="F31" s="401"/>
      <c r="G31" s="401"/>
      <c r="H31" s="558">
        <f t="shared" si="1"/>
        <v>0</v>
      </c>
    </row>
    <row r="32" spans="1:8">
      <c r="A32" s="374">
        <v>9.1999999999999993</v>
      </c>
      <c r="B32" s="409" t="s">
        <v>203</v>
      </c>
      <c r="C32" s="401">
        <v>219987866.94999999</v>
      </c>
      <c r="D32" s="401">
        <v>2307510</v>
      </c>
      <c r="E32" s="402">
        <f t="shared" si="0"/>
        <v>222295376.94999999</v>
      </c>
      <c r="F32" s="401">
        <v>193719115.5</v>
      </c>
      <c r="G32" s="401">
        <v>2116982.6</v>
      </c>
      <c r="H32" s="558">
        <f t="shared" si="1"/>
        <v>195836098.09999999</v>
      </c>
    </row>
    <row r="33" spans="1:8">
      <c r="A33" s="374">
        <v>9.3000000000000007</v>
      </c>
      <c r="B33" s="409" t="s">
        <v>199</v>
      </c>
      <c r="C33" s="401"/>
      <c r="D33" s="401"/>
      <c r="E33" s="402">
        <f t="shared" si="0"/>
        <v>0</v>
      </c>
      <c r="F33" s="401"/>
      <c r="G33" s="401"/>
      <c r="H33" s="558">
        <f t="shared" si="1"/>
        <v>0</v>
      </c>
    </row>
    <row r="34" spans="1:8">
      <c r="A34" s="374">
        <v>9.4</v>
      </c>
      <c r="B34" s="409" t="s">
        <v>200</v>
      </c>
      <c r="C34" s="401"/>
      <c r="D34" s="401"/>
      <c r="E34" s="402">
        <f t="shared" si="0"/>
        <v>0</v>
      </c>
      <c r="F34" s="401"/>
      <c r="G34" s="401"/>
      <c r="H34" s="558">
        <f t="shared" si="1"/>
        <v>0</v>
      </c>
    </row>
    <row r="35" spans="1:8">
      <c r="A35" s="374">
        <v>9.5</v>
      </c>
      <c r="B35" s="409" t="s">
        <v>201</v>
      </c>
      <c r="C35" s="401"/>
      <c r="D35" s="401"/>
      <c r="E35" s="402">
        <f t="shared" si="0"/>
        <v>0</v>
      </c>
      <c r="F35" s="401"/>
      <c r="G35" s="401"/>
      <c r="H35" s="558">
        <f t="shared" si="1"/>
        <v>0</v>
      </c>
    </row>
    <row r="36" spans="1:8">
      <c r="A36" s="374">
        <v>9.6</v>
      </c>
      <c r="B36" s="409" t="s">
        <v>204</v>
      </c>
      <c r="C36" s="401"/>
      <c r="D36" s="401"/>
      <c r="E36" s="402">
        <f t="shared" si="0"/>
        <v>0</v>
      </c>
      <c r="F36" s="401"/>
      <c r="G36" s="401"/>
      <c r="H36" s="558">
        <f t="shared" si="1"/>
        <v>0</v>
      </c>
    </row>
    <row r="37" spans="1:8">
      <c r="A37" s="374">
        <v>9.6999999999999993</v>
      </c>
      <c r="B37" s="409" t="s">
        <v>205</v>
      </c>
      <c r="C37" s="401"/>
      <c r="D37" s="401"/>
      <c r="E37" s="402">
        <f t="shared" si="0"/>
        <v>0</v>
      </c>
      <c r="F37" s="401"/>
      <c r="G37" s="401"/>
      <c r="H37" s="558">
        <f t="shared" si="1"/>
        <v>0</v>
      </c>
    </row>
    <row r="38" spans="1:8">
      <c r="A38" s="374">
        <v>10</v>
      </c>
      <c r="B38" s="404" t="s">
        <v>208</v>
      </c>
      <c r="C38" s="665">
        <f>C39+C40+C41+C42</f>
        <v>269802745.63</v>
      </c>
      <c r="D38" s="665">
        <f>D39+D40+D41+D42</f>
        <v>6081038.3336629998</v>
      </c>
      <c r="E38" s="402">
        <f t="shared" si="0"/>
        <v>275883783.96366298</v>
      </c>
      <c r="F38" s="665">
        <f>F39+F40+F41+F42</f>
        <v>213318425</v>
      </c>
      <c r="G38" s="665">
        <f>G39+G40+G41+G42</f>
        <v>5999371.1940879999</v>
      </c>
      <c r="H38" s="558">
        <f t="shared" si="1"/>
        <v>219317796.19408801</v>
      </c>
    </row>
    <row r="39" spans="1:8">
      <c r="A39" s="374">
        <v>10.1</v>
      </c>
      <c r="B39" s="410" t="s">
        <v>209</v>
      </c>
      <c r="C39" s="401">
        <v>10861979.660000004</v>
      </c>
      <c r="D39" s="401">
        <v>397167.98420399998</v>
      </c>
      <c r="E39" s="402">
        <f t="shared" si="0"/>
        <v>11259147.644204004</v>
      </c>
      <c r="F39" s="401">
        <v>9738667.0899999999</v>
      </c>
      <c r="G39" s="401"/>
      <c r="H39" s="558">
        <f t="shared" si="1"/>
        <v>9738667.0899999999</v>
      </c>
    </row>
    <row r="40" spans="1:8">
      <c r="A40" s="374">
        <v>10.199999999999999</v>
      </c>
      <c r="B40" s="410" t="s">
        <v>210</v>
      </c>
      <c r="C40" s="401">
        <v>6667656.9700000044</v>
      </c>
      <c r="D40" s="401">
        <v>112496.34945899999</v>
      </c>
      <c r="E40" s="402">
        <f t="shared" si="0"/>
        <v>6780153.3194590043</v>
      </c>
      <c r="F40" s="401">
        <v>7496281</v>
      </c>
      <c r="G40" s="401">
        <v>38565</v>
      </c>
      <c r="H40" s="558">
        <f t="shared" si="1"/>
        <v>7534846</v>
      </c>
    </row>
    <row r="41" spans="1:8">
      <c r="A41" s="374">
        <v>10.3</v>
      </c>
      <c r="B41" s="410" t="s">
        <v>213</v>
      </c>
      <c r="C41" s="401">
        <v>152047857</v>
      </c>
      <c r="D41" s="401">
        <v>3583873</v>
      </c>
      <c r="E41" s="402">
        <f t="shared" si="0"/>
        <v>155631730</v>
      </c>
      <c r="F41" s="401">
        <v>118702898.91000001</v>
      </c>
      <c r="G41" s="401">
        <v>3076142.1940879999</v>
      </c>
      <c r="H41" s="558">
        <f t="shared" si="1"/>
        <v>121779041.10408801</v>
      </c>
    </row>
    <row r="42" spans="1:8" ht="26.4">
      <c r="A42" s="374">
        <v>10.4</v>
      </c>
      <c r="B42" s="410" t="s">
        <v>214</v>
      </c>
      <c r="C42" s="401">
        <v>100225252</v>
      </c>
      <c r="D42" s="401">
        <v>1987501</v>
      </c>
      <c r="E42" s="402">
        <f t="shared" si="0"/>
        <v>102212753</v>
      </c>
      <c r="F42" s="401">
        <v>77380578</v>
      </c>
      <c r="G42" s="401">
        <v>2884664</v>
      </c>
      <c r="H42" s="558">
        <f t="shared" si="1"/>
        <v>80265242</v>
      </c>
    </row>
    <row r="43" spans="1:8" ht="15" thickBot="1">
      <c r="A43" s="374">
        <v>11</v>
      </c>
      <c r="B43" s="132" t="s">
        <v>211</v>
      </c>
      <c r="C43" s="401"/>
      <c r="D43" s="401"/>
      <c r="E43" s="402">
        <f t="shared" si="0"/>
        <v>0</v>
      </c>
      <c r="F43" s="401"/>
      <c r="G43" s="401"/>
      <c r="H43" s="558">
        <f t="shared" si="1"/>
        <v>0</v>
      </c>
    </row>
    <row r="44" spans="1:8">
      <c r="C44" s="411"/>
      <c r="D44" s="411"/>
      <c r="E44" s="411"/>
      <c r="F44" s="411"/>
      <c r="G44" s="411"/>
      <c r="H44" s="411"/>
    </row>
    <row r="45" spans="1:8">
      <c r="C45" s="411"/>
      <c r="D45" s="411"/>
      <c r="E45" s="411"/>
      <c r="F45" s="411"/>
      <c r="G45" s="411"/>
      <c r="H45" s="411"/>
    </row>
    <row r="46" spans="1:8">
      <c r="C46" s="411"/>
      <c r="D46" s="411"/>
      <c r="E46" s="411"/>
      <c r="F46" s="411"/>
      <c r="G46" s="411"/>
      <c r="H46" s="411"/>
    </row>
    <row r="47" spans="1:8">
      <c r="C47" s="411"/>
      <c r="D47" s="411"/>
      <c r="E47" s="411"/>
      <c r="F47" s="411"/>
      <c r="G47" s="411"/>
      <c r="H47" s="411"/>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7" sqref="C7:C12"/>
    </sheetView>
  </sheetViews>
  <sheetFormatPr defaultColWidth="9.21875" defaultRowHeight="13.2"/>
  <cols>
    <col min="1" max="1" width="9.5546875" style="4" bestFit="1" customWidth="1"/>
    <col min="2" max="2" width="93.5546875" style="4" customWidth="1"/>
    <col min="3" max="4" width="12.33203125" style="4" bestFit="1" customWidth="1"/>
    <col min="5" max="7" width="12.33203125" style="14" bestFit="1" customWidth="1"/>
    <col min="8" max="11" width="9.77734375" style="14" customWidth="1"/>
    <col min="12" max="16384" width="9.21875" style="14"/>
  </cols>
  <sheetData>
    <row r="1" spans="1:7">
      <c r="A1" s="2" t="s">
        <v>30</v>
      </c>
      <c r="B1" s="3" t="str">
        <f>'Info '!C2</f>
        <v>JSC "CREDOBANK"</v>
      </c>
      <c r="C1" s="3"/>
    </row>
    <row r="2" spans="1:7">
      <c r="A2" s="2" t="s">
        <v>31</v>
      </c>
      <c r="B2" s="312">
        <f>'1. key ratios '!B2</f>
        <v>45473</v>
      </c>
      <c r="C2" s="3"/>
    </row>
    <row r="3" spans="1:7">
      <c r="A3" s="2"/>
      <c r="B3" s="3"/>
      <c r="C3" s="3"/>
    </row>
    <row r="4" spans="1:7" ht="15" customHeight="1" thickBot="1">
      <c r="A4" s="4" t="s">
        <v>97</v>
      </c>
      <c r="B4" s="79" t="s">
        <v>188</v>
      </c>
      <c r="C4" s="17" t="s">
        <v>35</v>
      </c>
    </row>
    <row r="5" spans="1:7" ht="15" customHeight="1">
      <c r="A5" s="156" t="s">
        <v>6</v>
      </c>
      <c r="B5" s="157"/>
      <c r="C5" s="310" t="str">
        <f>INT((MONTH($B$2))/3)&amp;"Q"&amp;"-"&amp;YEAR($B$2)</f>
        <v>2Q-2024</v>
      </c>
      <c r="D5" s="310" t="str">
        <f>IF(INT(MONTH($B$2))=3, "4"&amp;"Q"&amp;"-"&amp;YEAR($B$2)-1, IF(INT(MONTH($B$2))=6, "1"&amp;"Q"&amp;"-"&amp;YEAR($B$2), IF(INT(MONTH($B$2))=9, "2"&amp;"Q"&amp;"-"&amp;YEAR($B$2),IF(INT(MONTH($B$2))=12, "3"&amp;"Q"&amp;"-"&amp;YEAR($B$2), 0))))</f>
        <v>1Q-2024</v>
      </c>
      <c r="E5" s="310" t="str">
        <f>IF(INT(MONTH($B$2))=3, "3"&amp;"Q"&amp;"-"&amp;YEAR($B$2)-1, IF(INT(MONTH($B$2))=6, "4"&amp;"Q"&amp;"-"&amp;YEAR($B$2)-1, IF(INT(MONTH($B$2))=9, "1"&amp;"Q"&amp;"-"&amp;YEAR($B$2),IF(INT(MONTH($B$2))=12, "2"&amp;"Q"&amp;"-"&amp;YEAR($B$2), 0))))</f>
        <v>4Q-2023</v>
      </c>
      <c r="F5" s="310" t="str">
        <f>IF(INT(MONTH($B$2))=3, "2"&amp;"Q"&amp;"-"&amp;YEAR($B$2)-1, IF(INT(MONTH($B$2))=6, "3"&amp;"Q"&amp;"-"&amp;YEAR($B$2)-1, IF(INT(MONTH($B$2))=9, "4"&amp;"Q"&amp;"-"&amp;YEAR($B$2)-1,IF(INT(MONTH($B$2))=12, "1"&amp;"Q"&amp;"-"&amp;YEAR($B$2), 0))))</f>
        <v>3Q-2023</v>
      </c>
      <c r="G5" s="311" t="str">
        <f>IF(INT(MONTH($B$2))=3, "1"&amp;"Q"&amp;"-"&amp;YEAR($B$2)-1, IF(INT(MONTH($B$2))=6, "2"&amp;"Q"&amp;"-"&amp;YEAR($B$2)-1, IF(INT(MONTH($B$2))=9, "3"&amp;"Q"&amp;"-"&amp;YEAR($B$2)-1,IF(INT(MONTH($B$2))=12, "4"&amp;"Q"&amp;"-"&amp;YEAR($B$2)-1, 0))))</f>
        <v>2Q-2023</v>
      </c>
    </row>
    <row r="6" spans="1:7" ht="15" customHeight="1">
      <c r="A6" s="18">
        <v>1</v>
      </c>
      <c r="B6" s="238" t="s">
        <v>192</v>
      </c>
      <c r="C6" s="302">
        <f>C7+C9+C10</f>
        <v>1827465908.5889337</v>
      </c>
      <c r="D6" s="304">
        <f>D7+D9+D10</f>
        <v>1690471624.9109747</v>
      </c>
      <c r="E6" s="240">
        <f t="shared" ref="E6:G6" si="0">E7+E9+E10</f>
        <v>1644867891.5247724</v>
      </c>
      <c r="F6" s="302">
        <f t="shared" si="0"/>
        <v>1555571144.3906891</v>
      </c>
      <c r="G6" s="307">
        <f t="shared" si="0"/>
        <v>1513603449.19348</v>
      </c>
    </row>
    <row r="7" spans="1:7" ht="15" customHeight="1">
      <c r="A7" s="18">
        <v>1.1000000000000001</v>
      </c>
      <c r="B7" s="238" t="s">
        <v>358</v>
      </c>
      <c r="C7" s="303">
        <v>1794066642.9262829</v>
      </c>
      <c r="D7" s="305">
        <v>1660720984.2457247</v>
      </c>
      <c r="E7" s="303">
        <v>1619083852.9935224</v>
      </c>
      <c r="F7" s="303">
        <v>1533806374.343189</v>
      </c>
      <c r="G7" s="308">
        <v>1493803420.6659799</v>
      </c>
    </row>
    <row r="8" spans="1:7">
      <c r="A8" s="18" t="s">
        <v>14</v>
      </c>
      <c r="B8" s="238" t="s">
        <v>96</v>
      </c>
      <c r="C8" s="303"/>
      <c r="D8" s="305"/>
      <c r="E8" s="303"/>
      <c r="F8" s="303"/>
      <c r="G8" s="308"/>
    </row>
    <row r="9" spans="1:7" ht="15" customHeight="1">
      <c r="A9" s="18">
        <v>1.2</v>
      </c>
      <c r="B9" s="239" t="s">
        <v>95</v>
      </c>
      <c r="C9" s="303">
        <v>28999508.322650995</v>
      </c>
      <c r="D9" s="305">
        <v>24688313.446249999</v>
      </c>
      <c r="E9" s="303">
        <v>21165112.041249998</v>
      </c>
      <c r="F9" s="303">
        <v>18026448.327499997</v>
      </c>
      <c r="G9" s="308">
        <v>16187572.1175</v>
      </c>
    </row>
    <row r="10" spans="1:7" ht="15" customHeight="1">
      <c r="A10" s="18">
        <v>1.3</v>
      </c>
      <c r="B10" s="238" t="s">
        <v>28</v>
      </c>
      <c r="C10" s="303">
        <v>4399757.34</v>
      </c>
      <c r="D10" s="305">
        <v>5062327.2189999996</v>
      </c>
      <c r="E10" s="303">
        <v>4618926.49</v>
      </c>
      <c r="F10" s="303">
        <v>3738321.72</v>
      </c>
      <c r="G10" s="308">
        <v>3612456.41</v>
      </c>
    </row>
    <row r="11" spans="1:7" ht="15" customHeight="1">
      <c r="A11" s="18">
        <v>2</v>
      </c>
      <c r="B11" s="238" t="s">
        <v>189</v>
      </c>
      <c r="C11" s="303">
        <v>2411779</v>
      </c>
      <c r="D11" s="305">
        <v>786633.70000243757</v>
      </c>
      <c r="E11" s="303">
        <v>2524980</v>
      </c>
      <c r="F11" s="303">
        <v>912850.53000352031</v>
      </c>
      <c r="G11" s="308">
        <v>680131.54784977494</v>
      </c>
    </row>
    <row r="12" spans="1:7" ht="15" customHeight="1">
      <c r="A12" s="18">
        <v>3</v>
      </c>
      <c r="B12" s="238" t="s">
        <v>190</v>
      </c>
      <c r="C12" s="303">
        <v>497590830.13999999</v>
      </c>
      <c r="D12" s="305">
        <v>497590830.13999999</v>
      </c>
      <c r="E12" s="303">
        <v>497590830.13999999</v>
      </c>
      <c r="F12" s="303">
        <v>435833167.47878599</v>
      </c>
      <c r="G12" s="308">
        <v>435833167.47878599</v>
      </c>
    </row>
    <row r="13" spans="1:7" ht="15" customHeight="1" thickBot="1">
      <c r="A13" s="20">
        <v>4</v>
      </c>
      <c r="B13" s="21" t="s">
        <v>191</v>
      </c>
      <c r="C13" s="241">
        <f>C6+C11+C12</f>
        <v>2327468517.7289338</v>
      </c>
      <c r="D13" s="306">
        <f>D6+D11+D12</f>
        <v>2188849088.750977</v>
      </c>
      <c r="E13" s="242">
        <f t="shared" ref="E13:G13" si="1">E6+E11+E12</f>
        <v>2144983701.6647725</v>
      </c>
      <c r="F13" s="241">
        <f t="shared" si="1"/>
        <v>1992317162.3994787</v>
      </c>
      <c r="G13" s="309">
        <f t="shared" si="1"/>
        <v>1950116748.2201159</v>
      </c>
    </row>
    <row r="14" spans="1:7">
      <c r="B14" s="24"/>
    </row>
    <row r="15" spans="1:7" ht="26.4">
      <c r="B15" s="24" t="s">
        <v>359</v>
      </c>
    </row>
    <row r="16" spans="1:7">
      <c r="B16" s="24"/>
    </row>
    <row r="17" s="14" customFormat="1" ht="10.199999999999999"/>
    <row r="18" s="14" customFormat="1" ht="10.199999999999999"/>
    <row r="19" s="14" customFormat="1" ht="10.199999999999999"/>
    <row r="20" s="14" customFormat="1" ht="10.199999999999999"/>
    <row r="21" s="14" customFormat="1" ht="10.199999999999999"/>
    <row r="22" s="14" customFormat="1" ht="10.199999999999999"/>
    <row r="23" s="14" customFormat="1" ht="10.199999999999999"/>
    <row r="24" s="14" customFormat="1" ht="10.199999999999999"/>
    <row r="25" s="14" customFormat="1" ht="10.199999999999999"/>
    <row r="26" s="14" customFormat="1" ht="10.199999999999999"/>
    <row r="27" s="14" customFormat="1" ht="10.199999999999999"/>
    <row r="28" s="14" customFormat="1" ht="10.199999999999999"/>
    <row r="29" s="14" customFormat="1" ht="10.199999999999999"/>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0"/>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33" sqref="C33:C40"/>
    </sheetView>
  </sheetViews>
  <sheetFormatPr defaultColWidth="9.21875" defaultRowHeight="13.8"/>
  <cols>
    <col min="1" max="1" width="9.5546875" style="4" bestFit="1" customWidth="1"/>
    <col min="2" max="2" width="65.5546875" style="4" customWidth="1"/>
    <col min="3" max="3" width="27.5546875" style="4" customWidth="1"/>
    <col min="4" max="16384" width="9.21875" style="5"/>
  </cols>
  <sheetData>
    <row r="1" spans="1:8">
      <c r="A1" s="2" t="s">
        <v>30</v>
      </c>
      <c r="B1" s="3" t="str">
        <f>'Info '!C2</f>
        <v>JSC "CREDOBANK"</v>
      </c>
    </row>
    <row r="2" spans="1:8">
      <c r="A2" s="2" t="s">
        <v>31</v>
      </c>
      <c r="B2" s="312">
        <f>'1. key ratios '!B2</f>
        <v>45473</v>
      </c>
    </row>
    <row r="4" spans="1:8" ht="28.05" customHeight="1" thickBot="1">
      <c r="A4" s="25" t="s">
        <v>41</v>
      </c>
      <c r="B4" s="26" t="s">
        <v>164</v>
      </c>
      <c r="C4" s="27"/>
    </row>
    <row r="5" spans="1:8">
      <c r="A5" s="28"/>
      <c r="B5" s="297" t="s">
        <v>42</v>
      </c>
      <c r="C5" s="298" t="s">
        <v>372</v>
      </c>
    </row>
    <row r="6" spans="1:8">
      <c r="A6" s="29">
        <v>1</v>
      </c>
      <c r="B6" s="559" t="s">
        <v>716</v>
      </c>
      <c r="C6" s="560" t="s">
        <v>717</v>
      </c>
    </row>
    <row r="7" spans="1:8">
      <c r="A7" s="29">
        <v>2</v>
      </c>
      <c r="B7" s="559" t="s">
        <v>718</v>
      </c>
      <c r="C7" s="560" t="s">
        <v>719</v>
      </c>
    </row>
    <row r="8" spans="1:8">
      <c r="A8" s="29">
        <v>3</v>
      </c>
      <c r="B8" s="559" t="s">
        <v>720</v>
      </c>
      <c r="C8" s="560" t="s">
        <v>719</v>
      </c>
    </row>
    <row r="9" spans="1:8">
      <c r="A9" s="29">
        <v>4</v>
      </c>
      <c r="B9" s="559" t="s">
        <v>721</v>
      </c>
      <c r="C9" s="560" t="s">
        <v>719</v>
      </c>
    </row>
    <row r="10" spans="1:8">
      <c r="A10" s="29">
        <v>5</v>
      </c>
      <c r="B10" s="559" t="s">
        <v>722</v>
      </c>
      <c r="C10" s="560" t="s">
        <v>723</v>
      </c>
    </row>
    <row r="11" spans="1:8">
      <c r="A11" s="29">
        <v>6</v>
      </c>
      <c r="B11" s="559" t="s">
        <v>724</v>
      </c>
      <c r="C11" s="560" t="s">
        <v>725</v>
      </c>
    </row>
    <row r="12" spans="1:8">
      <c r="A12" s="29"/>
      <c r="B12" s="30"/>
      <c r="C12" s="31"/>
      <c r="H12" s="32"/>
    </row>
    <row r="13" spans="1:8">
      <c r="A13" s="29"/>
      <c r="B13" s="299"/>
      <c r="C13" s="300"/>
    </row>
    <row r="14" spans="1:8" ht="26.4">
      <c r="A14" s="29"/>
      <c r="B14" s="138" t="s">
        <v>43</v>
      </c>
      <c r="C14" s="301" t="s">
        <v>373</v>
      </c>
    </row>
    <row r="15" spans="1:8">
      <c r="A15" s="29">
        <v>1</v>
      </c>
      <c r="B15" s="559" t="s">
        <v>714</v>
      </c>
      <c r="C15" s="561" t="s">
        <v>726</v>
      </c>
    </row>
    <row r="16" spans="1:8">
      <c r="A16" s="29">
        <v>2</v>
      </c>
      <c r="B16" s="559" t="s">
        <v>727</v>
      </c>
      <c r="C16" s="561" t="s">
        <v>728</v>
      </c>
    </row>
    <row r="17" spans="1:3">
      <c r="A17" s="29">
        <v>3</v>
      </c>
      <c r="B17" s="559" t="s">
        <v>729</v>
      </c>
      <c r="C17" s="561" t="s">
        <v>730</v>
      </c>
    </row>
    <row r="18" spans="1:3">
      <c r="A18" s="29">
        <v>4</v>
      </c>
      <c r="B18" s="559" t="s">
        <v>731</v>
      </c>
      <c r="C18" s="561" t="s">
        <v>732</v>
      </c>
    </row>
    <row r="19" spans="1:3">
      <c r="A19" s="29">
        <v>5</v>
      </c>
      <c r="B19" s="559" t="s">
        <v>733</v>
      </c>
      <c r="C19" s="561" t="s">
        <v>734</v>
      </c>
    </row>
    <row r="20" spans="1:3">
      <c r="A20" s="29">
        <v>6</v>
      </c>
      <c r="B20" s="559" t="s">
        <v>735</v>
      </c>
      <c r="C20" s="561" t="s">
        <v>736</v>
      </c>
    </row>
    <row r="21" spans="1:3">
      <c r="A21" s="29"/>
      <c r="B21" s="30"/>
      <c r="C21" s="33"/>
    </row>
    <row r="22" spans="1:3" ht="15.75" customHeight="1">
      <c r="A22" s="29"/>
      <c r="B22" s="30"/>
      <c r="C22" s="34"/>
    </row>
    <row r="23" spans="1:3" ht="30" customHeight="1">
      <c r="A23" s="29"/>
      <c r="B23" s="691" t="s">
        <v>44</v>
      </c>
      <c r="C23" s="692"/>
    </row>
    <row r="24" spans="1:3" ht="15">
      <c r="A24" s="29">
        <v>1</v>
      </c>
      <c r="B24" s="563" t="s">
        <v>737</v>
      </c>
      <c r="C24" s="562">
        <v>0.50580000000000003</v>
      </c>
    </row>
    <row r="25" spans="1:3" ht="15">
      <c r="A25" s="29">
        <v>2</v>
      </c>
      <c r="B25" s="563" t="s">
        <v>738</v>
      </c>
      <c r="C25" s="562">
        <v>8.3199999999999996E-2</v>
      </c>
    </row>
    <row r="26" spans="1:3" ht="15">
      <c r="A26" s="29">
        <v>3</v>
      </c>
      <c r="B26" s="563" t="s">
        <v>739</v>
      </c>
      <c r="C26" s="562">
        <v>8.3199999999999996E-2</v>
      </c>
    </row>
    <row r="27" spans="1:3" ht="15">
      <c r="A27" s="29">
        <v>4</v>
      </c>
      <c r="B27" s="563" t="s">
        <v>740</v>
      </c>
      <c r="C27" s="562">
        <v>7.85E-2</v>
      </c>
    </row>
    <row r="28" spans="1:3" ht="28.8">
      <c r="A28" s="29">
        <v>5</v>
      </c>
      <c r="B28" s="563" t="s">
        <v>742</v>
      </c>
      <c r="C28" s="562">
        <v>7.3899999999999993E-2</v>
      </c>
    </row>
    <row r="29" spans="1:3" ht="28.8">
      <c r="A29" s="29">
        <v>6</v>
      </c>
      <c r="B29" s="563" t="s">
        <v>743</v>
      </c>
      <c r="C29" s="562">
        <v>1.5699999999999999E-2</v>
      </c>
    </row>
    <row r="30" spans="1:3" ht="28.8">
      <c r="A30" s="29">
        <v>7</v>
      </c>
      <c r="B30" s="563" t="s">
        <v>741</v>
      </c>
      <c r="C30" s="562">
        <v>0.1479</v>
      </c>
    </row>
    <row r="31" spans="1:3" ht="15.75" customHeight="1">
      <c r="A31" s="29"/>
      <c r="B31" s="30"/>
      <c r="C31" s="31"/>
    </row>
    <row r="32" spans="1:3" ht="29.25" customHeight="1">
      <c r="A32" s="29"/>
      <c r="B32" s="691" t="s">
        <v>45</v>
      </c>
      <c r="C32" s="692"/>
    </row>
    <row r="33" spans="1:3" ht="14.4">
      <c r="A33" s="29">
        <v>1</v>
      </c>
      <c r="B33" s="559" t="s">
        <v>744</v>
      </c>
      <c r="C33" s="562">
        <v>5.9792287999999999E-2</v>
      </c>
    </row>
    <row r="34" spans="1:3" ht="14.4">
      <c r="A34" s="564">
        <v>2</v>
      </c>
      <c r="B34" s="565" t="s">
        <v>745</v>
      </c>
      <c r="C34" s="562">
        <v>5.9792287999999999E-2</v>
      </c>
    </row>
    <row r="35" spans="1:3" ht="14.4">
      <c r="A35" s="29">
        <v>3</v>
      </c>
      <c r="B35" s="565" t="s">
        <v>746</v>
      </c>
      <c r="C35" s="566">
        <v>7.5212927999999998E-2</v>
      </c>
    </row>
    <row r="36" spans="1:3" ht="14.4">
      <c r="A36" s="564">
        <v>4</v>
      </c>
      <c r="B36" s="565" t="s">
        <v>747</v>
      </c>
      <c r="C36" s="566">
        <v>6.4269248000000001E-2</v>
      </c>
    </row>
    <row r="37" spans="1:3" ht="14.4">
      <c r="A37" s="29">
        <v>5</v>
      </c>
      <c r="B37" s="565" t="s">
        <v>748</v>
      </c>
      <c r="C37" s="566">
        <v>0.12018150400000001</v>
      </c>
    </row>
    <row r="38" spans="1:3" ht="14.4">
      <c r="A38" s="564">
        <v>6</v>
      </c>
      <c r="B38" s="565" t="s">
        <v>749</v>
      </c>
      <c r="C38" s="566">
        <v>7.2128799999999993E-2</v>
      </c>
    </row>
    <row r="39" spans="1:3" ht="14.4">
      <c r="A39" s="29">
        <v>7</v>
      </c>
      <c r="B39" s="565" t="s">
        <v>750</v>
      </c>
      <c r="C39" s="566">
        <v>5.6708160000000001E-2</v>
      </c>
    </row>
    <row r="40" spans="1:3" ht="15" thickBot="1">
      <c r="A40" s="564">
        <v>8</v>
      </c>
      <c r="B40" s="35" t="s">
        <v>751</v>
      </c>
      <c r="C40" s="562">
        <v>0.115605056</v>
      </c>
    </row>
  </sheetData>
  <mergeCells count="2">
    <mergeCell ref="B32:C32"/>
    <mergeCell ref="B23:C23"/>
  </mergeCells>
  <dataValidations count="1">
    <dataValidation type="list" allowBlank="1" showInputMessage="1" showErrorMessage="1" sqref="C6:C12"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zoomScale="70" zoomScaleNormal="70" workbookViewId="0">
      <pane xSplit="1" ySplit="5" topLeftCell="B13" activePane="bottomRight" state="frozen"/>
      <selection activeCell="B61" sqref="B61"/>
      <selection pane="topRight" activeCell="B61" sqref="B61"/>
      <selection pane="bottomLeft" activeCell="B61" sqref="B61"/>
      <selection pane="bottomRight" activeCell="G30" sqref="G30"/>
    </sheetView>
  </sheetViews>
  <sheetFormatPr defaultColWidth="9.21875" defaultRowHeight="13.8"/>
  <cols>
    <col min="1" max="1" width="9.5546875" style="4" bestFit="1" customWidth="1"/>
    <col min="2" max="2" width="54.21875" style="4" customWidth="1"/>
    <col min="3" max="3" width="28" style="4" customWidth="1"/>
    <col min="4" max="4" width="22.44140625" style="4" customWidth="1"/>
    <col min="5" max="5" width="22.21875" style="4" customWidth="1"/>
    <col min="6" max="6" width="12" style="5" bestFit="1" customWidth="1"/>
    <col min="7" max="7" width="12.5546875" style="5" bestFit="1" customWidth="1"/>
    <col min="8" max="16384" width="9.21875" style="5"/>
  </cols>
  <sheetData>
    <row r="1" spans="1:5">
      <c r="A1" s="23" t="s">
        <v>30</v>
      </c>
      <c r="B1" s="3" t="str">
        <f>'Info '!C2</f>
        <v>JSC "CREDOBANK"</v>
      </c>
    </row>
    <row r="2" spans="1:5" s="2" customFormat="1" ht="15.75" customHeight="1">
      <c r="A2" s="23" t="s">
        <v>31</v>
      </c>
      <c r="B2" s="312">
        <f>'1. key ratios '!B2</f>
        <v>45473</v>
      </c>
    </row>
    <row r="3" spans="1:5" s="2" customFormat="1" ht="15.75" customHeight="1">
      <c r="A3" s="23"/>
    </row>
    <row r="4" spans="1:5" s="2" customFormat="1" ht="15.75" customHeight="1" thickBot="1">
      <c r="A4" s="191" t="s">
        <v>100</v>
      </c>
      <c r="B4" s="697" t="s">
        <v>226</v>
      </c>
      <c r="C4" s="698"/>
      <c r="D4" s="698"/>
      <c r="E4" s="698"/>
    </row>
    <row r="5" spans="1:5" s="39" customFormat="1" ht="17.55" customHeight="1">
      <c r="A5" s="141"/>
      <c r="B5" s="142"/>
      <c r="C5" s="37" t="s">
        <v>0</v>
      </c>
      <c r="D5" s="37" t="s">
        <v>1</v>
      </c>
      <c r="E5" s="38" t="s">
        <v>2</v>
      </c>
    </row>
    <row r="6" spans="1:5" ht="14.55" customHeight="1">
      <c r="A6" s="96"/>
      <c r="B6" s="693" t="s">
        <v>233</v>
      </c>
      <c r="C6" s="693" t="s">
        <v>663</v>
      </c>
      <c r="D6" s="695" t="s">
        <v>99</v>
      </c>
      <c r="E6" s="696"/>
    </row>
    <row r="7" spans="1:5" ht="99.6" customHeight="1">
      <c r="A7" s="96"/>
      <c r="B7" s="694"/>
      <c r="C7" s="693"/>
      <c r="D7" s="224" t="s">
        <v>98</v>
      </c>
      <c r="E7" s="225" t="s">
        <v>234</v>
      </c>
    </row>
    <row r="8" spans="1:5" ht="20.399999999999999">
      <c r="A8" s="358">
        <v>1</v>
      </c>
      <c r="B8" s="359" t="s">
        <v>564</v>
      </c>
      <c r="C8" s="567">
        <f>SUM(C9:C11)</f>
        <v>356507243.01999998</v>
      </c>
      <c r="D8" s="568">
        <f t="shared" ref="D8:E8" si="0">SUM(D9:D11)</f>
        <v>0</v>
      </c>
      <c r="E8" s="567">
        <f t="shared" si="0"/>
        <v>356507243.01999998</v>
      </c>
    </row>
    <row r="9" spans="1:5" ht="14.4">
      <c r="A9" s="358">
        <v>1.1000000000000001</v>
      </c>
      <c r="B9" s="360" t="s">
        <v>565</v>
      </c>
      <c r="C9" s="568">
        <v>88834128.109999999</v>
      </c>
      <c r="D9" s="568"/>
      <c r="E9" s="568">
        <f t="shared" ref="E9:E15" si="1">C9-D9</f>
        <v>88834128.109999999</v>
      </c>
    </row>
    <row r="10" spans="1:5" ht="14.4">
      <c r="A10" s="358">
        <v>1.2</v>
      </c>
      <c r="B10" s="360" t="s">
        <v>566</v>
      </c>
      <c r="C10" s="568">
        <v>187736398.56</v>
      </c>
      <c r="D10" s="568"/>
      <c r="E10" s="568">
        <f t="shared" si="1"/>
        <v>187736398.56</v>
      </c>
    </row>
    <row r="11" spans="1:5" ht="14.4">
      <c r="A11" s="358">
        <v>1.3</v>
      </c>
      <c r="B11" s="360" t="s">
        <v>567</v>
      </c>
      <c r="C11" s="568">
        <v>79936716.349999994</v>
      </c>
      <c r="D11" s="568"/>
      <c r="E11" s="568">
        <f t="shared" si="1"/>
        <v>79936716.349999994</v>
      </c>
    </row>
    <row r="12" spans="1:5" ht="14.4">
      <c r="A12" s="358">
        <v>2</v>
      </c>
      <c r="B12" s="361" t="s">
        <v>568</v>
      </c>
      <c r="C12" s="568">
        <v>906908.67</v>
      </c>
      <c r="D12" s="568"/>
      <c r="E12" s="568">
        <f t="shared" si="1"/>
        <v>906908.67</v>
      </c>
    </row>
    <row r="13" spans="1:5" ht="14.4">
      <c r="A13" s="358">
        <v>2.1</v>
      </c>
      <c r="B13" s="362" t="s">
        <v>569</v>
      </c>
      <c r="C13" s="568">
        <v>906908.67</v>
      </c>
      <c r="D13" s="568"/>
      <c r="E13" s="568">
        <f t="shared" si="1"/>
        <v>906908.67</v>
      </c>
    </row>
    <row r="14" spans="1:5" ht="20.399999999999999">
      <c r="A14" s="358">
        <v>3</v>
      </c>
      <c r="B14" s="363" t="s">
        <v>570</v>
      </c>
      <c r="C14" s="568"/>
      <c r="D14" s="568"/>
      <c r="E14" s="568">
        <f t="shared" si="1"/>
        <v>0</v>
      </c>
    </row>
    <row r="15" spans="1:5" ht="14.4">
      <c r="A15" s="358">
        <v>4</v>
      </c>
      <c r="B15" s="364" t="s">
        <v>571</v>
      </c>
      <c r="C15" s="568"/>
      <c r="D15" s="568"/>
      <c r="E15" s="568">
        <f t="shared" si="1"/>
        <v>0</v>
      </c>
    </row>
    <row r="16" spans="1:5" ht="20.399999999999999">
      <c r="A16" s="358">
        <v>5</v>
      </c>
      <c r="B16" s="365" t="s">
        <v>572</v>
      </c>
      <c r="C16" s="568">
        <f>SUM(C17:C19)</f>
        <v>0</v>
      </c>
      <c r="D16" s="568">
        <f t="shared" ref="D16:E16" si="2">SUM(D17:D19)</f>
        <v>0</v>
      </c>
      <c r="E16" s="568">
        <f t="shared" si="2"/>
        <v>0</v>
      </c>
    </row>
    <row r="17" spans="1:5" ht="14.4">
      <c r="A17" s="358">
        <v>5.0999999999999996</v>
      </c>
      <c r="B17" s="366" t="s">
        <v>573</v>
      </c>
      <c r="C17" s="568"/>
      <c r="D17" s="568"/>
      <c r="E17" s="568"/>
    </row>
    <row r="18" spans="1:5" ht="14.4">
      <c r="A18" s="358">
        <v>5.2</v>
      </c>
      <c r="B18" s="366" t="s">
        <v>574</v>
      </c>
      <c r="C18" s="568"/>
      <c r="D18" s="568"/>
      <c r="E18" s="568"/>
    </row>
    <row r="19" spans="1:5" ht="14.4">
      <c r="A19" s="358">
        <v>5.3</v>
      </c>
      <c r="B19" s="367" t="s">
        <v>575</v>
      </c>
      <c r="C19" s="568"/>
      <c r="D19" s="568"/>
      <c r="E19" s="568"/>
    </row>
    <row r="20" spans="1:5" ht="14.4">
      <c r="A20" s="358">
        <v>6</v>
      </c>
      <c r="B20" s="363" t="s">
        <v>576</v>
      </c>
      <c r="C20" s="567">
        <f>SUM(C21:C22)</f>
        <v>2212084987.8091302</v>
      </c>
      <c r="D20" s="568">
        <f t="shared" ref="D20:E20" si="3">SUM(D21:D22)</f>
        <v>0</v>
      </c>
      <c r="E20" s="567">
        <f t="shared" si="3"/>
        <v>2212084987.8091302</v>
      </c>
    </row>
    <row r="21" spans="1:5" ht="14.4">
      <c r="A21" s="358">
        <v>6.1</v>
      </c>
      <c r="B21" s="366" t="s">
        <v>574</v>
      </c>
      <c r="C21" s="569">
        <v>19745284.289999999</v>
      </c>
      <c r="D21" s="569"/>
      <c r="E21" s="568">
        <f t="shared" ref="E21:E23" si="4">C21-D21</f>
        <v>19745284.289999999</v>
      </c>
    </row>
    <row r="22" spans="1:5" ht="14.4">
      <c r="A22" s="358">
        <v>6.2</v>
      </c>
      <c r="B22" s="367" t="s">
        <v>575</v>
      </c>
      <c r="C22" s="569">
        <v>2192339703.5191302</v>
      </c>
      <c r="D22" s="569"/>
      <c r="E22" s="568">
        <f t="shared" si="4"/>
        <v>2192339703.5191302</v>
      </c>
    </row>
    <row r="23" spans="1:5" ht="14.4">
      <c r="A23" s="358">
        <v>7</v>
      </c>
      <c r="B23" s="361" t="s">
        <v>577</v>
      </c>
      <c r="C23" s="569">
        <v>1737632.6</v>
      </c>
      <c r="D23" s="569"/>
      <c r="E23" s="568">
        <f t="shared" si="4"/>
        <v>1737632.6</v>
      </c>
    </row>
    <row r="24" spans="1:5" ht="20.399999999999999">
      <c r="A24" s="358">
        <v>8</v>
      </c>
      <c r="B24" s="368" t="s">
        <v>578</v>
      </c>
      <c r="C24" s="569"/>
      <c r="D24" s="569"/>
      <c r="E24" s="569"/>
    </row>
    <row r="25" spans="1:5" ht="14.4">
      <c r="A25" s="358">
        <v>9</v>
      </c>
      <c r="B25" s="364" t="s">
        <v>579</v>
      </c>
      <c r="C25" s="570">
        <f>SUM(C26:C27)</f>
        <v>46309270.910000011</v>
      </c>
      <c r="D25" s="569">
        <f t="shared" ref="D25:E25" si="5">SUM(D26:D27)</f>
        <v>0</v>
      </c>
      <c r="E25" s="570">
        <f t="shared" si="5"/>
        <v>46309270.910000011</v>
      </c>
    </row>
    <row r="26" spans="1:5" ht="14.4">
      <c r="A26" s="358">
        <v>9.1</v>
      </c>
      <c r="B26" s="366" t="s">
        <v>580</v>
      </c>
      <c r="C26" s="569">
        <v>46309270.910000011</v>
      </c>
      <c r="D26" s="569"/>
      <c r="E26" s="568">
        <f t="shared" ref="E26" si="6">C26-D26</f>
        <v>46309270.910000011</v>
      </c>
    </row>
    <row r="27" spans="1:5" ht="14.4">
      <c r="A27" s="358">
        <v>9.1999999999999993</v>
      </c>
      <c r="B27" s="366" t="s">
        <v>581</v>
      </c>
      <c r="C27" s="569"/>
      <c r="D27" s="569"/>
      <c r="E27" s="569"/>
    </row>
    <row r="28" spans="1:5" ht="14.4">
      <c r="A28" s="358">
        <v>10</v>
      </c>
      <c r="B28" s="364" t="s">
        <v>582</v>
      </c>
      <c r="C28" s="570">
        <f>SUM(C29:C30)</f>
        <v>25359073.809999995</v>
      </c>
      <c r="D28" s="569">
        <f t="shared" ref="D28:E28" si="7">SUM(D29:D30)</f>
        <v>25359073.809999995</v>
      </c>
      <c r="E28" s="570">
        <f t="shared" si="7"/>
        <v>0</v>
      </c>
    </row>
    <row r="29" spans="1:5" ht="14.4">
      <c r="A29" s="358">
        <v>10.1</v>
      </c>
      <c r="B29" s="366" t="s">
        <v>583</v>
      </c>
      <c r="C29" s="569"/>
      <c r="D29" s="569"/>
      <c r="E29" s="569"/>
    </row>
    <row r="30" spans="1:5" ht="14.4">
      <c r="A30" s="358">
        <v>10.199999999999999</v>
      </c>
      <c r="B30" s="366" t="s">
        <v>584</v>
      </c>
      <c r="C30" s="569">
        <v>25359073.809999995</v>
      </c>
      <c r="D30" s="569">
        <v>25359073.809999995</v>
      </c>
      <c r="E30" s="568">
        <f t="shared" ref="E30" si="8">C30-D30</f>
        <v>0</v>
      </c>
    </row>
    <row r="31" spans="1:5" ht="14.4">
      <c r="A31" s="358">
        <v>11</v>
      </c>
      <c r="B31" s="364" t="s">
        <v>585</v>
      </c>
      <c r="C31" s="569">
        <f>SUM(C32:C33)</f>
        <v>0</v>
      </c>
      <c r="D31" s="569">
        <f t="shared" ref="D31:E31" si="9">SUM(D32:D33)</f>
        <v>0</v>
      </c>
      <c r="E31" s="569">
        <f t="shared" si="9"/>
        <v>0</v>
      </c>
    </row>
    <row r="32" spans="1:5" ht="14.4">
      <c r="A32" s="358">
        <v>11.1</v>
      </c>
      <c r="B32" s="366" t="s">
        <v>586</v>
      </c>
      <c r="C32" s="569">
        <v>0</v>
      </c>
      <c r="D32" s="569"/>
      <c r="E32" s="569"/>
    </row>
    <row r="33" spans="1:7" ht="14.4">
      <c r="A33" s="358">
        <v>11.2</v>
      </c>
      <c r="B33" s="366" t="s">
        <v>587</v>
      </c>
      <c r="C33" s="569">
        <v>0</v>
      </c>
      <c r="D33" s="569"/>
      <c r="E33" s="569"/>
    </row>
    <row r="34" spans="1:7" ht="14.4">
      <c r="A34" s="358">
        <v>13</v>
      </c>
      <c r="B34" s="364" t="s">
        <v>588</v>
      </c>
      <c r="C34" s="570">
        <v>52406921.670000002</v>
      </c>
      <c r="D34" s="569"/>
      <c r="E34" s="567">
        <f t="shared" ref="E34:E35" si="10">C34-D34</f>
        <v>52406921.670000002</v>
      </c>
    </row>
    <row r="35" spans="1:7" ht="14.4">
      <c r="A35" s="358">
        <v>13.1</v>
      </c>
      <c r="B35" s="369" t="s">
        <v>589</v>
      </c>
      <c r="C35" s="569">
        <v>16518198.929999992</v>
      </c>
      <c r="D35" s="569"/>
      <c r="E35" s="568">
        <f t="shared" si="10"/>
        <v>16518198.929999992</v>
      </c>
    </row>
    <row r="36" spans="1:7" ht="14.4">
      <c r="A36" s="358">
        <v>13.2</v>
      </c>
      <c r="B36" s="369" t="s">
        <v>590</v>
      </c>
      <c r="C36" s="569"/>
      <c r="D36" s="569"/>
      <c r="E36" s="569"/>
    </row>
    <row r="37" spans="1:7" ht="27" thickBot="1">
      <c r="A37" s="99"/>
      <c r="B37" s="192" t="s">
        <v>235</v>
      </c>
      <c r="C37" s="143">
        <f>SUM(C8,C12,C14,C15,C16,C20,C23,C24,C25,C28,C31,C34)</f>
        <v>2695312038.48913</v>
      </c>
      <c r="D37" s="143">
        <f>SUM(D8,D12,D14,D15,D16,D20,D23,D24,D25,D28,D31,D34)</f>
        <v>25359073.809999995</v>
      </c>
      <c r="E37" s="143">
        <f>SUM(E8,E12,E14,E15,E16,E20,E23,E24,E25,E28,E31,E34)</f>
        <v>2669952964.6791301</v>
      </c>
    </row>
    <row r="38" spans="1:7">
      <c r="A38" s="5"/>
      <c r="B38" s="5"/>
      <c r="C38" s="5"/>
      <c r="D38" s="5"/>
      <c r="E38" s="5"/>
    </row>
    <row r="39" spans="1:7">
      <c r="A39" s="5"/>
      <c r="B39" s="5"/>
      <c r="C39" s="5"/>
      <c r="D39" s="5"/>
      <c r="E39" s="5"/>
    </row>
    <row r="41" spans="1:7" s="4" customFormat="1">
      <c r="B41" s="40"/>
      <c r="F41" s="5"/>
      <c r="G41" s="5"/>
    </row>
    <row r="42" spans="1:7" s="4" customFormat="1">
      <c r="B42" s="40"/>
      <c r="F42" s="5"/>
      <c r="G42" s="5"/>
    </row>
    <row r="43" spans="1:7" s="4" customFormat="1">
      <c r="B43" s="40"/>
      <c r="F43" s="5"/>
      <c r="G43" s="5"/>
    </row>
    <row r="44" spans="1:7" s="4" customFormat="1">
      <c r="B44" s="40"/>
      <c r="F44" s="5"/>
      <c r="G44" s="5"/>
    </row>
    <row r="45" spans="1:7" s="4" customFormat="1">
      <c r="B45" s="40"/>
      <c r="F45" s="5"/>
      <c r="G45" s="5"/>
    </row>
    <row r="46" spans="1:7" s="4" customFormat="1">
      <c r="B46" s="40"/>
      <c r="F46" s="5"/>
      <c r="G46" s="5"/>
    </row>
    <row r="47" spans="1:7" s="4" customFormat="1">
      <c r="B47" s="40"/>
      <c r="F47" s="5"/>
      <c r="G47" s="5"/>
    </row>
    <row r="48" spans="1:7" s="4" customFormat="1">
      <c r="B48" s="40"/>
      <c r="F48" s="5"/>
      <c r="G48" s="5"/>
    </row>
    <row r="49" spans="2:7" s="4" customFormat="1">
      <c r="B49" s="40"/>
      <c r="F49" s="5"/>
      <c r="G49" s="5"/>
    </row>
    <row r="50" spans="2:7" s="4" customFormat="1">
      <c r="B50" s="40"/>
      <c r="F50" s="5"/>
      <c r="G50" s="5"/>
    </row>
    <row r="51" spans="2:7" s="4" customFormat="1">
      <c r="B51" s="40"/>
      <c r="F51" s="5"/>
      <c r="G51" s="5"/>
    </row>
    <row r="52" spans="2:7" s="4" customFormat="1">
      <c r="B52" s="40"/>
      <c r="F52" s="5"/>
      <c r="G52" s="5"/>
    </row>
    <row r="53" spans="2:7" s="4" customFormat="1">
      <c r="B53" s="40"/>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9" sqref="C9:C11"/>
    </sheetView>
  </sheetViews>
  <sheetFormatPr defaultColWidth="9.21875" defaultRowHeight="13.2" outlineLevelRow="1"/>
  <cols>
    <col min="1" max="1" width="9.5546875" style="4" bestFit="1" customWidth="1"/>
    <col min="2" max="2" width="114.21875" style="4" customWidth="1"/>
    <col min="3" max="3" width="18.77734375" style="4" customWidth="1"/>
    <col min="4" max="4" width="25.44140625" style="4" customWidth="1"/>
    <col min="5" max="5" width="24.21875" style="4" customWidth="1"/>
    <col min="6" max="6" width="24" style="4" customWidth="1"/>
    <col min="7" max="7" width="10" style="4" bestFit="1" customWidth="1"/>
    <col min="8" max="8" width="12" style="4" bestFit="1" customWidth="1"/>
    <col min="9" max="9" width="12.5546875" style="4" bestFit="1" customWidth="1"/>
    <col min="10" max="16384" width="9.21875" style="4"/>
  </cols>
  <sheetData>
    <row r="1" spans="1:6">
      <c r="A1" s="2" t="s">
        <v>30</v>
      </c>
      <c r="B1" s="3" t="str">
        <f>'Info '!C2</f>
        <v>JSC "CREDOBANK"</v>
      </c>
    </row>
    <row r="2" spans="1:6" s="2" customFormat="1" ht="15.75" customHeight="1">
      <c r="A2" s="2" t="s">
        <v>31</v>
      </c>
      <c r="B2" s="312">
        <f>'1. key ratios '!B2</f>
        <v>45473</v>
      </c>
      <c r="C2" s="4"/>
      <c r="D2" s="4"/>
      <c r="E2" s="4"/>
      <c r="F2" s="4"/>
    </row>
    <row r="3" spans="1:6" s="2" customFormat="1" ht="15.75" customHeight="1">
      <c r="C3" s="4"/>
      <c r="D3" s="4"/>
      <c r="E3" s="4"/>
      <c r="F3" s="4"/>
    </row>
    <row r="4" spans="1:6" s="2" customFormat="1" ht="13.8" thickBot="1">
      <c r="A4" s="2" t="s">
        <v>46</v>
      </c>
      <c r="B4" s="193" t="s">
        <v>557</v>
      </c>
      <c r="C4" s="36" t="s">
        <v>35</v>
      </c>
      <c r="D4" s="4"/>
      <c r="E4" s="4"/>
      <c r="F4" s="4"/>
    </row>
    <row r="5" spans="1:6">
      <c r="A5" s="147">
        <v>1</v>
      </c>
      <c r="B5" s="194" t="s">
        <v>559</v>
      </c>
      <c r="C5" s="148">
        <f>'7. LI1 '!E37</f>
        <v>2669952964.6791301</v>
      </c>
    </row>
    <row r="6" spans="1:6">
      <c r="A6" s="41">
        <v>2.1</v>
      </c>
      <c r="B6" s="97" t="s">
        <v>215</v>
      </c>
      <c r="C6" s="88">
        <v>75756447.673735991</v>
      </c>
    </row>
    <row r="7" spans="1:6" s="24" customFormat="1" outlineLevel="1">
      <c r="A7" s="18">
        <v>2.2000000000000002</v>
      </c>
      <c r="B7" s="19" t="s">
        <v>216</v>
      </c>
      <c r="C7" s="149">
        <v>219987867</v>
      </c>
    </row>
    <row r="8" spans="1:6" s="24" customFormat="1">
      <c r="A8" s="18">
        <v>3</v>
      </c>
      <c r="B8" s="145" t="s">
        <v>558</v>
      </c>
      <c r="C8" s="150">
        <f>SUM(C5:C7)</f>
        <v>2965697279.3528662</v>
      </c>
    </row>
    <row r="9" spans="1:6">
      <c r="A9" s="41">
        <v>4</v>
      </c>
      <c r="B9" s="42" t="s">
        <v>48</v>
      </c>
      <c r="C9" s="88">
        <v>0</v>
      </c>
    </row>
    <row r="10" spans="1:6" s="24" customFormat="1" outlineLevel="1">
      <c r="A10" s="18">
        <v>5.0999999999999996</v>
      </c>
      <c r="B10" s="19" t="s">
        <v>217</v>
      </c>
      <c r="C10" s="149">
        <v>-38864545.673735991</v>
      </c>
    </row>
    <row r="11" spans="1:6" s="24" customFormat="1" outlineLevel="1">
      <c r="A11" s="18">
        <v>5.2</v>
      </c>
      <c r="B11" s="19" t="s">
        <v>218</v>
      </c>
      <c r="C11" s="149">
        <v>-215588110</v>
      </c>
    </row>
    <row r="12" spans="1:6" s="24" customFormat="1">
      <c r="A12" s="18">
        <v>6</v>
      </c>
      <c r="B12" s="144" t="s">
        <v>360</v>
      </c>
      <c r="C12" s="149"/>
    </row>
    <row r="13" spans="1:6" s="24" customFormat="1" ht="13.8" thickBot="1">
      <c r="A13" s="20">
        <v>7</v>
      </c>
      <c r="B13" s="146" t="s">
        <v>178</v>
      </c>
      <c r="C13" s="151">
        <f>SUM(C8:C12)</f>
        <v>2711244623.6791301</v>
      </c>
    </row>
    <row r="15" spans="1:6" ht="26.4">
      <c r="B15" s="24" t="s">
        <v>361</v>
      </c>
    </row>
    <row r="17" spans="1:2" ht="13.8">
      <c r="A17" s="158"/>
      <c r="B17" s="159"/>
    </row>
    <row r="18" spans="1:2" ht="14.4">
      <c r="A18" s="163"/>
      <c r="B18" s="164"/>
    </row>
    <row r="19" spans="1:2" ht="13.8">
      <c r="A19" s="165"/>
      <c r="B19" s="160"/>
    </row>
    <row r="20" spans="1:2" ht="13.8">
      <c r="A20" s="166"/>
      <c r="B20" s="161"/>
    </row>
    <row r="21" spans="1:2" ht="13.8">
      <c r="A21" s="166"/>
      <c r="B21" s="164"/>
    </row>
    <row r="22" spans="1:2" ht="13.8">
      <c r="A22" s="165"/>
      <c r="B22" s="162"/>
    </row>
    <row r="23" spans="1:2" ht="13.8">
      <c r="A23" s="166"/>
      <c r="B23" s="161"/>
    </row>
    <row r="24" spans="1:2" ht="13.8">
      <c r="A24" s="166"/>
      <c r="B24" s="161"/>
    </row>
    <row r="25" spans="1:2" ht="13.8">
      <c r="A25" s="166"/>
      <c r="B25" s="167"/>
    </row>
    <row r="26" spans="1:2" ht="13.8">
      <c r="A26" s="166"/>
      <c r="B26" s="164"/>
    </row>
    <row r="27" spans="1:2">
      <c r="B27" s="40"/>
    </row>
    <row r="28" spans="1:2">
      <c r="B28" s="40"/>
    </row>
    <row r="29" spans="1:2">
      <c r="B29" s="40"/>
    </row>
    <row r="30" spans="1:2">
      <c r="B30" s="40"/>
    </row>
    <row r="31" spans="1:2">
      <c r="B31" s="40"/>
    </row>
    <row r="32" spans="1:2">
      <c r="B32" s="40"/>
    </row>
    <row r="33" spans="2:2">
      <c r="B33" s="4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C45" sqref="C45"/>
    </sheetView>
  </sheetViews>
  <sheetFormatPr defaultColWidth="9.21875" defaultRowHeight="13.2"/>
  <cols>
    <col min="1" max="1" width="9.5546875" style="4" bestFit="1" customWidth="1"/>
    <col min="2" max="2" width="132.44140625" style="4" customWidth="1"/>
    <col min="3" max="3" width="18.44140625" style="4" customWidth="1"/>
    <col min="4" max="16384" width="9.21875" style="4"/>
  </cols>
  <sheetData>
    <row r="1" spans="1:3">
      <c r="A1" s="2" t="s">
        <v>30</v>
      </c>
      <c r="B1" s="3" t="str">
        <f>'Info '!C2</f>
        <v>JSC "CREDOBANK"</v>
      </c>
    </row>
    <row r="2" spans="1:3" s="2" customFormat="1" ht="15.75" customHeight="1">
      <c r="A2" s="2" t="s">
        <v>31</v>
      </c>
      <c r="B2" s="312">
        <f>'1. key ratios '!B2</f>
        <v>45473</v>
      </c>
    </row>
    <row r="3" spans="1:3" s="2" customFormat="1" ht="15.75" customHeight="1"/>
    <row r="4" spans="1:3" ht="13.8" thickBot="1">
      <c r="A4" s="4" t="s">
        <v>144</v>
      </c>
      <c r="B4" s="79" t="s">
        <v>143</v>
      </c>
    </row>
    <row r="5" spans="1:3">
      <c r="A5" s="44" t="s">
        <v>6</v>
      </c>
      <c r="B5" s="45"/>
      <c r="C5" s="46" t="s">
        <v>35</v>
      </c>
    </row>
    <row r="6" spans="1:3" ht="13.8">
      <c r="A6" s="47">
        <v>1</v>
      </c>
      <c r="B6" s="48" t="s">
        <v>142</v>
      </c>
      <c r="C6" s="571">
        <f>SUM(C7:C11)</f>
        <v>332869987.20002365</v>
      </c>
    </row>
    <row r="7" spans="1:3" ht="13.8">
      <c r="A7" s="47">
        <v>2</v>
      </c>
      <c r="B7" s="49" t="s">
        <v>141</v>
      </c>
      <c r="C7" s="572">
        <v>5236850</v>
      </c>
    </row>
    <row r="8" spans="1:3" ht="13.8">
      <c r="A8" s="47">
        <v>3</v>
      </c>
      <c r="B8" s="50" t="s">
        <v>140</v>
      </c>
      <c r="C8" s="572">
        <v>38936573.159999996</v>
      </c>
    </row>
    <row r="9" spans="1:3" ht="13.8">
      <c r="A9" s="47">
        <v>4</v>
      </c>
      <c r="B9" s="50" t="s">
        <v>139</v>
      </c>
      <c r="C9" s="572"/>
    </row>
    <row r="10" spans="1:3" ht="13.8">
      <c r="A10" s="47">
        <v>5</v>
      </c>
      <c r="B10" s="50" t="s">
        <v>138</v>
      </c>
      <c r="C10" s="572"/>
    </row>
    <row r="11" spans="1:3" ht="13.8">
      <c r="A11" s="47">
        <v>6</v>
      </c>
      <c r="B11" s="51" t="s">
        <v>137</v>
      </c>
      <c r="C11" s="572">
        <v>288696564.04002368</v>
      </c>
    </row>
    <row r="12" spans="1:3" s="24" customFormat="1" ht="13.8">
      <c r="A12" s="47">
        <v>7</v>
      </c>
      <c r="B12" s="48" t="s">
        <v>136</v>
      </c>
      <c r="C12" s="573">
        <f>SUM(C13:C28)</f>
        <v>25359073.809999995</v>
      </c>
    </row>
    <row r="13" spans="1:3" s="24" customFormat="1" ht="13.8">
      <c r="A13" s="47">
        <v>8</v>
      </c>
      <c r="B13" s="52" t="s">
        <v>135</v>
      </c>
      <c r="C13" s="574"/>
    </row>
    <row r="14" spans="1:3" s="24" customFormat="1" ht="26.4">
      <c r="A14" s="47">
        <v>9</v>
      </c>
      <c r="B14" s="53" t="s">
        <v>134</v>
      </c>
      <c r="C14" s="574"/>
    </row>
    <row r="15" spans="1:3" s="24" customFormat="1" ht="13.8">
      <c r="A15" s="47">
        <v>10</v>
      </c>
      <c r="B15" s="54" t="s">
        <v>133</v>
      </c>
      <c r="C15" s="574">
        <v>25359073.809999995</v>
      </c>
    </row>
    <row r="16" spans="1:3" s="24" customFormat="1" ht="13.8">
      <c r="A16" s="47">
        <v>11</v>
      </c>
      <c r="B16" s="55" t="s">
        <v>132</v>
      </c>
      <c r="C16" s="574"/>
    </row>
    <row r="17" spans="1:3" s="24" customFormat="1" ht="13.8">
      <c r="A17" s="47">
        <v>12</v>
      </c>
      <c r="B17" s="54" t="s">
        <v>131</v>
      </c>
      <c r="C17" s="574"/>
    </row>
    <row r="18" spans="1:3" s="24" customFormat="1" ht="13.8">
      <c r="A18" s="47">
        <v>13</v>
      </c>
      <c r="B18" s="54" t="s">
        <v>130</v>
      </c>
      <c r="C18" s="574"/>
    </row>
    <row r="19" spans="1:3" s="24" customFormat="1" ht="13.8">
      <c r="A19" s="47">
        <v>14</v>
      </c>
      <c r="B19" s="54" t="s">
        <v>129</v>
      </c>
      <c r="C19" s="574"/>
    </row>
    <row r="20" spans="1:3" s="24" customFormat="1" ht="13.8">
      <c r="A20" s="47">
        <v>15</v>
      </c>
      <c r="B20" s="54" t="s">
        <v>128</v>
      </c>
      <c r="C20" s="574"/>
    </row>
    <row r="21" spans="1:3" s="24" customFormat="1" ht="26.4">
      <c r="A21" s="47">
        <v>16</v>
      </c>
      <c r="B21" s="53" t="s">
        <v>127</v>
      </c>
      <c r="C21" s="574"/>
    </row>
    <row r="22" spans="1:3" s="24" customFormat="1" ht="13.8">
      <c r="A22" s="47">
        <v>17</v>
      </c>
      <c r="B22" s="56" t="s">
        <v>126</v>
      </c>
      <c r="C22" s="574"/>
    </row>
    <row r="23" spans="1:3" s="24" customFormat="1" ht="13.8">
      <c r="A23" s="47">
        <v>18</v>
      </c>
      <c r="B23" s="521" t="s">
        <v>556</v>
      </c>
      <c r="C23" s="574"/>
    </row>
    <row r="24" spans="1:3" s="24" customFormat="1" ht="13.8">
      <c r="A24" s="47">
        <v>19</v>
      </c>
      <c r="B24" s="53" t="s">
        <v>125</v>
      </c>
      <c r="C24" s="574"/>
    </row>
    <row r="25" spans="1:3" s="24" customFormat="1" ht="26.4">
      <c r="A25" s="47">
        <v>20</v>
      </c>
      <c r="B25" s="53" t="s">
        <v>102</v>
      </c>
      <c r="C25" s="574"/>
    </row>
    <row r="26" spans="1:3" s="24" customFormat="1" ht="13.8">
      <c r="A26" s="47">
        <v>21</v>
      </c>
      <c r="B26" s="55" t="s">
        <v>124</v>
      </c>
      <c r="C26" s="574"/>
    </row>
    <row r="27" spans="1:3" s="24" customFormat="1" ht="13.8">
      <c r="A27" s="47">
        <v>22</v>
      </c>
      <c r="B27" s="55" t="s">
        <v>123</v>
      </c>
      <c r="C27" s="574"/>
    </row>
    <row r="28" spans="1:3" s="24" customFormat="1" ht="13.8">
      <c r="A28" s="47">
        <v>23</v>
      </c>
      <c r="B28" s="55" t="s">
        <v>122</v>
      </c>
      <c r="C28" s="574"/>
    </row>
    <row r="29" spans="1:3" s="24" customFormat="1" ht="13.8">
      <c r="A29" s="47">
        <v>24</v>
      </c>
      <c r="B29" s="57" t="s">
        <v>121</v>
      </c>
      <c r="C29" s="573">
        <f>C6-C12</f>
        <v>307510913.39002365</v>
      </c>
    </row>
    <row r="30" spans="1:3" s="24" customFormat="1" ht="13.8">
      <c r="A30" s="58"/>
      <c r="B30" s="59"/>
      <c r="C30" s="574"/>
    </row>
    <row r="31" spans="1:3" s="24" customFormat="1" ht="13.8">
      <c r="A31" s="58">
        <v>25</v>
      </c>
      <c r="B31" s="57" t="s">
        <v>120</v>
      </c>
      <c r="C31" s="573">
        <f>C32+C35</f>
        <v>0</v>
      </c>
    </row>
    <row r="32" spans="1:3" s="24" customFormat="1" ht="13.8">
      <c r="A32" s="58">
        <v>26</v>
      </c>
      <c r="B32" s="50" t="s">
        <v>119</v>
      </c>
      <c r="C32" s="575">
        <f>C33+C34</f>
        <v>0</v>
      </c>
    </row>
    <row r="33" spans="1:3" s="24" customFormat="1" ht="13.8">
      <c r="A33" s="58">
        <v>27</v>
      </c>
      <c r="B33" s="60" t="s">
        <v>193</v>
      </c>
      <c r="C33" s="574"/>
    </row>
    <row r="34" spans="1:3" s="24" customFormat="1" ht="13.8">
      <c r="A34" s="58">
        <v>28</v>
      </c>
      <c r="B34" s="60" t="s">
        <v>118</v>
      </c>
      <c r="C34" s="574"/>
    </row>
    <row r="35" spans="1:3" s="24" customFormat="1" ht="13.8">
      <c r="A35" s="58">
        <v>29</v>
      </c>
      <c r="B35" s="50" t="s">
        <v>117</v>
      </c>
      <c r="C35" s="574"/>
    </row>
    <row r="36" spans="1:3" s="24" customFormat="1" ht="13.8">
      <c r="A36" s="58">
        <v>30</v>
      </c>
      <c r="B36" s="57" t="s">
        <v>116</v>
      </c>
      <c r="C36" s="573">
        <f>SUM(C37:C41)</f>
        <v>0</v>
      </c>
    </row>
    <row r="37" spans="1:3" s="24" customFormat="1" ht="13.8">
      <c r="A37" s="58">
        <v>31</v>
      </c>
      <c r="B37" s="53" t="s">
        <v>115</v>
      </c>
      <c r="C37" s="574"/>
    </row>
    <row r="38" spans="1:3" s="24" customFormat="1" ht="13.8">
      <c r="A38" s="58">
        <v>32</v>
      </c>
      <c r="B38" s="54" t="s">
        <v>114</v>
      </c>
      <c r="C38" s="574"/>
    </row>
    <row r="39" spans="1:3" s="24" customFormat="1" ht="13.8">
      <c r="A39" s="58">
        <v>33</v>
      </c>
      <c r="B39" s="53" t="s">
        <v>113</v>
      </c>
      <c r="C39" s="574"/>
    </row>
    <row r="40" spans="1:3" s="24" customFormat="1" ht="26.4">
      <c r="A40" s="58">
        <v>34</v>
      </c>
      <c r="B40" s="53" t="s">
        <v>102</v>
      </c>
      <c r="C40" s="574"/>
    </row>
    <row r="41" spans="1:3" s="24" customFormat="1" ht="13.8">
      <c r="A41" s="58">
        <v>35</v>
      </c>
      <c r="B41" s="55" t="s">
        <v>112</v>
      </c>
      <c r="C41" s="574"/>
    </row>
    <row r="42" spans="1:3" s="24" customFormat="1" ht="13.8">
      <c r="A42" s="58">
        <v>36</v>
      </c>
      <c r="B42" s="57" t="s">
        <v>111</v>
      </c>
      <c r="C42" s="573">
        <f>C31-C36</f>
        <v>0</v>
      </c>
    </row>
    <row r="43" spans="1:3" s="24" customFormat="1" ht="13.8">
      <c r="A43" s="58"/>
      <c r="B43" s="59"/>
      <c r="C43" s="574"/>
    </row>
    <row r="44" spans="1:3" s="24" customFormat="1" ht="13.8">
      <c r="A44" s="58">
        <v>37</v>
      </c>
      <c r="B44" s="61" t="s">
        <v>110</v>
      </c>
      <c r="C44" s="573">
        <f>SUM(C45:C47)</f>
        <v>84748628</v>
      </c>
    </row>
    <row r="45" spans="1:3" s="24" customFormat="1" ht="13.8">
      <c r="A45" s="58">
        <v>38</v>
      </c>
      <c r="B45" s="50" t="s">
        <v>109</v>
      </c>
      <c r="C45" s="574">
        <v>84748628</v>
      </c>
    </row>
    <row r="46" spans="1:3" s="24" customFormat="1" ht="13.8">
      <c r="A46" s="58">
        <v>39</v>
      </c>
      <c r="B46" s="50" t="s">
        <v>108</v>
      </c>
      <c r="C46" s="574"/>
    </row>
    <row r="47" spans="1:3" s="24" customFormat="1" ht="13.8">
      <c r="A47" s="58">
        <v>40</v>
      </c>
      <c r="B47" s="50" t="s">
        <v>107</v>
      </c>
      <c r="C47" s="574"/>
    </row>
    <row r="48" spans="1:3" s="24" customFormat="1" ht="13.8">
      <c r="A48" s="58">
        <v>41</v>
      </c>
      <c r="B48" s="61" t="s">
        <v>106</v>
      </c>
      <c r="C48" s="573">
        <f>SUM(C49:C52)</f>
        <v>0</v>
      </c>
    </row>
    <row r="49" spans="1:3" s="24" customFormat="1" ht="13.8">
      <c r="A49" s="58">
        <v>42</v>
      </c>
      <c r="B49" s="53" t="s">
        <v>105</v>
      </c>
      <c r="C49" s="574"/>
    </row>
    <row r="50" spans="1:3" s="24" customFormat="1" ht="13.8">
      <c r="A50" s="58">
        <v>43</v>
      </c>
      <c r="B50" s="54" t="s">
        <v>104</v>
      </c>
      <c r="C50" s="574"/>
    </row>
    <row r="51" spans="1:3" s="24" customFormat="1" ht="13.8">
      <c r="A51" s="58">
        <v>44</v>
      </c>
      <c r="B51" s="53" t="s">
        <v>103</v>
      </c>
      <c r="C51" s="574"/>
    </row>
    <row r="52" spans="1:3" s="24" customFormat="1" ht="26.4">
      <c r="A52" s="58">
        <v>45</v>
      </c>
      <c r="B52" s="53" t="s">
        <v>102</v>
      </c>
      <c r="C52" s="574"/>
    </row>
    <row r="53" spans="1:3" s="24" customFormat="1" ht="14.4" thickBot="1">
      <c r="A53" s="58">
        <v>46</v>
      </c>
      <c r="B53" s="62" t="s">
        <v>101</v>
      </c>
      <c r="C53" s="576">
        <f>C44-C48</f>
        <v>84748628</v>
      </c>
    </row>
    <row r="56" spans="1:3">
      <c r="B56" s="4" t="s">
        <v>7</v>
      </c>
    </row>
  </sheetData>
  <dataValidations count="1">
    <dataValidation operator="lessThanOrEqual" allowBlank="1" showInputMessage="1" showErrorMessage="1" errorTitle="Should be negative number" error="Should be whole negative number or 0" sqref="C13:C53" xr:uid="{769986B7-FB1F-47ED-A0A0-1CC6E86E966B}"/>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G17" sqref="G17"/>
    </sheetView>
  </sheetViews>
  <sheetFormatPr defaultColWidth="9.21875" defaultRowHeight="13.8"/>
  <cols>
    <col min="1" max="1" width="9.44140625" style="160" bestFit="1" customWidth="1"/>
    <col min="2" max="2" width="59" style="160" customWidth="1"/>
    <col min="3" max="3" width="16.77734375" style="160" bestFit="1" customWidth="1"/>
    <col min="4" max="4" width="14.33203125" style="160" bestFit="1" customWidth="1"/>
    <col min="5" max="16384" width="9.21875" style="160"/>
  </cols>
  <sheetData>
    <row r="1" spans="1:4">
      <c r="A1" s="158" t="s">
        <v>30</v>
      </c>
      <c r="B1" s="3" t="str">
        <f>'Info '!C2</f>
        <v>JSC "CREDOBANK"</v>
      </c>
    </row>
    <row r="2" spans="1:4" s="158" customFormat="1" ht="15.75" customHeight="1">
      <c r="A2" s="158" t="s">
        <v>31</v>
      </c>
      <c r="B2" s="312">
        <f>'1. key ratios '!B2</f>
        <v>45473</v>
      </c>
    </row>
    <row r="3" spans="1:4" s="158" customFormat="1" ht="15.75" customHeight="1"/>
    <row r="4" spans="1:4" ht="14.4" thickBot="1">
      <c r="A4" s="160" t="s">
        <v>282</v>
      </c>
      <c r="B4" s="233" t="s">
        <v>283</v>
      </c>
    </row>
    <row r="5" spans="1:4" s="165" customFormat="1" ht="12.75" customHeight="1">
      <c r="A5" s="290"/>
      <c r="B5" s="291" t="s">
        <v>286</v>
      </c>
      <c r="C5" s="226" t="s">
        <v>284</v>
      </c>
      <c r="D5" s="227" t="s">
        <v>285</v>
      </c>
    </row>
    <row r="6" spans="1:4" s="234" customFormat="1">
      <c r="A6" s="228">
        <v>1</v>
      </c>
      <c r="B6" s="286" t="s">
        <v>287</v>
      </c>
      <c r="C6" s="286"/>
      <c r="D6" s="229"/>
    </row>
    <row r="7" spans="1:4" s="234" customFormat="1">
      <c r="A7" s="230" t="s">
        <v>273</v>
      </c>
      <c r="B7" s="287" t="s">
        <v>288</v>
      </c>
      <c r="C7" s="279">
        <v>4.4999999999999998E-2</v>
      </c>
      <c r="D7" s="578">
        <f>C7*'5. RWA '!$C$13</f>
        <v>104736083.29780202</v>
      </c>
    </row>
    <row r="8" spans="1:4" s="234" customFormat="1">
      <c r="A8" s="230" t="s">
        <v>274</v>
      </c>
      <c r="B8" s="287" t="s">
        <v>289</v>
      </c>
      <c r="C8" s="280">
        <v>0.06</v>
      </c>
      <c r="D8" s="578">
        <f>C8*'5. RWA '!$C$13</f>
        <v>139648111.06373602</v>
      </c>
    </row>
    <row r="9" spans="1:4" s="234" customFormat="1">
      <c r="A9" s="230" t="s">
        <v>275</v>
      </c>
      <c r="B9" s="287" t="s">
        <v>290</v>
      </c>
      <c r="C9" s="280">
        <v>0.08</v>
      </c>
      <c r="D9" s="578">
        <f>C9*'5. RWA '!$C$13</f>
        <v>186197481.4183147</v>
      </c>
    </row>
    <row r="10" spans="1:4" s="234" customFormat="1">
      <c r="A10" s="228" t="s">
        <v>276</v>
      </c>
      <c r="B10" s="286" t="s">
        <v>291</v>
      </c>
      <c r="C10" s="281"/>
      <c r="D10" s="579"/>
    </row>
    <row r="11" spans="1:4" s="235" customFormat="1">
      <c r="A11" s="231" t="s">
        <v>277</v>
      </c>
      <c r="B11" s="278" t="s">
        <v>357</v>
      </c>
      <c r="C11" s="577">
        <v>2.5000000000000001E-2</v>
      </c>
      <c r="D11" s="578">
        <f>C11*'5. RWA '!$C$13</f>
        <v>58186712.94322335</v>
      </c>
    </row>
    <row r="12" spans="1:4" s="235" customFormat="1">
      <c r="A12" s="231" t="s">
        <v>278</v>
      </c>
      <c r="B12" s="278" t="s">
        <v>292</v>
      </c>
      <c r="C12" s="577">
        <v>2.5000000000000001E-3</v>
      </c>
      <c r="D12" s="578">
        <f>C12*'5. RWA '!$C$13</f>
        <v>5818671.2943223342</v>
      </c>
    </row>
    <row r="13" spans="1:4" s="235" customFormat="1">
      <c r="A13" s="231" t="s">
        <v>279</v>
      </c>
      <c r="B13" s="278" t="s">
        <v>293</v>
      </c>
      <c r="C13" s="282"/>
      <c r="D13" s="578">
        <f>C13*'5. RWA '!$C$13</f>
        <v>0</v>
      </c>
    </row>
    <row r="14" spans="1:4" s="235" customFormat="1">
      <c r="A14" s="228" t="s">
        <v>280</v>
      </c>
      <c r="B14" s="286" t="s">
        <v>354</v>
      </c>
      <c r="C14" s="283"/>
      <c r="D14" s="579"/>
    </row>
    <row r="15" spans="1:4" s="235" customFormat="1">
      <c r="A15" s="231">
        <v>3.1</v>
      </c>
      <c r="B15" s="278" t="s">
        <v>298</v>
      </c>
      <c r="C15" s="577">
        <v>3.4772380276995307E-2</v>
      </c>
      <c r="D15" s="578">
        <f>C15*'5. RWA '!$C$13</f>
        <v>80931620.381205082</v>
      </c>
    </row>
    <row r="16" spans="1:4" s="235" customFormat="1">
      <c r="A16" s="231">
        <v>3.2</v>
      </c>
      <c r="B16" s="278" t="s">
        <v>299</v>
      </c>
      <c r="C16" s="577">
        <v>4.0700920048881206E-2</v>
      </c>
      <c r="D16" s="578">
        <f>C16*'5. RWA '!$C$13</f>
        <v>94730110.056373388</v>
      </c>
    </row>
    <row r="17" spans="1:4" s="234" customFormat="1">
      <c r="A17" s="231">
        <v>3.3</v>
      </c>
      <c r="B17" s="278" t="s">
        <v>300</v>
      </c>
      <c r="C17" s="577">
        <v>4.8501630275046871E-2</v>
      </c>
      <c r="D17" s="578">
        <f>C17*'5. RWA '!$C$13</f>
        <v>112886017.52370012</v>
      </c>
    </row>
    <row r="18" spans="1:4" s="165" customFormat="1" ht="12.75" customHeight="1">
      <c r="A18" s="288"/>
      <c r="B18" s="289" t="s">
        <v>353</v>
      </c>
      <c r="C18" s="284" t="s">
        <v>284</v>
      </c>
      <c r="D18" s="580" t="s">
        <v>285</v>
      </c>
    </row>
    <row r="19" spans="1:4" s="234" customFormat="1">
      <c r="A19" s="232">
        <v>4</v>
      </c>
      <c r="B19" s="278" t="s">
        <v>294</v>
      </c>
      <c r="C19" s="282">
        <f>C7+C11+C12+C13+C15</f>
        <v>0.10727238027699532</v>
      </c>
      <c r="D19" s="578">
        <f>C19*'5. RWA '!$C$13</f>
        <v>249673087.91655281</v>
      </c>
    </row>
    <row r="20" spans="1:4" s="234" customFormat="1">
      <c r="A20" s="232">
        <v>5</v>
      </c>
      <c r="B20" s="278" t="s">
        <v>91</v>
      </c>
      <c r="C20" s="282">
        <f>C8+C11+C12+C13+C16</f>
        <v>0.1282009200488812</v>
      </c>
      <c r="D20" s="578">
        <f>C20*'5. RWA '!$C$13</f>
        <v>298383605.35765511</v>
      </c>
    </row>
    <row r="21" spans="1:4" s="234" customFormat="1" ht="14.4" thickBot="1">
      <c r="A21" s="236" t="s">
        <v>281</v>
      </c>
      <c r="B21" s="237" t="s">
        <v>295</v>
      </c>
      <c r="C21" s="285">
        <f>C9+C11+C12+C13+C17</f>
        <v>0.15600163027504688</v>
      </c>
      <c r="D21" s="581">
        <f>C21*'5. RWA '!$C$13</f>
        <v>363088883.17956054</v>
      </c>
    </row>
    <row r="23" spans="1:4" ht="53.4">
      <c r="B23" s="196" t="s">
        <v>356</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9"/>
  <sheetViews>
    <sheetView zoomScale="70" zoomScaleNormal="70" workbookViewId="0">
      <pane xSplit="1" ySplit="5" topLeftCell="B42" activePane="bottomRight" state="frozen"/>
      <selection activeCell="B47" sqref="B47"/>
      <selection pane="topRight" activeCell="B47" sqref="B47"/>
      <selection pane="bottomLeft" activeCell="B47" sqref="B47"/>
      <selection pane="bottomRight" activeCell="D68" sqref="D68"/>
    </sheetView>
  </sheetViews>
  <sheetFormatPr defaultColWidth="9.21875" defaultRowHeight="13.8"/>
  <cols>
    <col min="1" max="1" width="10.77734375" style="4" customWidth="1"/>
    <col min="2" max="2" width="91.77734375" style="4" customWidth="1"/>
    <col min="3" max="3" width="53.21875" style="4" customWidth="1"/>
    <col min="4" max="4" width="32.21875" style="4" customWidth="1"/>
    <col min="5" max="5" width="9.44140625" style="5" customWidth="1"/>
    <col min="6" max="16384" width="9.21875" style="5"/>
  </cols>
  <sheetData>
    <row r="1" spans="1:6">
      <c r="A1" s="2" t="s">
        <v>30</v>
      </c>
      <c r="B1" s="3" t="str">
        <f>'Info '!C2</f>
        <v>JSC "CREDOBANK"</v>
      </c>
      <c r="E1" s="4"/>
      <c r="F1" s="4"/>
    </row>
    <row r="2" spans="1:6" s="2" customFormat="1" ht="15.75" customHeight="1">
      <c r="A2" s="2" t="s">
        <v>31</v>
      </c>
      <c r="B2" s="312">
        <f>'1. key ratios '!B2</f>
        <v>45473</v>
      </c>
    </row>
    <row r="3" spans="1:6" s="2" customFormat="1" ht="15.75" customHeight="1">
      <c r="A3" s="63"/>
    </row>
    <row r="4" spans="1:6" s="2" customFormat="1" ht="15.75" customHeight="1" thickBot="1">
      <c r="A4" s="2" t="s">
        <v>47</v>
      </c>
      <c r="B4" s="152" t="s">
        <v>179</v>
      </c>
      <c r="D4" s="15" t="s">
        <v>35</v>
      </c>
    </row>
    <row r="5" spans="1:6" ht="26.4">
      <c r="A5" s="64" t="s">
        <v>6</v>
      </c>
      <c r="B5" s="172" t="s">
        <v>219</v>
      </c>
      <c r="C5" s="65" t="s">
        <v>663</v>
      </c>
      <c r="D5" s="66" t="s">
        <v>49</v>
      </c>
    </row>
    <row r="6" spans="1:6" ht="14.4">
      <c r="A6" s="358">
        <v>1</v>
      </c>
      <c r="B6" s="359" t="s">
        <v>564</v>
      </c>
      <c r="C6" s="582">
        <f>SUM(C7:C9)</f>
        <v>356507243.01999998</v>
      </c>
      <c r="D6" s="67"/>
      <c r="E6" s="68"/>
    </row>
    <row r="7" spans="1:6" ht="14.4">
      <c r="A7" s="358">
        <v>1.1000000000000001</v>
      </c>
      <c r="B7" s="360" t="s">
        <v>565</v>
      </c>
      <c r="C7" s="583">
        <v>88834128.109999999</v>
      </c>
      <c r="D7" s="69"/>
      <c r="E7" s="68"/>
    </row>
    <row r="8" spans="1:6" ht="14.4">
      <c r="A8" s="358">
        <v>1.2</v>
      </c>
      <c r="B8" s="360" t="s">
        <v>566</v>
      </c>
      <c r="C8" s="583">
        <v>187736398.56</v>
      </c>
      <c r="D8" s="69"/>
      <c r="E8" s="68"/>
    </row>
    <row r="9" spans="1:6" ht="14.4">
      <c r="A9" s="358">
        <v>1.3</v>
      </c>
      <c r="B9" s="360" t="s">
        <v>567</v>
      </c>
      <c r="C9" s="583">
        <v>79936716.349999994</v>
      </c>
      <c r="D9" s="69"/>
      <c r="E9" s="68"/>
    </row>
    <row r="10" spans="1:6" ht="14.4">
      <c r="A10" s="358">
        <v>2</v>
      </c>
      <c r="B10" s="361" t="s">
        <v>568</v>
      </c>
      <c r="C10" s="584">
        <v>906908.67</v>
      </c>
      <c r="D10" s="69"/>
      <c r="E10" s="68"/>
    </row>
    <row r="11" spans="1:6" ht="14.4">
      <c r="A11" s="358">
        <v>2.1</v>
      </c>
      <c r="B11" s="362" t="s">
        <v>569</v>
      </c>
      <c r="C11" s="585">
        <v>906908.67</v>
      </c>
      <c r="D11" s="422"/>
      <c r="E11" s="70"/>
    </row>
    <row r="12" spans="1:6" ht="14.4">
      <c r="A12" s="358">
        <v>3</v>
      </c>
      <c r="B12" s="363" t="s">
        <v>570</v>
      </c>
      <c r="C12" s="586"/>
      <c r="D12" s="422"/>
      <c r="E12" s="70"/>
    </row>
    <row r="13" spans="1:6" ht="14.4">
      <c r="A13" s="358">
        <v>4</v>
      </c>
      <c r="B13" s="364" t="s">
        <v>571</v>
      </c>
      <c r="C13" s="586"/>
      <c r="D13" s="422"/>
      <c r="E13" s="70"/>
    </row>
    <row r="14" spans="1:6" ht="14.4">
      <c r="A14" s="358">
        <v>5</v>
      </c>
      <c r="B14" s="365" t="s">
        <v>572</v>
      </c>
      <c r="C14" s="586">
        <f>SUM(C15:C17)</f>
        <v>0</v>
      </c>
      <c r="D14" s="422"/>
      <c r="E14" s="70"/>
    </row>
    <row r="15" spans="1:6" ht="14.4">
      <c r="A15" s="358">
        <v>5.0999999999999996</v>
      </c>
      <c r="B15" s="366" t="s">
        <v>573</v>
      </c>
      <c r="C15" s="583"/>
      <c r="D15" s="422"/>
      <c r="E15" s="68"/>
    </row>
    <row r="16" spans="1:6" ht="14.4">
      <c r="A16" s="358">
        <v>5.2</v>
      </c>
      <c r="B16" s="366" t="s">
        <v>574</v>
      </c>
      <c r="C16" s="583"/>
      <c r="D16" s="69"/>
      <c r="E16" s="68"/>
    </row>
    <row r="17" spans="1:5" ht="14.4">
      <c r="A17" s="358">
        <v>5.3</v>
      </c>
      <c r="B17" s="367" t="s">
        <v>575</v>
      </c>
      <c r="C17" s="583"/>
      <c r="D17" s="69"/>
      <c r="E17" s="68"/>
    </row>
    <row r="18" spans="1:5" ht="14.4">
      <c r="A18" s="358">
        <v>6</v>
      </c>
      <c r="B18" s="363" t="s">
        <v>576</v>
      </c>
      <c r="C18" s="584">
        <f>SUM(C19:C20)</f>
        <v>2212084987.8091302</v>
      </c>
      <c r="D18" s="69"/>
      <c r="E18" s="68"/>
    </row>
    <row r="19" spans="1:5" ht="14.4">
      <c r="A19" s="358">
        <v>6.1</v>
      </c>
      <c r="B19" s="366" t="s">
        <v>574</v>
      </c>
      <c r="C19" s="585">
        <v>19745284.289999999</v>
      </c>
      <c r="D19" s="69"/>
      <c r="E19" s="68"/>
    </row>
    <row r="20" spans="1:5" ht="14.4">
      <c r="A20" s="358">
        <v>6.2</v>
      </c>
      <c r="B20" s="367" t="s">
        <v>575</v>
      </c>
      <c r="C20" s="585">
        <v>2192339703.5191302</v>
      </c>
      <c r="D20" s="69"/>
      <c r="E20" s="68"/>
    </row>
    <row r="21" spans="1:5" ht="14.4">
      <c r="A21" s="358">
        <v>7</v>
      </c>
      <c r="B21" s="361" t="s">
        <v>577</v>
      </c>
      <c r="C21" s="586">
        <v>1737632.6</v>
      </c>
      <c r="D21" s="69"/>
      <c r="E21" s="68"/>
    </row>
    <row r="22" spans="1:5" ht="14.4">
      <c r="A22" s="358">
        <v>8</v>
      </c>
      <c r="B22" s="368" t="s">
        <v>578</v>
      </c>
      <c r="C22" s="584"/>
      <c r="D22" s="69"/>
      <c r="E22" s="68"/>
    </row>
    <row r="23" spans="1:5" ht="14.4">
      <c r="A23" s="358">
        <v>9</v>
      </c>
      <c r="B23" s="364" t="s">
        <v>579</v>
      </c>
      <c r="C23" s="584">
        <f>SUM(C24:C25)</f>
        <v>46309270.910000011</v>
      </c>
      <c r="D23" s="423"/>
      <c r="E23" s="68"/>
    </row>
    <row r="24" spans="1:5" ht="14.4">
      <c r="A24" s="358">
        <v>9.1</v>
      </c>
      <c r="B24" s="366" t="s">
        <v>580</v>
      </c>
      <c r="C24" s="587">
        <v>46309270.910000011</v>
      </c>
      <c r="D24" s="71"/>
      <c r="E24" s="68"/>
    </row>
    <row r="25" spans="1:5" ht="14.4">
      <c r="A25" s="358">
        <v>9.1999999999999993</v>
      </c>
      <c r="B25" s="366" t="s">
        <v>581</v>
      </c>
      <c r="C25" s="588"/>
      <c r="D25" s="421"/>
      <c r="E25" s="72"/>
    </row>
    <row r="26" spans="1:5" ht="14.4">
      <c r="A26" s="358">
        <v>10</v>
      </c>
      <c r="B26" s="364" t="s">
        <v>582</v>
      </c>
      <c r="C26" s="589">
        <f>SUM(C27:C28)</f>
        <v>25359073.809999995</v>
      </c>
      <c r="D26" s="520" t="s">
        <v>753</v>
      </c>
      <c r="E26" s="68"/>
    </row>
    <row r="27" spans="1:5" ht="14.4">
      <c r="A27" s="358">
        <v>10.1</v>
      </c>
      <c r="B27" s="366" t="s">
        <v>583</v>
      </c>
      <c r="C27" s="583"/>
      <c r="D27" s="69"/>
      <c r="E27" s="68"/>
    </row>
    <row r="28" spans="1:5" ht="14.4">
      <c r="A28" s="358">
        <v>10.199999999999999</v>
      </c>
      <c r="B28" s="366" t="s">
        <v>584</v>
      </c>
      <c r="C28" s="583">
        <v>25359073.809999995</v>
      </c>
      <c r="D28" s="69"/>
      <c r="E28" s="68"/>
    </row>
    <row r="29" spans="1:5" ht="14.4">
      <c r="A29" s="358">
        <v>11</v>
      </c>
      <c r="B29" s="364" t="s">
        <v>585</v>
      </c>
      <c r="C29" s="584">
        <f>SUM(C30:C31)</f>
        <v>0</v>
      </c>
      <c r="D29" s="69"/>
      <c r="E29" s="68"/>
    </row>
    <row r="30" spans="1:5" ht="14.4">
      <c r="A30" s="358">
        <v>11.1</v>
      </c>
      <c r="B30" s="366" t="s">
        <v>586</v>
      </c>
      <c r="C30" s="583"/>
      <c r="D30" s="69"/>
      <c r="E30" s="68"/>
    </row>
    <row r="31" spans="1:5" ht="14.4">
      <c r="A31" s="358">
        <v>11.2</v>
      </c>
      <c r="B31" s="366" t="s">
        <v>587</v>
      </c>
      <c r="C31" s="583"/>
      <c r="D31" s="69"/>
      <c r="E31" s="68"/>
    </row>
    <row r="32" spans="1:5" ht="14.4">
      <c r="A32" s="358">
        <v>13</v>
      </c>
      <c r="B32" s="364" t="s">
        <v>588</v>
      </c>
      <c r="C32" s="584">
        <v>52406921.670000002</v>
      </c>
      <c r="D32" s="69"/>
      <c r="E32" s="68"/>
    </row>
    <row r="33" spans="1:5" ht="14.4">
      <c r="A33" s="358">
        <v>13.1</v>
      </c>
      <c r="B33" s="369" t="s">
        <v>589</v>
      </c>
      <c r="C33" s="583">
        <v>16518198.929999992</v>
      </c>
      <c r="D33" s="69"/>
      <c r="E33" s="68"/>
    </row>
    <row r="34" spans="1:5" ht="14.4">
      <c r="A34" s="358">
        <v>13.2</v>
      </c>
      <c r="B34" s="369" t="s">
        <v>590</v>
      </c>
      <c r="C34" s="587"/>
      <c r="D34" s="71"/>
      <c r="E34" s="68"/>
    </row>
    <row r="35" spans="1:5" ht="14.4">
      <c r="A35" s="358">
        <v>14</v>
      </c>
      <c r="B35" s="370" t="s">
        <v>591</v>
      </c>
      <c r="C35" s="590">
        <f>SUM(C6,C10,C12,C13,C14,C18,C21,C22,C23,C26,C29,C32)</f>
        <v>2695312038.48913</v>
      </c>
      <c r="D35" s="71"/>
      <c r="E35" s="68"/>
    </row>
    <row r="36" spans="1:5" ht="14.4">
      <c r="A36" s="358"/>
      <c r="B36" s="371" t="s">
        <v>592</v>
      </c>
      <c r="C36" s="591"/>
      <c r="D36" s="73"/>
      <c r="E36" s="68"/>
    </row>
    <row r="37" spans="1:5" ht="14.4">
      <c r="A37" s="358">
        <v>15</v>
      </c>
      <c r="B37" s="372" t="s">
        <v>593</v>
      </c>
      <c r="C37" s="588">
        <v>3227465.49</v>
      </c>
      <c r="D37" s="421"/>
      <c r="E37" s="72"/>
    </row>
    <row r="38" spans="1:5" ht="14.4">
      <c r="A38" s="374">
        <v>15.1</v>
      </c>
      <c r="B38" s="375" t="s">
        <v>569</v>
      </c>
      <c r="C38" s="583">
        <v>3227465.49</v>
      </c>
      <c r="D38" s="69"/>
      <c r="E38" s="68"/>
    </row>
    <row r="39" spans="1:5" ht="14.4">
      <c r="A39" s="374">
        <v>16</v>
      </c>
      <c r="B39" s="361" t="s">
        <v>594</v>
      </c>
      <c r="C39" s="584"/>
      <c r="D39" s="69"/>
      <c r="E39" s="68"/>
    </row>
    <row r="40" spans="1:5" ht="14.4">
      <c r="A40" s="374">
        <v>17</v>
      </c>
      <c r="B40" s="361" t="s">
        <v>595</v>
      </c>
      <c r="C40" s="584">
        <f>SUM(C41:C44)</f>
        <v>2175936477.2039199</v>
      </c>
      <c r="D40" s="69"/>
      <c r="E40" s="68"/>
    </row>
    <row r="41" spans="1:5" ht="14.4">
      <c r="A41" s="374">
        <v>17.100000000000001</v>
      </c>
      <c r="B41" s="376" t="s">
        <v>596</v>
      </c>
      <c r="C41" s="583">
        <v>1049570200.91392</v>
      </c>
      <c r="D41" s="69"/>
      <c r="E41" s="68"/>
    </row>
    <row r="42" spans="1:5" ht="14.4">
      <c r="A42" s="374">
        <v>17.2</v>
      </c>
      <c r="B42" s="377" t="s">
        <v>597</v>
      </c>
      <c r="C42" s="587">
        <v>1104092772.3800001</v>
      </c>
      <c r="D42" s="69"/>
      <c r="E42" s="68"/>
    </row>
    <row r="43" spans="1:5" ht="14.4">
      <c r="A43" s="374">
        <v>17.3</v>
      </c>
      <c r="B43" s="412" t="s">
        <v>598</v>
      </c>
      <c r="C43" s="592">
        <v>0</v>
      </c>
      <c r="D43" s="71"/>
      <c r="E43" s="68"/>
    </row>
    <row r="44" spans="1:5" ht="14.4">
      <c r="A44" s="374">
        <v>17.399999999999999</v>
      </c>
      <c r="B44" s="413" t="s">
        <v>599</v>
      </c>
      <c r="C44" s="592">
        <v>22273503.91</v>
      </c>
      <c r="D44" s="414"/>
      <c r="E44" s="68"/>
    </row>
    <row r="45" spans="1:5" ht="14.4">
      <c r="A45" s="374">
        <v>18</v>
      </c>
      <c r="B45" s="385" t="s">
        <v>600</v>
      </c>
      <c r="C45" s="593"/>
      <c r="D45" s="420"/>
      <c r="E45" s="72"/>
    </row>
    <row r="46" spans="1:5" ht="14.4">
      <c r="A46" s="374">
        <v>19</v>
      </c>
      <c r="B46" s="385" t="s">
        <v>601</v>
      </c>
      <c r="C46" s="584">
        <f>SUM(C47:C48)</f>
        <v>6841829.4399999958</v>
      </c>
      <c r="D46" s="415"/>
    </row>
    <row r="47" spans="1:5" ht="14.4">
      <c r="A47" s="374">
        <v>19.100000000000001</v>
      </c>
      <c r="B47" s="416" t="s">
        <v>602</v>
      </c>
      <c r="C47" s="583">
        <v>1741235.5999999968</v>
      </c>
      <c r="D47" s="415"/>
    </row>
    <row r="48" spans="1:5" ht="14.4">
      <c r="A48" s="374">
        <v>19.2</v>
      </c>
      <c r="B48" s="416" t="s">
        <v>603</v>
      </c>
      <c r="C48" s="583">
        <v>5100593.8399999989</v>
      </c>
      <c r="D48" s="415"/>
    </row>
    <row r="49" spans="1:4" ht="14.4">
      <c r="A49" s="374">
        <v>20</v>
      </c>
      <c r="B49" s="380" t="s">
        <v>604</v>
      </c>
      <c r="C49" s="584">
        <v>129211071.16</v>
      </c>
      <c r="D49" s="415"/>
    </row>
    <row r="50" spans="1:4" ht="14.4">
      <c r="A50" s="374">
        <v>20.100000000000001</v>
      </c>
      <c r="B50" s="380" t="s">
        <v>752</v>
      </c>
      <c r="C50" s="584">
        <v>84748628</v>
      </c>
      <c r="D50" s="520" t="s">
        <v>754</v>
      </c>
    </row>
    <row r="51" spans="1:4" ht="14.4">
      <c r="A51" s="374">
        <v>21</v>
      </c>
      <c r="B51" s="417" t="s">
        <v>605</v>
      </c>
      <c r="C51" s="584">
        <v>47225207.030000016</v>
      </c>
      <c r="D51" s="415"/>
    </row>
    <row r="52" spans="1:4" ht="14.4">
      <c r="A52" s="374">
        <v>21.1</v>
      </c>
      <c r="B52" s="377" t="s">
        <v>606</v>
      </c>
      <c r="C52" s="594"/>
      <c r="D52" s="415"/>
    </row>
    <row r="53" spans="1:4" ht="14.4">
      <c r="A53" s="374">
        <v>22</v>
      </c>
      <c r="B53" s="381" t="s">
        <v>607</v>
      </c>
      <c r="C53" s="584">
        <f>SUM(C37,C39,C40,C45,C46,C49,C51)</f>
        <v>2362442050.3239198</v>
      </c>
      <c r="D53" s="415"/>
    </row>
    <row r="54" spans="1:4" ht="14.4">
      <c r="A54" s="374"/>
      <c r="B54" s="382" t="s">
        <v>608</v>
      </c>
      <c r="C54" s="595"/>
      <c r="D54" s="415"/>
    </row>
    <row r="55" spans="1:4" ht="14.4">
      <c r="A55" s="374">
        <v>23</v>
      </c>
      <c r="B55" s="380" t="s">
        <v>609</v>
      </c>
      <c r="C55" s="584">
        <v>5236850</v>
      </c>
      <c r="D55" s="520" t="s">
        <v>755</v>
      </c>
    </row>
    <row r="56" spans="1:4" ht="14.4">
      <c r="A56" s="374">
        <v>24</v>
      </c>
      <c r="B56" s="380" t="s">
        <v>610</v>
      </c>
      <c r="C56" s="596"/>
      <c r="D56" s="415"/>
    </row>
    <row r="57" spans="1:4" ht="14.4">
      <c r="A57" s="374">
        <v>25</v>
      </c>
      <c r="B57" s="385" t="s">
        <v>611</v>
      </c>
      <c r="C57" s="584">
        <v>38936573.159999996</v>
      </c>
      <c r="D57" s="520" t="s">
        <v>756</v>
      </c>
    </row>
    <row r="58" spans="1:4" ht="14.4">
      <c r="A58" s="374">
        <v>26</v>
      </c>
      <c r="B58" s="385" t="s">
        <v>612</v>
      </c>
      <c r="C58" s="596"/>
      <c r="D58" s="415"/>
    </row>
    <row r="59" spans="1:4" ht="14.4">
      <c r="A59" s="374">
        <v>27</v>
      </c>
      <c r="B59" s="385" t="s">
        <v>613</v>
      </c>
      <c r="C59" s="596">
        <f>SUM(C60:C61)</f>
        <v>0</v>
      </c>
      <c r="D59" s="415"/>
    </row>
    <row r="60" spans="1:4" ht="14.4">
      <c r="A60" s="374">
        <v>27.1</v>
      </c>
      <c r="B60" s="413" t="s">
        <v>614</v>
      </c>
      <c r="C60" s="597"/>
      <c r="D60" s="415"/>
    </row>
    <row r="61" spans="1:4" ht="14.4">
      <c r="A61" s="374">
        <v>27.2</v>
      </c>
      <c r="B61" s="413" t="s">
        <v>615</v>
      </c>
      <c r="C61" s="597"/>
      <c r="D61" s="415"/>
    </row>
    <row r="62" spans="1:4" ht="14.4">
      <c r="A62" s="374">
        <v>28</v>
      </c>
      <c r="B62" s="383" t="s">
        <v>616</v>
      </c>
      <c r="C62" s="596"/>
      <c r="D62" s="415"/>
    </row>
    <row r="63" spans="1:4" ht="14.4">
      <c r="A63" s="374">
        <v>29</v>
      </c>
      <c r="B63" s="385" t="s">
        <v>617</v>
      </c>
      <c r="C63" s="596">
        <f>SUM(C64:C66)</f>
        <v>0</v>
      </c>
      <c r="D63" s="415"/>
    </row>
    <row r="64" spans="1:4" ht="14.4">
      <c r="A64" s="374">
        <v>29.1</v>
      </c>
      <c r="B64" s="418" t="s">
        <v>618</v>
      </c>
      <c r="C64" s="597"/>
      <c r="D64" s="415"/>
    </row>
    <row r="65" spans="1:4" ht="14.4">
      <c r="A65" s="374">
        <v>29.2</v>
      </c>
      <c r="B65" s="416" t="s">
        <v>619</v>
      </c>
      <c r="C65" s="597"/>
      <c r="D65" s="415"/>
    </row>
    <row r="66" spans="1:4" ht="14.4">
      <c r="A66" s="374">
        <v>29.3</v>
      </c>
      <c r="B66" s="416" t="s">
        <v>620</v>
      </c>
      <c r="C66" s="597"/>
      <c r="D66" s="415"/>
    </row>
    <row r="67" spans="1:4" ht="14.4">
      <c r="A67" s="374">
        <v>30</v>
      </c>
      <c r="B67" s="385" t="s">
        <v>621</v>
      </c>
      <c r="C67" s="584">
        <v>288696564.04002368</v>
      </c>
      <c r="D67" s="520" t="s">
        <v>757</v>
      </c>
    </row>
    <row r="68" spans="1:4" ht="14.4">
      <c r="A68" s="374">
        <v>31</v>
      </c>
      <c r="B68" s="419" t="s">
        <v>622</v>
      </c>
      <c r="C68" s="584">
        <f>SUM(C55,C56,C57,C58,C59,C62,C63,C67)</f>
        <v>332869987.20002365</v>
      </c>
      <c r="D68" s="415"/>
    </row>
    <row r="69" spans="1:4" ht="14.4">
      <c r="A69" s="374">
        <v>32</v>
      </c>
      <c r="B69" s="385" t="s">
        <v>623</v>
      </c>
      <c r="C69" s="584">
        <f>SUM(C53,C68)</f>
        <v>2695312037.5239434</v>
      </c>
      <c r="D69" s="415"/>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70" zoomScaleNormal="70" workbookViewId="0">
      <pane xSplit="1" ySplit="4" topLeftCell="E5" activePane="bottomRight" state="frozen"/>
      <selection activeCell="B9" sqref="B9"/>
      <selection pane="topRight" activeCell="B9" sqref="B9"/>
      <selection pane="bottomLeft" activeCell="B9" sqref="B9"/>
      <selection pane="bottomRight" activeCell="O27" sqref="O27"/>
    </sheetView>
  </sheetViews>
  <sheetFormatPr defaultColWidth="9.21875" defaultRowHeight="13.2"/>
  <cols>
    <col min="1" max="1" width="10.5546875" style="4" bestFit="1" customWidth="1"/>
    <col min="2" max="2" width="95" style="4" customWidth="1"/>
    <col min="3" max="3" width="13" style="4" bestFit="1" customWidth="1"/>
    <col min="4" max="4" width="16.44140625" style="4" bestFit="1" customWidth="1"/>
    <col min="5" max="5" width="13" style="4" bestFit="1" customWidth="1"/>
    <col min="6" max="6" width="16.44140625" style="4" bestFit="1" customWidth="1"/>
    <col min="7" max="7" width="13" style="4" bestFit="1" customWidth="1"/>
    <col min="8" max="8" width="13.21875" style="4" bestFit="1" customWidth="1"/>
    <col min="9" max="9" width="13" style="4" bestFit="1" customWidth="1"/>
    <col min="10" max="10" width="13.21875" style="4" bestFit="1" customWidth="1"/>
    <col min="11" max="11" width="14.109375" style="4" bestFit="1" customWidth="1"/>
    <col min="12" max="16" width="13" style="14" bestFit="1" customWidth="1"/>
    <col min="17" max="17" width="14.77734375" style="14" customWidth="1"/>
    <col min="18" max="18" width="13" style="14" bestFit="1" customWidth="1"/>
    <col min="19" max="19" width="34.77734375" style="14" customWidth="1"/>
    <col min="20" max="16384" width="9.21875" style="14"/>
  </cols>
  <sheetData>
    <row r="1" spans="1:19">
      <c r="A1" s="2" t="s">
        <v>30</v>
      </c>
      <c r="B1" s="3" t="str">
        <f>'Info '!C2</f>
        <v>JSC "CREDOBANK"</v>
      </c>
    </row>
    <row r="2" spans="1:19">
      <c r="A2" s="2" t="s">
        <v>31</v>
      </c>
      <c r="B2" s="312">
        <f>'1. key ratios '!B2</f>
        <v>45473</v>
      </c>
    </row>
    <row r="4" spans="1:19" ht="27" thickBot="1">
      <c r="A4" s="4" t="s">
        <v>147</v>
      </c>
      <c r="B4" s="188" t="s">
        <v>252</v>
      </c>
    </row>
    <row r="5" spans="1:19" s="179" customFormat="1" ht="13.8">
      <c r="A5" s="174"/>
      <c r="B5" s="175"/>
      <c r="C5" s="176" t="s">
        <v>0</v>
      </c>
      <c r="D5" s="176" t="s">
        <v>1</v>
      </c>
      <c r="E5" s="176" t="s">
        <v>2</v>
      </c>
      <c r="F5" s="176" t="s">
        <v>3</v>
      </c>
      <c r="G5" s="176" t="s">
        <v>4</v>
      </c>
      <c r="H5" s="176" t="s">
        <v>5</v>
      </c>
      <c r="I5" s="176" t="s">
        <v>8</v>
      </c>
      <c r="J5" s="176" t="s">
        <v>9</v>
      </c>
      <c r="K5" s="176" t="s">
        <v>10</v>
      </c>
      <c r="L5" s="176" t="s">
        <v>11</v>
      </c>
      <c r="M5" s="176" t="s">
        <v>12</v>
      </c>
      <c r="N5" s="176" t="s">
        <v>13</v>
      </c>
      <c r="O5" s="176" t="s">
        <v>236</v>
      </c>
      <c r="P5" s="176" t="s">
        <v>237</v>
      </c>
      <c r="Q5" s="176" t="s">
        <v>238</v>
      </c>
      <c r="R5" s="177" t="s">
        <v>239</v>
      </c>
      <c r="S5" s="178" t="s">
        <v>240</v>
      </c>
    </row>
    <row r="6" spans="1:19" s="179" customFormat="1" ht="99" customHeight="1">
      <c r="A6" s="180"/>
      <c r="B6" s="703" t="s">
        <v>241</v>
      </c>
      <c r="C6" s="699">
        <v>0</v>
      </c>
      <c r="D6" s="700"/>
      <c r="E6" s="699">
        <v>0.2</v>
      </c>
      <c r="F6" s="700"/>
      <c r="G6" s="699">
        <v>0.35</v>
      </c>
      <c r="H6" s="700"/>
      <c r="I6" s="699">
        <v>0.5</v>
      </c>
      <c r="J6" s="700"/>
      <c r="K6" s="699">
        <v>0.75</v>
      </c>
      <c r="L6" s="700"/>
      <c r="M6" s="699">
        <v>1</v>
      </c>
      <c r="N6" s="700"/>
      <c r="O6" s="699">
        <v>1.5</v>
      </c>
      <c r="P6" s="700"/>
      <c r="Q6" s="699">
        <v>2.5</v>
      </c>
      <c r="R6" s="700"/>
      <c r="S6" s="701" t="s">
        <v>146</v>
      </c>
    </row>
    <row r="7" spans="1:19" s="179" customFormat="1" ht="30.75" customHeight="1">
      <c r="A7" s="180"/>
      <c r="B7" s="704"/>
      <c r="C7" s="171" t="s">
        <v>149</v>
      </c>
      <c r="D7" s="171" t="s">
        <v>148</v>
      </c>
      <c r="E7" s="171" t="s">
        <v>149</v>
      </c>
      <c r="F7" s="171" t="s">
        <v>148</v>
      </c>
      <c r="G7" s="171" t="s">
        <v>149</v>
      </c>
      <c r="H7" s="171" t="s">
        <v>148</v>
      </c>
      <c r="I7" s="171" t="s">
        <v>149</v>
      </c>
      <c r="J7" s="171" t="s">
        <v>148</v>
      </c>
      <c r="K7" s="171" t="s">
        <v>149</v>
      </c>
      <c r="L7" s="171" t="s">
        <v>148</v>
      </c>
      <c r="M7" s="171" t="s">
        <v>149</v>
      </c>
      <c r="N7" s="171" t="s">
        <v>148</v>
      </c>
      <c r="O7" s="171" t="s">
        <v>149</v>
      </c>
      <c r="P7" s="171" t="s">
        <v>148</v>
      </c>
      <c r="Q7" s="171" t="s">
        <v>149</v>
      </c>
      <c r="R7" s="171" t="s">
        <v>148</v>
      </c>
      <c r="S7" s="702"/>
    </row>
    <row r="8" spans="1:19">
      <c r="A8" s="74">
        <v>1</v>
      </c>
      <c r="B8" s="1" t="s">
        <v>51</v>
      </c>
      <c r="C8" s="75">
        <v>156060883.78999999</v>
      </c>
      <c r="D8" s="75"/>
      <c r="E8" s="75"/>
      <c r="F8" s="75"/>
      <c r="G8" s="75"/>
      <c r="H8" s="75"/>
      <c r="I8" s="75"/>
      <c r="J8" s="75"/>
      <c r="K8" s="75"/>
      <c r="L8" s="75"/>
      <c r="M8" s="75">
        <v>51420799.060000002</v>
      </c>
      <c r="N8" s="75"/>
      <c r="O8" s="75"/>
      <c r="P8" s="75"/>
      <c r="Q8" s="75"/>
      <c r="R8" s="75"/>
      <c r="S8" s="189">
        <f>$C$6*SUM(C8:D8)+$E$6*SUM(E8:F8)+$G$6*SUM(G8:H8)+$I$6*SUM(I8:J8)+$K$6*SUM(K8:L8)+$M$6*SUM(M8:N8)+$O$6*SUM(O8:P8)+$Q$6*SUM(Q8:R8)</f>
        <v>51420799.060000002</v>
      </c>
    </row>
    <row r="9" spans="1:19">
      <c r="A9" s="74">
        <v>2</v>
      </c>
      <c r="B9" s="1" t="s">
        <v>52</v>
      </c>
      <c r="C9" s="75">
        <v>0</v>
      </c>
      <c r="D9" s="75"/>
      <c r="E9" s="75"/>
      <c r="F9" s="75"/>
      <c r="G9" s="75"/>
      <c r="H9" s="75"/>
      <c r="I9" s="75"/>
      <c r="J9" s="75"/>
      <c r="K9" s="75"/>
      <c r="L9" s="75"/>
      <c r="M9" s="75"/>
      <c r="N9" s="75"/>
      <c r="O9" s="75"/>
      <c r="P9" s="75"/>
      <c r="Q9" s="75"/>
      <c r="R9" s="75"/>
      <c r="S9" s="189">
        <f t="shared" ref="S9:S21" si="0">$C$6*SUM(C9:D9)+$E$6*SUM(E9:F9)+$G$6*SUM(G9:H9)+$I$6*SUM(I9:J9)+$K$6*SUM(K9:L9)+$M$6*SUM(M9:N9)+$O$6*SUM(O9:P9)+$Q$6*SUM(Q9:R9)</f>
        <v>0</v>
      </c>
    </row>
    <row r="10" spans="1:19">
      <c r="A10" s="74">
        <v>3</v>
      </c>
      <c r="B10" s="1" t="s">
        <v>165</v>
      </c>
      <c r="C10" s="75"/>
      <c r="D10" s="75"/>
      <c r="E10" s="75"/>
      <c r="F10" s="75"/>
      <c r="G10" s="75"/>
      <c r="H10" s="75"/>
      <c r="I10" s="75"/>
      <c r="J10" s="75"/>
      <c r="K10" s="75"/>
      <c r="L10" s="75"/>
      <c r="M10" s="75"/>
      <c r="N10" s="75"/>
      <c r="O10" s="75"/>
      <c r="P10" s="75"/>
      <c r="Q10" s="75"/>
      <c r="R10" s="75"/>
      <c r="S10" s="189">
        <f t="shared" si="0"/>
        <v>0</v>
      </c>
    </row>
    <row r="11" spans="1:19">
      <c r="A11" s="74">
        <v>4</v>
      </c>
      <c r="B11" s="1" t="s">
        <v>53</v>
      </c>
      <c r="C11" s="75">
        <v>0</v>
      </c>
      <c r="D11" s="75"/>
      <c r="E11" s="75"/>
      <c r="F11" s="75"/>
      <c r="G11" s="75"/>
      <c r="H11" s="75"/>
      <c r="I11" s="75"/>
      <c r="J11" s="75"/>
      <c r="K11" s="75"/>
      <c r="L11" s="75"/>
      <c r="M11" s="75"/>
      <c r="N11" s="75"/>
      <c r="O11" s="75"/>
      <c r="P11" s="75"/>
      <c r="Q11" s="75"/>
      <c r="R11" s="75"/>
      <c r="S11" s="189">
        <f t="shared" si="0"/>
        <v>0</v>
      </c>
    </row>
    <row r="12" spans="1:19">
      <c r="A12" s="74">
        <v>5</v>
      </c>
      <c r="B12" s="1" t="s">
        <v>54</v>
      </c>
      <c r="C12" s="75">
        <v>0</v>
      </c>
      <c r="D12" s="75"/>
      <c r="E12" s="75"/>
      <c r="F12" s="75"/>
      <c r="G12" s="75"/>
      <c r="H12" s="75"/>
      <c r="I12" s="75"/>
      <c r="J12" s="75"/>
      <c r="K12" s="75"/>
      <c r="L12" s="75"/>
      <c r="M12" s="75"/>
      <c r="N12" s="75"/>
      <c r="O12" s="75"/>
      <c r="P12" s="75"/>
      <c r="Q12" s="75"/>
      <c r="R12" s="75"/>
      <c r="S12" s="189">
        <f t="shared" si="0"/>
        <v>0</v>
      </c>
    </row>
    <row r="13" spans="1:19">
      <c r="A13" s="74">
        <v>6</v>
      </c>
      <c r="B13" s="1" t="s">
        <v>55</v>
      </c>
      <c r="C13" s="75"/>
      <c r="D13" s="75"/>
      <c r="E13" s="75">
        <v>50402336.170000002</v>
      </c>
      <c r="F13" s="75"/>
      <c r="G13" s="75"/>
      <c r="H13" s="75"/>
      <c r="I13" s="75">
        <v>29460345.140000001</v>
      </c>
      <c r="J13" s="75"/>
      <c r="K13" s="75"/>
      <c r="L13" s="75"/>
      <c r="M13" s="75">
        <v>60355.039999999106</v>
      </c>
      <c r="N13" s="75"/>
      <c r="O13" s="75">
        <v>13680</v>
      </c>
      <c r="P13" s="75"/>
      <c r="Q13" s="75"/>
      <c r="R13" s="75"/>
      <c r="S13" s="189">
        <f t="shared" si="0"/>
        <v>24891514.844000001</v>
      </c>
    </row>
    <row r="14" spans="1:19">
      <c r="A14" s="74">
        <v>7</v>
      </c>
      <c r="B14" s="1" t="s">
        <v>56</v>
      </c>
      <c r="C14" s="75"/>
      <c r="D14" s="75"/>
      <c r="E14" s="75"/>
      <c r="F14" s="75"/>
      <c r="G14" s="75"/>
      <c r="H14" s="75"/>
      <c r="I14" s="75"/>
      <c r="J14" s="75"/>
      <c r="K14" s="75"/>
      <c r="L14" s="75"/>
      <c r="M14" s="75">
        <v>48618069.7489971</v>
      </c>
      <c r="N14" s="75">
        <v>5322328.5</v>
      </c>
      <c r="O14" s="75"/>
      <c r="P14" s="75"/>
      <c r="Q14" s="75"/>
      <c r="R14" s="75"/>
      <c r="S14" s="189">
        <f t="shared" si="0"/>
        <v>53940398.2489971</v>
      </c>
    </row>
    <row r="15" spans="1:19">
      <c r="A15" s="74">
        <v>8</v>
      </c>
      <c r="B15" s="1" t="s">
        <v>57</v>
      </c>
      <c r="C15" s="75"/>
      <c r="D15" s="75">
        <v>1252062.48</v>
      </c>
      <c r="E15" s="75"/>
      <c r="F15" s="75"/>
      <c r="G15" s="75"/>
      <c r="H15" s="75"/>
      <c r="I15" s="75"/>
      <c r="J15" s="75"/>
      <c r="K15" s="75">
        <v>2032694793.2160418</v>
      </c>
      <c r="L15" s="75">
        <v>31569573.096867993</v>
      </c>
      <c r="M15" s="75"/>
      <c r="N15" s="75"/>
      <c r="O15" s="75"/>
      <c r="P15" s="75"/>
      <c r="Q15" s="75"/>
      <c r="R15" s="75"/>
      <c r="S15" s="189">
        <f t="shared" si="0"/>
        <v>1548198274.7346823</v>
      </c>
    </row>
    <row r="16" spans="1:19">
      <c r="A16" s="74">
        <v>9</v>
      </c>
      <c r="B16" s="1" t="s">
        <v>58</v>
      </c>
      <c r="C16" s="75">
        <v>0</v>
      </c>
      <c r="D16" s="75"/>
      <c r="E16" s="75"/>
      <c r="F16" s="75"/>
      <c r="G16" s="75">
        <v>108205138.9880347</v>
      </c>
      <c r="H16" s="75"/>
      <c r="I16" s="75"/>
      <c r="J16" s="75"/>
      <c r="K16" s="75"/>
      <c r="L16" s="75"/>
      <c r="M16" s="75"/>
      <c r="N16" s="75"/>
      <c r="O16" s="75"/>
      <c r="P16" s="75"/>
      <c r="Q16" s="75"/>
      <c r="R16" s="75"/>
      <c r="S16" s="189">
        <f t="shared" si="0"/>
        <v>37871798.645812139</v>
      </c>
    </row>
    <row r="17" spans="1:19">
      <c r="A17" s="74">
        <v>10</v>
      </c>
      <c r="B17" s="1" t="s">
        <v>59</v>
      </c>
      <c r="C17" s="75"/>
      <c r="D17" s="75"/>
      <c r="E17" s="75"/>
      <c r="F17" s="75"/>
      <c r="G17" s="75"/>
      <c r="H17" s="75"/>
      <c r="I17" s="75">
        <v>91037.104163644806</v>
      </c>
      <c r="J17" s="75"/>
      <c r="K17" s="75"/>
      <c r="L17" s="75"/>
      <c r="M17" s="75">
        <v>2730664.5792242922</v>
      </c>
      <c r="N17" s="75"/>
      <c r="O17" s="75"/>
      <c r="P17" s="75"/>
      <c r="Q17" s="75"/>
      <c r="R17" s="75"/>
      <c r="S17" s="189">
        <f t="shared" si="0"/>
        <v>2776183.1313061146</v>
      </c>
    </row>
    <row r="18" spans="1:19">
      <c r="A18" s="74">
        <v>11</v>
      </c>
      <c r="B18" s="1" t="s">
        <v>60</v>
      </c>
      <c r="C18" s="75"/>
      <c r="D18" s="75"/>
      <c r="E18" s="75"/>
      <c r="F18" s="75"/>
      <c r="G18" s="75"/>
      <c r="H18" s="75"/>
      <c r="I18" s="75"/>
      <c r="J18" s="75"/>
      <c r="K18" s="75"/>
      <c r="L18" s="75"/>
      <c r="M18" s="75"/>
      <c r="N18" s="75"/>
      <c r="O18" s="75"/>
      <c r="P18" s="75"/>
      <c r="Q18" s="75"/>
      <c r="R18" s="75"/>
      <c r="S18" s="189">
        <f t="shared" si="0"/>
        <v>0</v>
      </c>
    </row>
    <row r="19" spans="1:19">
      <c r="A19" s="74">
        <v>12</v>
      </c>
      <c r="B19" s="1" t="s">
        <v>61</v>
      </c>
      <c r="C19" s="75"/>
      <c r="D19" s="75"/>
      <c r="E19" s="75"/>
      <c r="F19" s="75"/>
      <c r="G19" s="75"/>
      <c r="H19" s="75"/>
      <c r="I19" s="75"/>
      <c r="J19" s="75"/>
      <c r="K19" s="75"/>
      <c r="L19" s="75"/>
      <c r="M19" s="75"/>
      <c r="N19" s="75"/>
      <c r="O19" s="75"/>
      <c r="P19" s="75"/>
      <c r="Q19" s="75"/>
      <c r="R19" s="75"/>
      <c r="S19" s="189">
        <f t="shared" si="0"/>
        <v>0</v>
      </c>
    </row>
    <row r="20" spans="1:19">
      <c r="A20" s="74">
        <v>13</v>
      </c>
      <c r="B20" s="1" t="s">
        <v>145</v>
      </c>
      <c r="C20" s="75"/>
      <c r="D20" s="75"/>
      <c r="E20" s="75"/>
      <c r="F20" s="75"/>
      <c r="G20" s="75"/>
      <c r="H20" s="75"/>
      <c r="I20" s="75"/>
      <c r="J20" s="75"/>
      <c r="K20" s="75"/>
      <c r="L20" s="75"/>
      <c r="M20" s="75"/>
      <c r="N20" s="75"/>
      <c r="O20" s="75"/>
      <c r="P20" s="75"/>
      <c r="Q20" s="75"/>
      <c r="R20" s="75"/>
      <c r="S20" s="189">
        <f t="shared" si="0"/>
        <v>0</v>
      </c>
    </row>
    <row r="21" spans="1:19">
      <c r="A21" s="74">
        <v>14</v>
      </c>
      <c r="B21" s="1" t="s">
        <v>63</v>
      </c>
      <c r="C21" s="75">
        <v>88834128.109999999</v>
      </c>
      <c r="D21" s="75"/>
      <c r="E21" s="75"/>
      <c r="F21" s="75"/>
      <c r="G21" s="75"/>
      <c r="H21" s="75"/>
      <c r="I21" s="75"/>
      <c r="J21" s="75"/>
      <c r="K21" s="75"/>
      <c r="L21" s="75"/>
      <c r="M21" s="75">
        <v>99623101.270000026</v>
      </c>
      <c r="N21" s="75"/>
      <c r="O21" s="75"/>
      <c r="P21" s="75"/>
      <c r="Q21" s="75">
        <v>1737632.6</v>
      </c>
      <c r="R21" s="75"/>
      <c r="S21" s="189">
        <f t="shared" si="0"/>
        <v>103967182.77000003</v>
      </c>
    </row>
    <row r="22" spans="1:19" ht="13.8" thickBot="1">
      <c r="A22" s="76"/>
      <c r="B22" s="77" t="s">
        <v>64</v>
      </c>
      <c r="C22" s="78">
        <f>SUM(C8:C21)</f>
        <v>244895011.89999998</v>
      </c>
      <c r="D22" s="78">
        <f t="shared" ref="D22:J22" si="1">SUM(D8:D21)</f>
        <v>1252062.48</v>
      </c>
      <c r="E22" s="78">
        <f t="shared" si="1"/>
        <v>50402336.170000002</v>
      </c>
      <c r="F22" s="78">
        <f t="shared" si="1"/>
        <v>0</v>
      </c>
      <c r="G22" s="78">
        <f t="shared" si="1"/>
        <v>108205138.9880347</v>
      </c>
      <c r="H22" s="78">
        <f t="shared" si="1"/>
        <v>0</v>
      </c>
      <c r="I22" s="78">
        <f t="shared" si="1"/>
        <v>29551382.244163644</v>
      </c>
      <c r="J22" s="78">
        <f t="shared" si="1"/>
        <v>0</v>
      </c>
      <c r="K22" s="78">
        <f t="shared" ref="K22:S22" si="2">SUM(K8:K21)</f>
        <v>2032694793.2160418</v>
      </c>
      <c r="L22" s="78">
        <f t="shared" si="2"/>
        <v>31569573.096867993</v>
      </c>
      <c r="M22" s="78">
        <f t="shared" si="2"/>
        <v>202452989.69822142</v>
      </c>
      <c r="N22" s="78">
        <f t="shared" si="2"/>
        <v>5322328.5</v>
      </c>
      <c r="O22" s="78">
        <f t="shared" si="2"/>
        <v>13680</v>
      </c>
      <c r="P22" s="78">
        <f t="shared" si="2"/>
        <v>0</v>
      </c>
      <c r="Q22" s="78">
        <f t="shared" si="2"/>
        <v>1737632.6</v>
      </c>
      <c r="R22" s="78">
        <f t="shared" si="2"/>
        <v>0</v>
      </c>
      <c r="S22" s="190">
        <f t="shared" si="2"/>
        <v>1823066151.4347975</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B2" sqref="B2"/>
    </sheetView>
  </sheetViews>
  <sheetFormatPr defaultColWidth="9.21875" defaultRowHeight="13.2"/>
  <cols>
    <col min="1" max="1" width="10.5546875" style="4" bestFit="1" customWidth="1"/>
    <col min="2" max="2" width="63.77734375" style="4" bestFit="1" customWidth="1"/>
    <col min="3" max="3" width="19" style="4" customWidth="1"/>
    <col min="4" max="4" width="19.5546875" style="4" customWidth="1"/>
    <col min="5" max="5" width="31.21875" style="4" customWidth="1"/>
    <col min="6" max="6" width="29.21875" style="4" customWidth="1"/>
    <col min="7" max="7" width="28.5546875" style="4" customWidth="1"/>
    <col min="8" max="8" width="26.44140625" style="4" customWidth="1"/>
    <col min="9" max="9" width="23.77734375" style="4" customWidth="1"/>
    <col min="10" max="10" width="21.5546875" style="4" customWidth="1"/>
    <col min="11" max="11" width="15.77734375" style="4" customWidth="1"/>
    <col min="12" max="12" width="13.21875" style="4" customWidth="1"/>
    <col min="13" max="13" width="20.77734375" style="4" customWidth="1"/>
    <col min="14" max="14" width="19.21875" style="4" customWidth="1"/>
    <col min="15" max="15" width="18.44140625" style="4" customWidth="1"/>
    <col min="16" max="16" width="19" style="4" customWidth="1"/>
    <col min="17" max="17" width="20.21875" style="4" customWidth="1"/>
    <col min="18" max="18" width="18" style="4" customWidth="1"/>
    <col min="19" max="19" width="36" style="4" customWidth="1"/>
    <col min="20" max="20" width="26.21875" style="4" customWidth="1"/>
    <col min="21" max="21" width="24.77734375" style="4" customWidth="1"/>
    <col min="22" max="22" width="20" style="4" customWidth="1"/>
    <col min="23" max="16384" width="9.21875" style="14"/>
  </cols>
  <sheetData>
    <row r="1" spans="1:22">
      <c r="A1" s="2" t="s">
        <v>30</v>
      </c>
      <c r="B1" s="3" t="str">
        <f>'Info '!C2</f>
        <v>JSC "CREDOBANK"</v>
      </c>
    </row>
    <row r="2" spans="1:22">
      <c r="A2" s="2" t="s">
        <v>31</v>
      </c>
      <c r="B2" s="312">
        <f>'1. key ratios '!B2</f>
        <v>45473</v>
      </c>
    </row>
    <row r="4" spans="1:22" ht="13.8" thickBot="1">
      <c r="A4" s="4" t="s">
        <v>244</v>
      </c>
      <c r="B4" s="79" t="s">
        <v>50</v>
      </c>
      <c r="V4" s="15" t="s">
        <v>35</v>
      </c>
    </row>
    <row r="5" spans="1:22" ht="12.75" customHeight="1">
      <c r="A5" s="80"/>
      <c r="B5" s="81"/>
      <c r="C5" s="705" t="s">
        <v>170</v>
      </c>
      <c r="D5" s="706"/>
      <c r="E5" s="706"/>
      <c r="F5" s="706"/>
      <c r="G5" s="706"/>
      <c r="H5" s="706"/>
      <c r="I5" s="706"/>
      <c r="J5" s="706"/>
      <c r="K5" s="706"/>
      <c r="L5" s="707"/>
      <c r="M5" s="708" t="s">
        <v>171</v>
      </c>
      <c r="N5" s="709"/>
      <c r="O5" s="709"/>
      <c r="P5" s="709"/>
      <c r="Q5" s="709"/>
      <c r="R5" s="709"/>
      <c r="S5" s="710"/>
      <c r="T5" s="713" t="s">
        <v>242</v>
      </c>
      <c r="U5" s="713" t="s">
        <v>243</v>
      </c>
      <c r="V5" s="711" t="s">
        <v>76</v>
      </c>
    </row>
    <row r="6" spans="1:22" s="43" customFormat="1" ht="105.6">
      <c r="A6" s="41"/>
      <c r="B6" s="82"/>
      <c r="C6" s="83" t="s">
        <v>65</v>
      </c>
      <c r="D6" s="155" t="s">
        <v>66</v>
      </c>
      <c r="E6" s="109" t="s">
        <v>173</v>
      </c>
      <c r="F6" s="109" t="s">
        <v>174</v>
      </c>
      <c r="G6" s="155" t="s">
        <v>177</v>
      </c>
      <c r="H6" s="155" t="s">
        <v>172</v>
      </c>
      <c r="I6" s="155" t="s">
        <v>67</v>
      </c>
      <c r="J6" s="155" t="s">
        <v>68</v>
      </c>
      <c r="K6" s="84" t="s">
        <v>69</v>
      </c>
      <c r="L6" s="85" t="s">
        <v>70</v>
      </c>
      <c r="M6" s="83" t="s">
        <v>175</v>
      </c>
      <c r="N6" s="84" t="s">
        <v>71</v>
      </c>
      <c r="O6" s="84" t="s">
        <v>72</v>
      </c>
      <c r="P6" s="84" t="s">
        <v>73</v>
      </c>
      <c r="Q6" s="84" t="s">
        <v>74</v>
      </c>
      <c r="R6" s="84" t="s">
        <v>75</v>
      </c>
      <c r="S6" s="173" t="s">
        <v>176</v>
      </c>
      <c r="T6" s="714"/>
      <c r="U6" s="714"/>
      <c r="V6" s="712"/>
    </row>
    <row r="7" spans="1:22">
      <c r="A7" s="86">
        <v>1</v>
      </c>
      <c r="B7" s="1" t="s">
        <v>51</v>
      </c>
      <c r="C7" s="87"/>
      <c r="D7" s="75"/>
      <c r="E7" s="75"/>
      <c r="F7" s="75"/>
      <c r="G7" s="75"/>
      <c r="H7" s="75"/>
      <c r="I7" s="75"/>
      <c r="J7" s="75"/>
      <c r="K7" s="75"/>
      <c r="L7" s="88"/>
      <c r="M7" s="87"/>
      <c r="N7" s="75"/>
      <c r="O7" s="75"/>
      <c r="P7" s="75"/>
      <c r="Q7" s="75"/>
      <c r="R7" s="75"/>
      <c r="S7" s="88"/>
      <c r="T7" s="181"/>
      <c r="U7" s="181"/>
      <c r="V7" s="89">
        <f>SUM(C7:S7)</f>
        <v>0</v>
      </c>
    </row>
    <row r="8" spans="1:22">
      <c r="A8" s="86">
        <v>2</v>
      </c>
      <c r="B8" s="1" t="s">
        <v>52</v>
      </c>
      <c r="C8" s="87"/>
      <c r="D8" s="75"/>
      <c r="E8" s="75"/>
      <c r="F8" s="75"/>
      <c r="G8" s="75"/>
      <c r="H8" s="75"/>
      <c r="I8" s="75"/>
      <c r="J8" s="75"/>
      <c r="K8" s="75"/>
      <c r="L8" s="88"/>
      <c r="M8" s="87"/>
      <c r="N8" s="75"/>
      <c r="O8" s="75"/>
      <c r="P8" s="75"/>
      <c r="Q8" s="75"/>
      <c r="R8" s="75"/>
      <c r="S8" s="88"/>
      <c r="T8" s="181"/>
      <c r="U8" s="181"/>
      <c r="V8" s="89">
        <f t="shared" ref="V8:V20" si="0">SUM(C8:S8)</f>
        <v>0</v>
      </c>
    </row>
    <row r="9" spans="1:22">
      <c r="A9" s="86">
        <v>3</v>
      </c>
      <c r="B9" s="1" t="s">
        <v>166</v>
      </c>
      <c r="C9" s="87"/>
      <c r="D9" s="75"/>
      <c r="E9" s="75"/>
      <c r="F9" s="75"/>
      <c r="G9" s="75"/>
      <c r="H9" s="75"/>
      <c r="I9" s="75"/>
      <c r="J9" s="75"/>
      <c r="K9" s="75"/>
      <c r="L9" s="88"/>
      <c r="M9" s="87"/>
      <c r="N9" s="75"/>
      <c r="O9" s="75"/>
      <c r="P9" s="75"/>
      <c r="Q9" s="75"/>
      <c r="R9" s="75"/>
      <c r="S9" s="88"/>
      <c r="T9" s="181"/>
      <c r="U9" s="181"/>
      <c r="V9" s="89">
        <f t="shared" si="0"/>
        <v>0</v>
      </c>
    </row>
    <row r="10" spans="1:22">
      <c r="A10" s="86">
        <v>4</v>
      </c>
      <c r="B10" s="1" t="s">
        <v>53</v>
      </c>
      <c r="C10" s="87"/>
      <c r="D10" s="75"/>
      <c r="E10" s="75"/>
      <c r="F10" s="75"/>
      <c r="G10" s="75"/>
      <c r="H10" s="75"/>
      <c r="I10" s="75"/>
      <c r="J10" s="75"/>
      <c r="K10" s="75"/>
      <c r="L10" s="88"/>
      <c r="M10" s="87"/>
      <c r="N10" s="75"/>
      <c r="O10" s="75"/>
      <c r="P10" s="75"/>
      <c r="Q10" s="75"/>
      <c r="R10" s="75"/>
      <c r="S10" s="88"/>
      <c r="T10" s="181"/>
      <c r="U10" s="181"/>
      <c r="V10" s="89">
        <f t="shared" si="0"/>
        <v>0</v>
      </c>
    </row>
    <row r="11" spans="1:22">
      <c r="A11" s="86">
        <v>5</v>
      </c>
      <c r="B11" s="1" t="s">
        <v>54</v>
      </c>
      <c r="C11" s="87"/>
      <c r="D11" s="75"/>
      <c r="E11" s="75"/>
      <c r="F11" s="75"/>
      <c r="G11" s="75"/>
      <c r="H11" s="75"/>
      <c r="I11" s="75"/>
      <c r="J11" s="75"/>
      <c r="K11" s="75"/>
      <c r="L11" s="88"/>
      <c r="M11" s="87"/>
      <c r="N11" s="75"/>
      <c r="O11" s="75"/>
      <c r="P11" s="75"/>
      <c r="Q11" s="75"/>
      <c r="R11" s="75"/>
      <c r="S11" s="88"/>
      <c r="T11" s="181"/>
      <c r="U11" s="181"/>
      <c r="V11" s="89">
        <f t="shared" si="0"/>
        <v>0</v>
      </c>
    </row>
    <row r="12" spans="1:22">
      <c r="A12" s="86">
        <v>6</v>
      </c>
      <c r="B12" s="1" t="s">
        <v>55</v>
      </c>
      <c r="C12" s="87"/>
      <c r="D12" s="75"/>
      <c r="E12" s="75"/>
      <c r="F12" s="75"/>
      <c r="G12" s="75"/>
      <c r="H12" s="75"/>
      <c r="I12" s="75"/>
      <c r="J12" s="75"/>
      <c r="K12" s="75"/>
      <c r="L12" s="88"/>
      <c r="M12" s="87"/>
      <c r="N12" s="75"/>
      <c r="O12" s="75"/>
      <c r="P12" s="75"/>
      <c r="Q12" s="75"/>
      <c r="R12" s="75"/>
      <c r="S12" s="88"/>
      <c r="T12" s="181"/>
      <c r="U12" s="181"/>
      <c r="V12" s="89">
        <f t="shared" si="0"/>
        <v>0</v>
      </c>
    </row>
    <row r="13" spans="1:22">
      <c r="A13" s="86">
        <v>7</v>
      </c>
      <c r="B13" s="1" t="s">
        <v>56</v>
      </c>
      <c r="C13" s="87"/>
      <c r="D13" s="75"/>
      <c r="E13" s="75"/>
      <c r="F13" s="75"/>
      <c r="G13" s="75"/>
      <c r="H13" s="75"/>
      <c r="I13" s="75"/>
      <c r="J13" s="75"/>
      <c r="K13" s="75"/>
      <c r="L13" s="88"/>
      <c r="M13" s="87"/>
      <c r="N13" s="75"/>
      <c r="O13" s="75"/>
      <c r="P13" s="75"/>
      <c r="Q13" s="75"/>
      <c r="R13" s="75"/>
      <c r="S13" s="88"/>
      <c r="T13" s="181"/>
      <c r="U13" s="181"/>
      <c r="V13" s="89">
        <f t="shared" si="0"/>
        <v>0</v>
      </c>
    </row>
    <row r="14" spans="1:22">
      <c r="A14" s="86">
        <v>8</v>
      </c>
      <c r="B14" s="1" t="s">
        <v>57</v>
      </c>
      <c r="C14" s="87"/>
      <c r="D14" s="75"/>
      <c r="E14" s="75"/>
      <c r="F14" s="75"/>
      <c r="G14" s="75"/>
      <c r="H14" s="75"/>
      <c r="I14" s="75"/>
      <c r="J14" s="75"/>
      <c r="K14" s="75"/>
      <c r="L14" s="88"/>
      <c r="M14" s="87"/>
      <c r="N14" s="75"/>
      <c r="O14" s="75"/>
      <c r="P14" s="75"/>
      <c r="Q14" s="75"/>
      <c r="R14" s="75"/>
      <c r="S14" s="88"/>
      <c r="T14" s="181"/>
      <c r="U14" s="181"/>
      <c r="V14" s="89">
        <f t="shared" si="0"/>
        <v>0</v>
      </c>
    </row>
    <row r="15" spans="1:22">
      <c r="A15" s="86">
        <v>9</v>
      </c>
      <c r="B15" s="1" t="s">
        <v>58</v>
      </c>
      <c r="C15" s="87"/>
      <c r="D15" s="75"/>
      <c r="E15" s="75"/>
      <c r="F15" s="75"/>
      <c r="G15" s="75"/>
      <c r="H15" s="75"/>
      <c r="I15" s="75"/>
      <c r="J15" s="75"/>
      <c r="K15" s="75"/>
      <c r="L15" s="88"/>
      <c r="M15" s="87"/>
      <c r="N15" s="75"/>
      <c r="O15" s="75"/>
      <c r="P15" s="75"/>
      <c r="Q15" s="75"/>
      <c r="R15" s="75"/>
      <c r="S15" s="88"/>
      <c r="T15" s="181"/>
      <c r="U15" s="181"/>
      <c r="V15" s="89">
        <f t="shared" si="0"/>
        <v>0</v>
      </c>
    </row>
    <row r="16" spans="1:22">
      <c r="A16" s="86">
        <v>10</v>
      </c>
      <c r="B16" s="1" t="s">
        <v>59</v>
      </c>
      <c r="C16" s="87"/>
      <c r="D16" s="75"/>
      <c r="E16" s="75"/>
      <c r="F16" s="75"/>
      <c r="G16" s="75"/>
      <c r="H16" s="75"/>
      <c r="I16" s="75"/>
      <c r="J16" s="75"/>
      <c r="K16" s="75"/>
      <c r="L16" s="88"/>
      <c r="M16" s="87"/>
      <c r="N16" s="75"/>
      <c r="O16" s="75"/>
      <c r="P16" s="75"/>
      <c r="Q16" s="75"/>
      <c r="R16" s="75"/>
      <c r="S16" s="88"/>
      <c r="T16" s="181"/>
      <c r="U16" s="181"/>
      <c r="V16" s="89">
        <f t="shared" si="0"/>
        <v>0</v>
      </c>
    </row>
    <row r="17" spans="1:22">
      <c r="A17" s="86">
        <v>11</v>
      </c>
      <c r="B17" s="1" t="s">
        <v>60</v>
      </c>
      <c r="C17" s="87"/>
      <c r="D17" s="75"/>
      <c r="E17" s="75"/>
      <c r="F17" s="75"/>
      <c r="G17" s="75"/>
      <c r="H17" s="75"/>
      <c r="I17" s="75"/>
      <c r="J17" s="75"/>
      <c r="K17" s="75"/>
      <c r="L17" s="88"/>
      <c r="M17" s="87"/>
      <c r="N17" s="75"/>
      <c r="O17" s="75"/>
      <c r="P17" s="75"/>
      <c r="Q17" s="75"/>
      <c r="R17" s="75"/>
      <c r="S17" s="88"/>
      <c r="T17" s="181"/>
      <c r="U17" s="181"/>
      <c r="V17" s="89">
        <f t="shared" si="0"/>
        <v>0</v>
      </c>
    </row>
    <row r="18" spans="1:22">
      <c r="A18" s="86">
        <v>12</v>
      </c>
      <c r="B18" s="1" t="s">
        <v>61</v>
      </c>
      <c r="C18" s="87"/>
      <c r="D18" s="75"/>
      <c r="E18" s="75"/>
      <c r="F18" s="75"/>
      <c r="G18" s="75"/>
      <c r="H18" s="75"/>
      <c r="I18" s="75"/>
      <c r="J18" s="75"/>
      <c r="K18" s="75"/>
      <c r="L18" s="88"/>
      <c r="M18" s="87"/>
      <c r="N18" s="75"/>
      <c r="O18" s="75"/>
      <c r="P18" s="75"/>
      <c r="Q18" s="75"/>
      <c r="R18" s="75"/>
      <c r="S18" s="88"/>
      <c r="T18" s="181"/>
      <c r="U18" s="181"/>
      <c r="V18" s="89">
        <f t="shared" si="0"/>
        <v>0</v>
      </c>
    </row>
    <row r="19" spans="1:22">
      <c r="A19" s="86">
        <v>13</v>
      </c>
      <c r="B19" s="1" t="s">
        <v>62</v>
      </c>
      <c r="C19" s="87"/>
      <c r="D19" s="75"/>
      <c r="E19" s="75"/>
      <c r="F19" s="75"/>
      <c r="G19" s="75"/>
      <c r="H19" s="75"/>
      <c r="I19" s="75"/>
      <c r="J19" s="75"/>
      <c r="K19" s="75"/>
      <c r="L19" s="88"/>
      <c r="M19" s="87"/>
      <c r="N19" s="75"/>
      <c r="O19" s="75"/>
      <c r="P19" s="75"/>
      <c r="Q19" s="75"/>
      <c r="R19" s="75"/>
      <c r="S19" s="88"/>
      <c r="T19" s="181"/>
      <c r="U19" s="181"/>
      <c r="V19" s="89">
        <f t="shared" si="0"/>
        <v>0</v>
      </c>
    </row>
    <row r="20" spans="1:22">
      <c r="A20" s="86">
        <v>14</v>
      </c>
      <c r="B20" s="1" t="s">
        <v>63</v>
      </c>
      <c r="C20" s="87"/>
      <c r="D20" s="75"/>
      <c r="E20" s="75"/>
      <c r="F20" s="75"/>
      <c r="G20" s="75"/>
      <c r="H20" s="75"/>
      <c r="I20" s="75"/>
      <c r="J20" s="75"/>
      <c r="K20" s="75"/>
      <c r="L20" s="88"/>
      <c r="M20" s="87"/>
      <c r="N20" s="75"/>
      <c r="O20" s="75"/>
      <c r="P20" s="75"/>
      <c r="Q20" s="75"/>
      <c r="R20" s="75"/>
      <c r="S20" s="88"/>
      <c r="T20" s="181"/>
      <c r="U20" s="181"/>
      <c r="V20" s="89">
        <f t="shared" si="0"/>
        <v>0</v>
      </c>
    </row>
    <row r="21" spans="1:22" ht="13.8" thickBot="1">
      <c r="A21" s="76"/>
      <c r="B21" s="90" t="s">
        <v>64</v>
      </c>
      <c r="C21" s="91">
        <f>SUM(C7:C20)</f>
        <v>0</v>
      </c>
      <c r="D21" s="78">
        <f t="shared" ref="D21:V21" si="1">SUM(D7:D20)</f>
        <v>0</v>
      </c>
      <c r="E21" s="78">
        <f t="shared" si="1"/>
        <v>0</v>
      </c>
      <c r="F21" s="78">
        <f t="shared" si="1"/>
        <v>0</v>
      </c>
      <c r="G21" s="78">
        <f t="shared" si="1"/>
        <v>0</v>
      </c>
      <c r="H21" s="78">
        <f t="shared" si="1"/>
        <v>0</v>
      </c>
      <c r="I21" s="78">
        <f t="shared" si="1"/>
        <v>0</v>
      </c>
      <c r="J21" s="78">
        <f t="shared" si="1"/>
        <v>0</v>
      </c>
      <c r="K21" s="78">
        <f t="shared" si="1"/>
        <v>0</v>
      </c>
      <c r="L21" s="92">
        <f t="shared" si="1"/>
        <v>0</v>
      </c>
      <c r="M21" s="91">
        <f t="shared" si="1"/>
        <v>0</v>
      </c>
      <c r="N21" s="78">
        <f t="shared" si="1"/>
        <v>0</v>
      </c>
      <c r="O21" s="78">
        <f t="shared" si="1"/>
        <v>0</v>
      </c>
      <c r="P21" s="78">
        <f t="shared" si="1"/>
        <v>0</v>
      </c>
      <c r="Q21" s="78">
        <f t="shared" si="1"/>
        <v>0</v>
      </c>
      <c r="R21" s="78">
        <f t="shared" si="1"/>
        <v>0</v>
      </c>
      <c r="S21" s="92">
        <f>SUM(S7:S20)</f>
        <v>0</v>
      </c>
      <c r="T21" s="92">
        <f>SUM(T7:T20)</f>
        <v>0</v>
      </c>
      <c r="U21" s="92">
        <f t="shared" ref="U21" si="2">SUM(U7:U20)</f>
        <v>0</v>
      </c>
      <c r="V21" s="93">
        <f t="shared" si="1"/>
        <v>0</v>
      </c>
    </row>
    <row r="24" spans="1:22">
      <c r="C24" s="22"/>
      <c r="D24" s="22"/>
      <c r="E24" s="22"/>
    </row>
    <row r="25" spans="1:22">
      <c r="A25" s="40"/>
      <c r="B25" s="40"/>
      <c r="D25" s="22"/>
      <c r="E25" s="22"/>
    </row>
    <row r="26" spans="1:22">
      <c r="A26" s="40"/>
      <c r="B26" s="23"/>
      <c r="D26" s="22"/>
      <c r="E26" s="22"/>
    </row>
    <row r="27" spans="1:22">
      <c r="A27" s="40"/>
      <c r="B27" s="40"/>
      <c r="D27" s="22"/>
      <c r="E27" s="22"/>
    </row>
    <row r="28" spans="1:22">
      <c r="A28" s="40"/>
      <c r="B28" s="23"/>
      <c r="D28" s="22"/>
      <c r="E28" s="22"/>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90" zoomScaleNormal="90" workbookViewId="0">
      <pane xSplit="1" ySplit="7" topLeftCell="B8" activePane="bottomRight" state="frozen"/>
      <selection activeCell="B9" sqref="B9"/>
      <selection pane="topRight" activeCell="B9" sqref="B9"/>
      <selection pane="bottomLeft" activeCell="B9" sqref="B9"/>
      <selection pane="bottomRight" activeCell="B12" sqref="B12"/>
    </sheetView>
  </sheetViews>
  <sheetFormatPr defaultColWidth="9.21875" defaultRowHeight="13.8"/>
  <cols>
    <col min="1" max="1" width="10.5546875" style="4" bestFit="1" customWidth="1"/>
    <col min="2" max="2" width="101.77734375" style="4" customWidth="1"/>
    <col min="3" max="3" width="13.77734375" style="160" customWidth="1"/>
    <col min="4" max="4" width="14.77734375" style="160" bestFit="1" customWidth="1"/>
    <col min="5" max="5" width="17.77734375" style="160" customWidth="1"/>
    <col min="6" max="6" width="15.77734375" style="160" customWidth="1"/>
    <col min="7" max="7" width="17.44140625" style="160" customWidth="1"/>
    <col min="8" max="8" width="15.21875" style="160" customWidth="1"/>
    <col min="9" max="16384" width="9.21875" style="14"/>
  </cols>
  <sheetData>
    <row r="1" spans="1:9">
      <c r="A1" s="2" t="s">
        <v>30</v>
      </c>
      <c r="B1" s="4" t="str">
        <f>'Info '!C2</f>
        <v>JSC "CREDOBANK"</v>
      </c>
      <c r="C1" s="3"/>
    </row>
    <row r="2" spans="1:9">
      <c r="A2" s="2" t="s">
        <v>31</v>
      </c>
      <c r="B2" s="312">
        <f>'1. key ratios '!B2</f>
        <v>45473</v>
      </c>
      <c r="C2" s="312"/>
    </row>
    <row r="4" spans="1:9" ht="14.4" thickBot="1">
      <c r="A4" s="2" t="s">
        <v>151</v>
      </c>
      <c r="B4" s="79" t="s">
        <v>253</v>
      </c>
    </row>
    <row r="5" spans="1:9">
      <c r="A5" s="80"/>
      <c r="B5" s="94"/>
      <c r="C5" s="182" t="s">
        <v>0</v>
      </c>
      <c r="D5" s="182" t="s">
        <v>1</v>
      </c>
      <c r="E5" s="182" t="s">
        <v>2</v>
      </c>
      <c r="F5" s="182" t="s">
        <v>3</v>
      </c>
      <c r="G5" s="183" t="s">
        <v>4</v>
      </c>
      <c r="H5" s="184" t="s">
        <v>5</v>
      </c>
      <c r="I5" s="95"/>
    </row>
    <row r="6" spans="1:9" s="95" customFormat="1" ht="12.75" customHeight="1">
      <c r="A6" s="96"/>
      <c r="B6" s="717" t="s">
        <v>150</v>
      </c>
      <c r="C6" s="703" t="s">
        <v>246</v>
      </c>
      <c r="D6" s="719" t="s">
        <v>245</v>
      </c>
      <c r="E6" s="720"/>
      <c r="F6" s="703" t="s">
        <v>250</v>
      </c>
      <c r="G6" s="703" t="s">
        <v>251</v>
      </c>
      <c r="H6" s="715" t="s">
        <v>249</v>
      </c>
    </row>
    <row r="7" spans="1:9" ht="41.4">
      <c r="A7" s="98"/>
      <c r="B7" s="718"/>
      <c r="C7" s="704"/>
      <c r="D7" s="185" t="s">
        <v>248</v>
      </c>
      <c r="E7" s="185" t="s">
        <v>247</v>
      </c>
      <c r="F7" s="704"/>
      <c r="G7" s="704"/>
      <c r="H7" s="716"/>
      <c r="I7" s="95"/>
    </row>
    <row r="8" spans="1:9">
      <c r="A8" s="96">
        <v>1</v>
      </c>
      <c r="B8" s="1" t="s">
        <v>51</v>
      </c>
      <c r="C8" s="598">
        <v>207481682.86550203</v>
      </c>
      <c r="D8" s="598"/>
      <c r="E8" s="598"/>
      <c r="F8" s="598">
        <v>51420799.037241437</v>
      </c>
      <c r="G8" s="599">
        <v>51420799.037241437</v>
      </c>
      <c r="H8" s="600">
        <f>IFERROR(G8/(C8+E8),0)</f>
        <v>0.24783295723784188</v>
      </c>
    </row>
    <row r="9" spans="1:9" ht="15" customHeight="1">
      <c r="A9" s="96">
        <v>2</v>
      </c>
      <c r="B9" s="1" t="s">
        <v>52</v>
      </c>
      <c r="C9" s="598"/>
      <c r="D9" s="598"/>
      <c r="E9" s="598"/>
      <c r="F9" s="598"/>
      <c r="G9" s="599"/>
      <c r="H9" s="600">
        <f t="shared" ref="H9:H21" si="0">IFERROR(G9/(C9+E9),0)</f>
        <v>0</v>
      </c>
    </row>
    <row r="10" spans="1:9">
      <c r="A10" s="96">
        <v>3</v>
      </c>
      <c r="B10" s="1" t="s">
        <v>166</v>
      </c>
      <c r="C10" s="598"/>
      <c r="D10" s="598"/>
      <c r="E10" s="598"/>
      <c r="F10" s="598"/>
      <c r="G10" s="599"/>
      <c r="H10" s="600">
        <f t="shared" si="0"/>
        <v>0</v>
      </c>
    </row>
    <row r="11" spans="1:9">
      <c r="A11" s="96">
        <v>4</v>
      </c>
      <c r="B11" s="1" t="s">
        <v>53</v>
      </c>
      <c r="C11" s="598"/>
      <c r="D11" s="598"/>
      <c r="E11" s="598"/>
      <c r="F11" s="598"/>
      <c r="G11" s="599"/>
      <c r="H11" s="600">
        <f t="shared" si="0"/>
        <v>0</v>
      </c>
    </row>
    <row r="12" spans="1:9">
      <c r="A12" s="96">
        <v>5</v>
      </c>
      <c r="B12" s="1" t="s">
        <v>54</v>
      </c>
      <c r="C12" s="598"/>
      <c r="D12" s="598"/>
      <c r="E12" s="598"/>
      <c r="F12" s="598"/>
      <c r="G12" s="599"/>
      <c r="H12" s="600">
        <f t="shared" si="0"/>
        <v>0</v>
      </c>
    </row>
    <row r="13" spans="1:9">
      <c r="A13" s="96">
        <v>6</v>
      </c>
      <c r="B13" s="1" t="s">
        <v>55</v>
      </c>
      <c r="C13" s="598">
        <v>79936716.887570843</v>
      </c>
      <c r="D13" s="598"/>
      <c r="E13" s="598"/>
      <c r="F13" s="598">
        <v>24891514.680894703</v>
      </c>
      <c r="G13" s="599">
        <v>24891514.680894703</v>
      </c>
      <c r="H13" s="600">
        <f t="shared" si="0"/>
        <v>0.31139025531789161</v>
      </c>
    </row>
    <row r="14" spans="1:9">
      <c r="A14" s="96">
        <v>7</v>
      </c>
      <c r="B14" s="1" t="s">
        <v>56</v>
      </c>
      <c r="C14" s="598">
        <v>48618069.7489971</v>
      </c>
      <c r="D14" s="598">
        <v>10644657</v>
      </c>
      <c r="E14" s="598">
        <v>5322328.5</v>
      </c>
      <c r="F14" s="598">
        <v>53940398.2489971</v>
      </c>
      <c r="G14" s="599">
        <v>53940398.2489971</v>
      </c>
      <c r="H14" s="600">
        <f t="shared" si="0"/>
        <v>1</v>
      </c>
    </row>
    <row r="15" spans="1:9">
      <c r="A15" s="96">
        <v>8</v>
      </c>
      <c r="B15" s="1" t="s">
        <v>57</v>
      </c>
      <c r="C15" s="598">
        <v>2032694793.2160418</v>
      </c>
      <c r="D15" s="598">
        <v>65111790.673735991</v>
      </c>
      <c r="E15" s="598">
        <v>31569573.096867993</v>
      </c>
      <c r="F15" s="598">
        <v>1548198274.7346823</v>
      </c>
      <c r="G15" s="599">
        <v>1548198274.7346823</v>
      </c>
      <c r="H15" s="600">
        <f t="shared" si="0"/>
        <v>0.75</v>
      </c>
    </row>
    <row r="16" spans="1:9">
      <c r="A16" s="96">
        <v>9</v>
      </c>
      <c r="B16" s="1" t="s">
        <v>58</v>
      </c>
      <c r="C16" s="598">
        <v>108205138.9880347</v>
      </c>
      <c r="D16" s="598"/>
      <c r="E16" s="598"/>
      <c r="F16" s="598">
        <v>37871798.645812139</v>
      </c>
      <c r="G16" s="599">
        <v>37871798.645812139</v>
      </c>
      <c r="H16" s="600">
        <f t="shared" si="0"/>
        <v>0.35</v>
      </c>
    </row>
    <row r="17" spans="1:8">
      <c r="A17" s="96">
        <v>10</v>
      </c>
      <c r="B17" s="1" t="s">
        <v>59</v>
      </c>
      <c r="C17" s="598">
        <v>2821701.683387937</v>
      </c>
      <c r="D17" s="598"/>
      <c r="E17" s="598"/>
      <c r="F17" s="598">
        <v>2776183.1313061146</v>
      </c>
      <c r="G17" s="599">
        <v>2776183.1313061146</v>
      </c>
      <c r="H17" s="600">
        <f t="shared" si="0"/>
        <v>0.98386840382532237</v>
      </c>
    </row>
    <row r="18" spans="1:8">
      <c r="A18" s="96">
        <v>11</v>
      </c>
      <c r="B18" s="1" t="s">
        <v>60</v>
      </c>
      <c r="C18" s="598"/>
      <c r="D18" s="598"/>
      <c r="E18" s="598"/>
      <c r="F18" s="598"/>
      <c r="G18" s="599"/>
      <c r="H18" s="600">
        <f t="shared" si="0"/>
        <v>0</v>
      </c>
    </row>
    <row r="19" spans="1:8">
      <c r="A19" s="96">
        <v>12</v>
      </c>
      <c r="B19" s="1" t="s">
        <v>61</v>
      </c>
      <c r="C19" s="598"/>
      <c r="D19" s="598"/>
      <c r="E19" s="598"/>
      <c r="F19" s="598"/>
      <c r="G19" s="599"/>
      <c r="H19" s="600">
        <f t="shared" si="0"/>
        <v>0</v>
      </c>
    </row>
    <row r="20" spans="1:8">
      <c r="A20" s="96">
        <v>13</v>
      </c>
      <c r="B20" s="1" t="s">
        <v>145</v>
      </c>
      <c r="C20" s="598"/>
      <c r="D20" s="598"/>
      <c r="E20" s="598"/>
      <c r="F20" s="598"/>
      <c r="G20" s="599"/>
      <c r="H20" s="600">
        <f t="shared" si="0"/>
        <v>0</v>
      </c>
    </row>
    <row r="21" spans="1:8">
      <c r="A21" s="96">
        <v>14</v>
      </c>
      <c r="B21" s="1" t="s">
        <v>63</v>
      </c>
      <c r="C21" s="598">
        <v>190194861.59999999</v>
      </c>
      <c r="D21" s="598"/>
      <c r="E21" s="598"/>
      <c r="F21" s="598">
        <v>103967182.5</v>
      </c>
      <c r="G21" s="599">
        <v>103967182.5</v>
      </c>
      <c r="H21" s="600">
        <f t="shared" si="0"/>
        <v>0.54663507534001643</v>
      </c>
    </row>
    <row r="22" spans="1:8" ht="14.4" thickBot="1">
      <c r="A22" s="99"/>
      <c r="B22" s="100" t="s">
        <v>64</v>
      </c>
      <c r="C22" s="186">
        <f>SUM(C8:C21)</f>
        <v>2669952964.9895344</v>
      </c>
      <c r="D22" s="186">
        <f>SUM(D8:D21)</f>
        <v>75756447.673735991</v>
      </c>
      <c r="E22" s="186">
        <f>SUM(E8:E21)</f>
        <v>36891901.596867993</v>
      </c>
      <c r="F22" s="186">
        <f>SUM(F8:F21)</f>
        <v>1823066150.9789338</v>
      </c>
      <c r="G22" s="186">
        <f>SUM(G8:G21)</f>
        <v>1823066150.9789338</v>
      </c>
      <c r="H22" s="187">
        <f>G22/(C22+E22)</f>
        <v>0.67350226586054762</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80" zoomScaleNormal="80" workbookViewId="0">
      <pane xSplit="2" ySplit="6" topLeftCell="C7" activePane="bottomRight" state="frozen"/>
      <selection pane="topRight" activeCell="C1" sqref="C1"/>
      <selection pane="bottomLeft" activeCell="A6" sqref="A6"/>
      <selection pane="bottomRight" activeCell="M22" sqref="M22"/>
    </sheetView>
  </sheetViews>
  <sheetFormatPr defaultColWidth="9.21875" defaultRowHeight="13.8"/>
  <cols>
    <col min="1" max="1" width="10.5546875" style="160" bestFit="1" customWidth="1"/>
    <col min="2" max="2" width="104.21875" style="160" customWidth="1"/>
    <col min="3" max="11" width="12.77734375" style="160" customWidth="1"/>
    <col min="12" max="16384" width="9.21875" style="160"/>
  </cols>
  <sheetData>
    <row r="1" spans="1:11">
      <c r="A1" s="160" t="s">
        <v>30</v>
      </c>
      <c r="B1" s="3" t="str">
        <f>'Info '!C2</f>
        <v>JSC "CREDOBANK"</v>
      </c>
    </row>
    <row r="2" spans="1:11">
      <c r="A2" s="160" t="s">
        <v>31</v>
      </c>
      <c r="B2" s="312">
        <f>'1. key ratios '!B2</f>
        <v>45473</v>
      </c>
    </row>
    <row r="4" spans="1:11" ht="14.4" thickBot="1">
      <c r="A4" s="160" t="s">
        <v>147</v>
      </c>
      <c r="B4" s="223" t="s">
        <v>254</v>
      </c>
    </row>
    <row r="5" spans="1:11" ht="30" customHeight="1">
      <c r="A5" s="721"/>
      <c r="B5" s="722"/>
      <c r="C5" s="723" t="s">
        <v>306</v>
      </c>
      <c r="D5" s="723"/>
      <c r="E5" s="723"/>
      <c r="F5" s="723" t="s">
        <v>307</v>
      </c>
      <c r="G5" s="723"/>
      <c r="H5" s="723"/>
      <c r="I5" s="723" t="s">
        <v>308</v>
      </c>
      <c r="J5" s="723"/>
      <c r="K5" s="724"/>
    </row>
    <row r="6" spans="1:11">
      <c r="A6" s="197"/>
      <c r="B6" s="198"/>
      <c r="C6" s="16" t="s">
        <v>32</v>
      </c>
      <c r="D6" s="16" t="s">
        <v>33</v>
      </c>
      <c r="E6" s="16" t="s">
        <v>34</v>
      </c>
      <c r="F6" s="16" t="s">
        <v>32</v>
      </c>
      <c r="G6" s="16" t="s">
        <v>33</v>
      </c>
      <c r="H6" s="16" t="s">
        <v>34</v>
      </c>
      <c r="I6" s="16" t="s">
        <v>32</v>
      </c>
      <c r="J6" s="16" t="s">
        <v>33</v>
      </c>
      <c r="K6" s="16" t="s">
        <v>34</v>
      </c>
    </row>
    <row r="7" spans="1:11">
      <c r="A7" s="199" t="s">
        <v>257</v>
      </c>
      <c r="B7" s="200"/>
      <c r="C7" s="200"/>
      <c r="D7" s="200"/>
      <c r="E7" s="200"/>
      <c r="F7" s="200"/>
      <c r="G7" s="200"/>
      <c r="H7" s="200"/>
      <c r="I7" s="200"/>
      <c r="J7" s="200"/>
      <c r="K7" s="201"/>
    </row>
    <row r="8" spans="1:11">
      <c r="A8" s="202">
        <v>1</v>
      </c>
      <c r="B8" s="203" t="s">
        <v>255</v>
      </c>
      <c r="C8" s="204"/>
      <c r="D8" s="204"/>
      <c r="E8" s="204"/>
      <c r="F8" s="607">
        <v>175292360.76043952</v>
      </c>
      <c r="G8" s="607">
        <v>147640447.99054936</v>
      </c>
      <c r="H8" s="607">
        <f>F8+G8</f>
        <v>322932808.75098884</v>
      </c>
      <c r="I8" s="607">
        <v>105049355.89977057</v>
      </c>
      <c r="J8" s="607">
        <v>81742408.177143395</v>
      </c>
      <c r="K8" s="569">
        <f>I8+J8</f>
        <v>186791764.07691395</v>
      </c>
    </row>
    <row r="9" spans="1:11">
      <c r="A9" s="199" t="s">
        <v>258</v>
      </c>
      <c r="B9" s="200"/>
      <c r="C9" s="200"/>
      <c r="D9" s="200"/>
      <c r="E9" s="200"/>
      <c r="F9" s="200"/>
      <c r="G9" s="200"/>
      <c r="H9" s="200"/>
      <c r="I9" s="200"/>
      <c r="J9" s="200"/>
      <c r="K9" s="201"/>
    </row>
    <row r="10" spans="1:11">
      <c r="A10" s="205">
        <v>2</v>
      </c>
      <c r="B10" s="206" t="s">
        <v>266</v>
      </c>
      <c r="C10" s="569">
        <v>288827161.83030033</v>
      </c>
      <c r="D10" s="601">
        <v>266443919.71674463</v>
      </c>
      <c r="E10" s="601">
        <f>C10+D10</f>
        <v>555271081.54704499</v>
      </c>
      <c r="F10" s="601">
        <v>67005477.95252312</v>
      </c>
      <c r="G10" s="601">
        <v>82680192.03312479</v>
      </c>
      <c r="H10" s="601">
        <f t="shared" ref="H10:H15" si="0">F10+G10</f>
        <v>149685669.98564792</v>
      </c>
      <c r="I10" s="601">
        <v>14441358.091515018</v>
      </c>
      <c r="J10" s="601">
        <v>13322195.985837234</v>
      </c>
      <c r="K10" s="569">
        <f t="shared" ref="K10:K15" si="1">I10+J10</f>
        <v>27763554.077352252</v>
      </c>
    </row>
    <row r="11" spans="1:11">
      <c r="A11" s="205">
        <v>3</v>
      </c>
      <c r="B11" s="206" t="s">
        <v>260</v>
      </c>
      <c r="C11" s="569">
        <v>181541215.24142167</v>
      </c>
      <c r="D11" s="601">
        <v>31251319.525055677</v>
      </c>
      <c r="E11" s="601">
        <f t="shared" ref="E11:E15" si="2">C11+D11</f>
        <v>212792534.76647735</v>
      </c>
      <c r="F11" s="601">
        <v>101587457.34735438</v>
      </c>
      <c r="G11" s="601">
        <v>19270257.705784343</v>
      </c>
      <c r="H11" s="601">
        <f t="shared" si="0"/>
        <v>120857715.05313873</v>
      </c>
      <c r="I11" s="601">
        <v>99036482.041566819</v>
      </c>
      <c r="J11" s="601">
        <v>22745898.231550299</v>
      </c>
      <c r="K11" s="569">
        <f t="shared" si="1"/>
        <v>121782380.27311713</v>
      </c>
    </row>
    <row r="12" spans="1:11">
      <c r="A12" s="205">
        <v>4</v>
      </c>
      <c r="B12" s="206" t="s">
        <v>261</v>
      </c>
      <c r="C12" s="569">
        <v>23994444.444444444</v>
      </c>
      <c r="D12" s="601">
        <v>0</v>
      </c>
      <c r="E12" s="601">
        <f t="shared" si="2"/>
        <v>23994444.444444444</v>
      </c>
      <c r="F12" s="601"/>
      <c r="G12" s="601"/>
      <c r="H12" s="601">
        <f t="shared" si="0"/>
        <v>0</v>
      </c>
      <c r="I12" s="601">
        <v>0</v>
      </c>
      <c r="J12" s="601">
        <v>0</v>
      </c>
      <c r="K12" s="569">
        <f t="shared" si="1"/>
        <v>0</v>
      </c>
    </row>
    <row r="13" spans="1:11">
      <c r="A13" s="205">
        <v>5</v>
      </c>
      <c r="B13" s="206" t="s">
        <v>269</v>
      </c>
      <c r="C13" s="569">
        <v>36160873.32730905</v>
      </c>
      <c r="D13" s="601">
        <v>12152425.322575841</v>
      </c>
      <c r="E13" s="601">
        <f t="shared" si="2"/>
        <v>48313298.649884894</v>
      </c>
      <c r="F13" s="601">
        <v>10851300.907867035</v>
      </c>
      <c r="G13" s="601">
        <v>3647244.6882230788</v>
      </c>
      <c r="H13" s="601">
        <f t="shared" si="0"/>
        <v>14498545.596090114</v>
      </c>
      <c r="I13" s="601">
        <v>1808043.6663654526</v>
      </c>
      <c r="J13" s="601">
        <v>607621.26612879208</v>
      </c>
      <c r="K13" s="569">
        <f t="shared" si="1"/>
        <v>2415664.9324942445</v>
      </c>
    </row>
    <row r="14" spans="1:11">
      <c r="A14" s="205">
        <v>6</v>
      </c>
      <c r="B14" s="206" t="s">
        <v>301</v>
      </c>
      <c r="C14" s="569"/>
      <c r="D14" s="601"/>
      <c r="E14" s="601">
        <f t="shared" si="2"/>
        <v>0</v>
      </c>
      <c r="F14" s="601"/>
      <c r="G14" s="601"/>
      <c r="H14" s="601">
        <f t="shared" si="0"/>
        <v>0</v>
      </c>
      <c r="I14" s="601">
        <v>0</v>
      </c>
      <c r="J14" s="601">
        <v>0</v>
      </c>
      <c r="K14" s="569">
        <f t="shared" si="1"/>
        <v>0</v>
      </c>
    </row>
    <row r="15" spans="1:11">
      <c r="A15" s="205">
        <v>7</v>
      </c>
      <c r="B15" s="206" t="s">
        <v>302</v>
      </c>
      <c r="C15" s="569">
        <v>8096526.6285714293</v>
      </c>
      <c r="D15" s="601">
        <v>5126802.130475278</v>
      </c>
      <c r="E15" s="601">
        <f t="shared" si="2"/>
        <v>13223328.759046707</v>
      </c>
      <c r="F15" s="601">
        <v>8096526.6285714293</v>
      </c>
      <c r="G15" s="601">
        <v>5126802.130475278</v>
      </c>
      <c r="H15" s="601">
        <f t="shared" si="0"/>
        <v>13223328.759046707</v>
      </c>
      <c r="I15" s="601">
        <v>8096526.6285714293</v>
      </c>
      <c r="J15" s="601">
        <v>5126802.130475278</v>
      </c>
      <c r="K15" s="569">
        <f t="shared" si="1"/>
        <v>13223328.759046707</v>
      </c>
    </row>
    <row r="16" spans="1:11">
      <c r="A16" s="205">
        <v>8</v>
      </c>
      <c r="B16" s="207" t="s">
        <v>262</v>
      </c>
      <c r="C16" s="570">
        <f>SUM(C10:C15)</f>
        <v>538620221.47204697</v>
      </c>
      <c r="D16" s="570">
        <f t="shared" ref="D16:K16" si="3">SUM(D10:D15)</f>
        <v>314974466.69485146</v>
      </c>
      <c r="E16" s="570">
        <f t="shared" si="3"/>
        <v>853594688.16689837</v>
      </c>
      <c r="F16" s="570">
        <f t="shared" si="3"/>
        <v>187540762.83631596</v>
      </c>
      <c r="G16" s="570">
        <f t="shared" si="3"/>
        <v>110724496.55760749</v>
      </c>
      <c r="H16" s="570">
        <f t="shared" si="3"/>
        <v>298265259.39392352</v>
      </c>
      <c r="I16" s="570">
        <f t="shared" si="3"/>
        <v>123382410.42801873</v>
      </c>
      <c r="J16" s="570">
        <f t="shared" si="3"/>
        <v>41802517.613991603</v>
      </c>
      <c r="K16" s="570">
        <f t="shared" si="3"/>
        <v>165184928.04201034</v>
      </c>
    </row>
    <row r="17" spans="1:11">
      <c r="A17" s="199" t="s">
        <v>259</v>
      </c>
      <c r="B17" s="200"/>
      <c r="C17" s="602"/>
      <c r="D17" s="602"/>
      <c r="E17" s="602"/>
      <c r="F17" s="602"/>
      <c r="G17" s="602"/>
      <c r="H17" s="602"/>
      <c r="I17" s="602"/>
      <c r="J17" s="602"/>
      <c r="K17" s="603"/>
    </row>
    <row r="18" spans="1:11">
      <c r="A18" s="205">
        <v>9</v>
      </c>
      <c r="B18" s="206" t="s">
        <v>265</v>
      </c>
      <c r="C18" s="569"/>
      <c r="D18" s="601"/>
      <c r="E18" s="601"/>
      <c r="F18" s="601"/>
      <c r="G18" s="601"/>
      <c r="H18" s="601"/>
      <c r="I18" s="601"/>
      <c r="J18" s="601"/>
      <c r="K18" s="604"/>
    </row>
    <row r="19" spans="1:11">
      <c r="A19" s="205">
        <v>10</v>
      </c>
      <c r="B19" s="206" t="s">
        <v>303</v>
      </c>
      <c r="C19" s="570">
        <v>87167195.730406091</v>
      </c>
      <c r="D19" s="605">
        <v>2516547.1010092194</v>
      </c>
      <c r="E19" s="605">
        <f>C19+D19</f>
        <v>89683742.831415311</v>
      </c>
      <c r="F19" s="605">
        <v>43583597.865203045</v>
      </c>
      <c r="G19" s="605">
        <v>1258273.5505046097</v>
      </c>
      <c r="H19" s="605">
        <f>F19+G19</f>
        <v>44841871.415707655</v>
      </c>
      <c r="I19" s="605">
        <v>135991200.13900465</v>
      </c>
      <c r="J19" s="605">
        <v>67565530.869974926</v>
      </c>
      <c r="K19" s="570">
        <f>I19+J19</f>
        <v>203556731.00897956</v>
      </c>
    </row>
    <row r="20" spans="1:11">
      <c r="A20" s="205">
        <v>11</v>
      </c>
      <c r="B20" s="206" t="s">
        <v>264</v>
      </c>
      <c r="C20" s="569">
        <v>1546082.3021978021</v>
      </c>
      <c r="D20" s="601"/>
      <c r="E20" s="605">
        <f>C20+D20</f>
        <v>1546082.3021978021</v>
      </c>
      <c r="F20" s="601">
        <v>1546082.3021978021</v>
      </c>
      <c r="G20" s="601">
        <v>0</v>
      </c>
      <c r="H20" s="605">
        <f>F20+G20</f>
        <v>1546082.3021978021</v>
      </c>
      <c r="I20" s="601">
        <v>1546082.3021978021</v>
      </c>
      <c r="J20" s="601">
        <v>0</v>
      </c>
      <c r="K20" s="570">
        <f>I20+J20</f>
        <v>1546082.3021978021</v>
      </c>
    </row>
    <row r="21" spans="1:11" ht="14.4" thickBot="1">
      <c r="A21" s="208">
        <v>12</v>
      </c>
      <c r="B21" s="209" t="s">
        <v>263</v>
      </c>
      <c r="C21" s="606">
        <f t="shared" ref="C21:K21" si="4">SUM(C18:C20)</f>
        <v>88713278.03260389</v>
      </c>
      <c r="D21" s="606">
        <f t="shared" si="4"/>
        <v>2516547.1010092194</v>
      </c>
      <c r="E21" s="606">
        <f t="shared" si="4"/>
        <v>91229825.13361311</v>
      </c>
      <c r="F21" s="606">
        <f t="shared" si="4"/>
        <v>45129680.167400844</v>
      </c>
      <c r="G21" s="606">
        <f t="shared" si="4"/>
        <v>1258273.5505046097</v>
      </c>
      <c r="H21" s="606">
        <f t="shared" si="4"/>
        <v>46387953.717905454</v>
      </c>
      <c r="I21" s="606">
        <f t="shared" si="4"/>
        <v>137537282.44120246</v>
      </c>
      <c r="J21" s="606">
        <f t="shared" si="4"/>
        <v>67565530.869974926</v>
      </c>
      <c r="K21" s="606">
        <f t="shared" si="4"/>
        <v>205102813.31117737</v>
      </c>
    </row>
    <row r="22" spans="1:11" ht="38.25" customHeight="1" thickBot="1">
      <c r="A22" s="210"/>
      <c r="B22" s="211"/>
      <c r="C22" s="211"/>
      <c r="D22" s="211"/>
      <c r="E22" s="211"/>
      <c r="F22" s="725" t="s">
        <v>305</v>
      </c>
      <c r="G22" s="723"/>
      <c r="H22" s="723"/>
      <c r="I22" s="725" t="s">
        <v>270</v>
      </c>
      <c r="J22" s="723"/>
      <c r="K22" s="724"/>
    </row>
    <row r="23" spans="1:11" ht="14.4" thickBot="1">
      <c r="A23" s="212">
        <v>13</v>
      </c>
      <c r="B23" s="213" t="s">
        <v>255</v>
      </c>
      <c r="C23" s="214"/>
      <c r="D23" s="214"/>
      <c r="E23" s="214"/>
      <c r="F23" s="608">
        <f>F8</f>
        <v>175292360.76043952</v>
      </c>
      <c r="G23" s="608">
        <f>G8</f>
        <v>147640447.99054936</v>
      </c>
      <c r="H23" s="609">
        <f>F23+G23</f>
        <v>322932808.75098884</v>
      </c>
      <c r="I23" s="608">
        <f>I8</f>
        <v>105049355.89977057</v>
      </c>
      <c r="J23" s="608">
        <f>J8</f>
        <v>81742408.177143395</v>
      </c>
      <c r="K23" s="610">
        <f>I23+J23</f>
        <v>186791764.07691395</v>
      </c>
    </row>
    <row r="24" spans="1:11" ht="14.4" thickBot="1">
      <c r="A24" s="215">
        <v>14</v>
      </c>
      <c r="B24" s="216" t="s">
        <v>267</v>
      </c>
      <c r="C24" s="217"/>
      <c r="D24" s="218"/>
      <c r="E24" s="219"/>
      <c r="F24" s="611">
        <f>MAX(F16-F21,F16*0.25)</f>
        <v>142411082.66891512</v>
      </c>
      <c r="G24" s="611">
        <f>MAX(G16-G21,G16*0.25)</f>
        <v>109466223.00710288</v>
      </c>
      <c r="H24" s="609">
        <f>F24+G24</f>
        <v>251877305.676018</v>
      </c>
      <c r="I24" s="611">
        <f>MAX(I16-I21,I16*0.25)</f>
        <v>30845602.607004683</v>
      </c>
      <c r="J24" s="611">
        <f>MAX(J16-J21,J16*0.25)</f>
        <v>10450629.403497901</v>
      </c>
      <c r="K24" s="610">
        <f>I24+J24</f>
        <v>41296232.010502584</v>
      </c>
    </row>
    <row r="25" spans="1:11" ht="14.4" thickBot="1">
      <c r="A25" s="220">
        <v>15</v>
      </c>
      <c r="B25" s="221" t="s">
        <v>268</v>
      </c>
      <c r="C25" s="222"/>
      <c r="D25" s="222"/>
      <c r="E25" s="222"/>
      <c r="F25" s="612">
        <f t="shared" ref="F25:K25" si="5">F23/F24</f>
        <v>1.2308898821306522</v>
      </c>
      <c r="G25" s="612">
        <f t="shared" si="5"/>
        <v>1.3487306306436597</v>
      </c>
      <c r="H25" s="612">
        <f t="shared" si="5"/>
        <v>1.2821036332918669</v>
      </c>
      <c r="I25" s="612">
        <f t="shared" si="5"/>
        <v>3.4056509525255656</v>
      </c>
      <c r="J25" s="612">
        <f t="shared" si="5"/>
        <v>7.8217689118115334</v>
      </c>
      <c r="K25" s="613">
        <f t="shared" si="5"/>
        <v>4.523215678113405</v>
      </c>
    </row>
    <row r="27" spans="1:11" ht="27">
      <c r="B27" s="196" t="s">
        <v>304</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80" zoomScaleNormal="80" workbookViewId="0">
      <pane xSplit="1" ySplit="5" topLeftCell="C6" activePane="bottomRight" state="frozen"/>
      <selection pane="topRight" activeCell="B1" sqref="B1"/>
      <selection pane="bottomLeft" activeCell="A5" sqref="A5"/>
      <selection pane="bottomRight" activeCell="K8" sqref="K8"/>
    </sheetView>
  </sheetViews>
  <sheetFormatPr defaultColWidth="9.21875" defaultRowHeight="13.2"/>
  <cols>
    <col min="1" max="1" width="10.5546875" style="4" bestFit="1" customWidth="1"/>
    <col min="2" max="2" width="95" style="4" customWidth="1"/>
    <col min="3" max="3" width="12.5546875" style="4" bestFit="1" customWidth="1"/>
    <col min="4" max="4" width="11.44140625" style="4" customWidth="1"/>
    <col min="5" max="5" width="18.21875" style="4" bestFit="1" customWidth="1"/>
    <col min="6" max="13" width="12.77734375" style="4" customWidth="1"/>
    <col min="14" max="14" width="31" style="4" bestFit="1" customWidth="1"/>
    <col min="15" max="16384" width="9.21875" style="14"/>
  </cols>
  <sheetData>
    <row r="1" spans="1:14">
      <c r="A1" s="4" t="s">
        <v>30</v>
      </c>
      <c r="B1" s="3" t="str">
        <f>'Info '!C2</f>
        <v>JSC "CREDOBANK"</v>
      </c>
    </row>
    <row r="2" spans="1:14" ht="14.25" customHeight="1">
      <c r="A2" s="4" t="s">
        <v>31</v>
      </c>
      <c r="B2" s="312">
        <f>'1. key ratios '!B2</f>
        <v>45473</v>
      </c>
    </row>
    <row r="3" spans="1:14" ht="14.25" customHeight="1"/>
    <row r="4" spans="1:14" ht="13.8" thickBot="1">
      <c r="A4" s="4" t="s">
        <v>163</v>
      </c>
      <c r="B4" s="154" t="s">
        <v>28</v>
      </c>
    </row>
    <row r="5" spans="1:14" s="106" customFormat="1">
      <c r="A5" s="102"/>
      <c r="B5" s="103"/>
      <c r="C5" s="104" t="s">
        <v>0</v>
      </c>
      <c r="D5" s="104" t="s">
        <v>1</v>
      </c>
      <c r="E5" s="104" t="s">
        <v>2</v>
      </c>
      <c r="F5" s="104" t="s">
        <v>3</v>
      </c>
      <c r="G5" s="104" t="s">
        <v>4</v>
      </c>
      <c r="H5" s="104" t="s">
        <v>5</v>
      </c>
      <c r="I5" s="104" t="s">
        <v>8</v>
      </c>
      <c r="J5" s="104" t="s">
        <v>9</v>
      </c>
      <c r="K5" s="104" t="s">
        <v>10</v>
      </c>
      <c r="L5" s="104" t="s">
        <v>11</v>
      </c>
      <c r="M5" s="104" t="s">
        <v>12</v>
      </c>
      <c r="N5" s="105" t="s">
        <v>13</v>
      </c>
    </row>
    <row r="6" spans="1:14" ht="26.4">
      <c r="A6" s="107"/>
      <c r="B6" s="108"/>
      <c r="C6" s="109" t="s">
        <v>162</v>
      </c>
      <c r="D6" s="110" t="s">
        <v>161</v>
      </c>
      <c r="E6" s="111" t="s">
        <v>160</v>
      </c>
      <c r="F6" s="112">
        <v>0</v>
      </c>
      <c r="G6" s="112">
        <v>0.2</v>
      </c>
      <c r="H6" s="112">
        <v>0.35</v>
      </c>
      <c r="I6" s="112">
        <v>0.5</v>
      </c>
      <c r="J6" s="112">
        <v>0.75</v>
      </c>
      <c r="K6" s="112">
        <v>1</v>
      </c>
      <c r="L6" s="112">
        <v>1.5</v>
      </c>
      <c r="M6" s="112">
        <v>2.5</v>
      </c>
      <c r="N6" s="153" t="s">
        <v>169</v>
      </c>
    </row>
    <row r="7" spans="1:14" ht="13.8">
      <c r="A7" s="113">
        <v>1</v>
      </c>
      <c r="B7" s="114" t="s">
        <v>159</v>
      </c>
      <c r="C7" s="115">
        <f>SUM(C8:C13)</f>
        <v>219987866.94999999</v>
      </c>
      <c r="D7" s="108"/>
      <c r="E7" s="116">
        <f t="shared" ref="E7:M7" si="0">SUM(E8:E13)</f>
        <v>4399757.3389999997</v>
      </c>
      <c r="F7" s="117">
        <f>SUM(F8:F13)</f>
        <v>0</v>
      </c>
      <c r="G7" s="117">
        <f t="shared" si="0"/>
        <v>0</v>
      </c>
      <c r="H7" s="117">
        <f t="shared" si="0"/>
        <v>0</v>
      </c>
      <c r="I7" s="117">
        <f t="shared" si="0"/>
        <v>0</v>
      </c>
      <c r="J7" s="117">
        <f t="shared" si="0"/>
        <v>0</v>
      </c>
      <c r="K7" s="117">
        <f t="shared" si="0"/>
        <v>4399757.3389999997</v>
      </c>
      <c r="L7" s="117">
        <f t="shared" si="0"/>
        <v>0</v>
      </c>
      <c r="M7" s="117">
        <f t="shared" si="0"/>
        <v>0</v>
      </c>
      <c r="N7" s="118">
        <f>SUM(N8:N13)</f>
        <v>4399757.3389999997</v>
      </c>
    </row>
    <row r="8" spans="1:14" ht="13.8">
      <c r="A8" s="113">
        <v>1.1000000000000001</v>
      </c>
      <c r="B8" s="119" t="s">
        <v>157</v>
      </c>
      <c r="C8" s="117">
        <v>219987866.94999999</v>
      </c>
      <c r="D8" s="120">
        <v>0.02</v>
      </c>
      <c r="E8" s="116">
        <f>C8*D8</f>
        <v>4399757.3389999997</v>
      </c>
      <c r="F8" s="117"/>
      <c r="G8" s="117"/>
      <c r="H8" s="117"/>
      <c r="I8" s="117"/>
      <c r="J8" s="117"/>
      <c r="K8" s="117">
        <v>4399757.3389999997</v>
      </c>
      <c r="L8" s="117"/>
      <c r="M8" s="117"/>
      <c r="N8" s="118">
        <f>SUMPRODUCT($F$6:$M$6,F8:M8)</f>
        <v>4399757.3389999997</v>
      </c>
    </row>
    <row r="9" spans="1:14" ht="13.8">
      <c r="A9" s="113">
        <v>1.2</v>
      </c>
      <c r="B9" s="119" t="s">
        <v>156</v>
      </c>
      <c r="C9" s="117">
        <v>0</v>
      </c>
      <c r="D9" s="120">
        <v>0.05</v>
      </c>
      <c r="E9" s="116">
        <f>C9*D9</f>
        <v>0</v>
      </c>
      <c r="F9" s="117"/>
      <c r="G9" s="117"/>
      <c r="H9" s="117"/>
      <c r="I9" s="117"/>
      <c r="J9" s="117"/>
      <c r="K9" s="117"/>
      <c r="L9" s="117"/>
      <c r="M9" s="117"/>
      <c r="N9" s="118">
        <f t="shared" ref="N9:N12" si="1">SUMPRODUCT($F$6:$M$6,F9:M9)</f>
        <v>0</v>
      </c>
    </row>
    <row r="10" spans="1:14" ht="13.8">
      <c r="A10" s="113">
        <v>1.3</v>
      </c>
      <c r="B10" s="119" t="s">
        <v>155</v>
      </c>
      <c r="C10" s="117">
        <v>0</v>
      </c>
      <c r="D10" s="120">
        <v>0.08</v>
      </c>
      <c r="E10" s="116">
        <f>C10*D10</f>
        <v>0</v>
      </c>
      <c r="F10" s="117"/>
      <c r="G10" s="117"/>
      <c r="H10" s="117"/>
      <c r="I10" s="117"/>
      <c r="J10" s="117"/>
      <c r="K10" s="117"/>
      <c r="L10" s="117"/>
      <c r="M10" s="117"/>
      <c r="N10" s="118">
        <f>SUMPRODUCT($F$6:$M$6,F10:M10)</f>
        <v>0</v>
      </c>
    </row>
    <row r="11" spans="1:14" ht="13.8">
      <c r="A11" s="113">
        <v>1.4</v>
      </c>
      <c r="B11" s="119" t="s">
        <v>154</v>
      </c>
      <c r="C11" s="117">
        <v>0</v>
      </c>
      <c r="D11" s="120">
        <v>0.11</v>
      </c>
      <c r="E11" s="116">
        <f>C11*D11</f>
        <v>0</v>
      </c>
      <c r="F11" s="117"/>
      <c r="G11" s="117"/>
      <c r="H11" s="117"/>
      <c r="I11" s="117"/>
      <c r="J11" s="117"/>
      <c r="K11" s="117"/>
      <c r="L11" s="117"/>
      <c r="M11" s="117"/>
      <c r="N11" s="118">
        <f t="shared" si="1"/>
        <v>0</v>
      </c>
    </row>
    <row r="12" spans="1:14" ht="13.8">
      <c r="A12" s="113">
        <v>1.5</v>
      </c>
      <c r="B12" s="119" t="s">
        <v>153</v>
      </c>
      <c r="C12" s="117">
        <v>0</v>
      </c>
      <c r="D12" s="120">
        <v>0.14000000000000001</v>
      </c>
      <c r="E12" s="116">
        <f>C12*D12</f>
        <v>0</v>
      </c>
      <c r="F12" s="117"/>
      <c r="G12" s="117"/>
      <c r="H12" s="117"/>
      <c r="I12" s="117"/>
      <c r="J12" s="117"/>
      <c r="K12" s="117"/>
      <c r="L12" s="117"/>
      <c r="M12" s="117"/>
      <c r="N12" s="118">
        <f t="shared" si="1"/>
        <v>0</v>
      </c>
    </row>
    <row r="13" spans="1:14" ht="13.8">
      <c r="A13" s="113">
        <v>1.6</v>
      </c>
      <c r="B13" s="121" t="s">
        <v>152</v>
      </c>
      <c r="C13" s="117">
        <v>0</v>
      </c>
      <c r="D13" s="122"/>
      <c r="E13" s="117"/>
      <c r="F13" s="117"/>
      <c r="G13" s="117"/>
      <c r="H13" s="117"/>
      <c r="I13" s="117"/>
      <c r="J13" s="117"/>
      <c r="K13" s="117"/>
      <c r="L13" s="117"/>
      <c r="M13" s="117"/>
      <c r="N13" s="118">
        <f>SUMPRODUCT($F$6:$M$6,F13:M13)</f>
        <v>0</v>
      </c>
    </row>
    <row r="14" spans="1:14" ht="13.8">
      <c r="A14" s="113">
        <v>2</v>
      </c>
      <c r="B14" s="123" t="s">
        <v>158</v>
      </c>
      <c r="C14" s="115">
        <f>SUM(C15:C20)</f>
        <v>0</v>
      </c>
      <c r="D14" s="108"/>
      <c r="E14" s="116">
        <f t="shared" ref="E14:M14" si="2">SUM(E15:E20)</f>
        <v>0</v>
      </c>
      <c r="F14" s="117">
        <f t="shared" si="2"/>
        <v>0</v>
      </c>
      <c r="G14" s="117">
        <f t="shared" si="2"/>
        <v>0</v>
      </c>
      <c r="H14" s="117">
        <f t="shared" si="2"/>
        <v>0</v>
      </c>
      <c r="I14" s="117">
        <f t="shared" si="2"/>
        <v>0</v>
      </c>
      <c r="J14" s="117">
        <f t="shared" si="2"/>
        <v>0</v>
      </c>
      <c r="K14" s="117">
        <f t="shared" si="2"/>
        <v>0</v>
      </c>
      <c r="L14" s="117">
        <f t="shared" si="2"/>
        <v>0</v>
      </c>
      <c r="M14" s="117">
        <f t="shared" si="2"/>
        <v>0</v>
      </c>
      <c r="N14" s="118">
        <f>SUM(N15:N20)</f>
        <v>0</v>
      </c>
    </row>
    <row r="15" spans="1:14" ht="13.8">
      <c r="A15" s="113">
        <v>2.1</v>
      </c>
      <c r="B15" s="121" t="s">
        <v>157</v>
      </c>
      <c r="C15" s="117"/>
      <c r="D15" s="120">
        <v>5.0000000000000001E-3</v>
      </c>
      <c r="E15" s="116">
        <f>C15*D15</f>
        <v>0</v>
      </c>
      <c r="F15" s="117"/>
      <c r="G15" s="117"/>
      <c r="H15" s="117"/>
      <c r="I15" s="117"/>
      <c r="J15" s="117"/>
      <c r="K15" s="117"/>
      <c r="L15" s="117"/>
      <c r="M15" s="117"/>
      <c r="N15" s="118">
        <f>SUMPRODUCT($F$6:$M$6,F15:M15)</f>
        <v>0</v>
      </c>
    </row>
    <row r="16" spans="1:14" ht="13.8">
      <c r="A16" s="113">
        <v>2.2000000000000002</v>
      </c>
      <c r="B16" s="121" t="s">
        <v>156</v>
      </c>
      <c r="C16" s="117"/>
      <c r="D16" s="120">
        <v>0.01</v>
      </c>
      <c r="E16" s="116">
        <f>C16*D16</f>
        <v>0</v>
      </c>
      <c r="F16" s="117"/>
      <c r="G16" s="117"/>
      <c r="H16" s="117"/>
      <c r="I16" s="117"/>
      <c r="J16" s="117"/>
      <c r="K16" s="117"/>
      <c r="L16" s="117"/>
      <c r="M16" s="117"/>
      <c r="N16" s="118">
        <f t="shared" ref="N16:N20" si="3">SUMPRODUCT($F$6:$M$6,F16:M16)</f>
        <v>0</v>
      </c>
    </row>
    <row r="17" spans="1:14" ht="13.8">
      <c r="A17" s="113">
        <v>2.2999999999999998</v>
      </c>
      <c r="B17" s="121" t="s">
        <v>155</v>
      </c>
      <c r="C17" s="117"/>
      <c r="D17" s="120">
        <v>0.02</v>
      </c>
      <c r="E17" s="116">
        <f>C17*D17</f>
        <v>0</v>
      </c>
      <c r="F17" s="117"/>
      <c r="G17" s="117"/>
      <c r="H17" s="117"/>
      <c r="I17" s="117"/>
      <c r="J17" s="117"/>
      <c r="K17" s="117"/>
      <c r="L17" s="117"/>
      <c r="M17" s="117"/>
      <c r="N17" s="118">
        <f t="shared" si="3"/>
        <v>0</v>
      </c>
    </row>
    <row r="18" spans="1:14" ht="13.8">
      <c r="A18" s="113">
        <v>2.4</v>
      </c>
      <c r="B18" s="121" t="s">
        <v>154</v>
      </c>
      <c r="C18" s="117"/>
      <c r="D18" s="120">
        <v>0.03</v>
      </c>
      <c r="E18" s="116">
        <f>C18*D18</f>
        <v>0</v>
      </c>
      <c r="F18" s="117"/>
      <c r="G18" s="117"/>
      <c r="H18" s="117"/>
      <c r="I18" s="117"/>
      <c r="J18" s="117"/>
      <c r="K18" s="117"/>
      <c r="L18" s="117"/>
      <c r="M18" s="117"/>
      <c r="N18" s="118">
        <f t="shared" si="3"/>
        <v>0</v>
      </c>
    </row>
    <row r="19" spans="1:14" ht="13.8">
      <c r="A19" s="113">
        <v>2.5</v>
      </c>
      <c r="B19" s="121" t="s">
        <v>153</v>
      </c>
      <c r="C19" s="117"/>
      <c r="D19" s="120">
        <v>0.04</v>
      </c>
      <c r="E19" s="116">
        <f>C19*D19</f>
        <v>0</v>
      </c>
      <c r="F19" s="117"/>
      <c r="G19" s="117"/>
      <c r="H19" s="117"/>
      <c r="I19" s="117"/>
      <c r="J19" s="117"/>
      <c r="K19" s="117"/>
      <c r="L19" s="117"/>
      <c r="M19" s="117"/>
      <c r="N19" s="118">
        <f t="shared" si="3"/>
        <v>0</v>
      </c>
    </row>
    <row r="20" spans="1:14" ht="13.8">
      <c r="A20" s="113">
        <v>2.6</v>
      </c>
      <c r="B20" s="121" t="s">
        <v>152</v>
      </c>
      <c r="C20" s="117"/>
      <c r="D20" s="122"/>
      <c r="E20" s="124"/>
      <c r="F20" s="117"/>
      <c r="G20" s="117"/>
      <c r="H20" s="117"/>
      <c r="I20" s="117"/>
      <c r="J20" s="117"/>
      <c r="K20" s="117"/>
      <c r="L20" s="117"/>
      <c r="M20" s="117"/>
      <c r="N20" s="118">
        <f t="shared" si="3"/>
        <v>0</v>
      </c>
    </row>
    <row r="21" spans="1:14" ht="14.4" thickBot="1">
      <c r="A21" s="125"/>
      <c r="B21" s="126" t="s">
        <v>64</v>
      </c>
      <c r="C21" s="101">
        <f>C14+C7</f>
        <v>219987866.94999999</v>
      </c>
      <c r="D21" s="127"/>
      <c r="E21" s="128">
        <f>E14+E7</f>
        <v>4399757.3389999997</v>
      </c>
      <c r="F21" s="129">
        <f>F7+F14</f>
        <v>0</v>
      </c>
      <c r="G21" s="129">
        <f t="shared" ref="G21:L21" si="4">G7+G14</f>
        <v>0</v>
      </c>
      <c r="H21" s="129">
        <f t="shared" si="4"/>
        <v>0</v>
      </c>
      <c r="I21" s="129">
        <f t="shared" si="4"/>
        <v>0</v>
      </c>
      <c r="J21" s="129">
        <f t="shared" si="4"/>
        <v>0</v>
      </c>
      <c r="K21" s="129">
        <f t="shared" si="4"/>
        <v>4399757.3389999997</v>
      </c>
      <c r="L21" s="129">
        <f t="shared" si="4"/>
        <v>0</v>
      </c>
      <c r="M21" s="129">
        <f>M7+M14</f>
        <v>0</v>
      </c>
      <c r="N21" s="130">
        <f>N14+N7</f>
        <v>4399757.3389999997</v>
      </c>
    </row>
    <row r="22" spans="1:14">
      <c r="E22" s="131"/>
      <c r="F22" s="131"/>
      <c r="G22" s="131"/>
      <c r="H22" s="131"/>
      <c r="I22" s="131"/>
      <c r="J22" s="131"/>
      <c r="K22" s="131"/>
      <c r="L22" s="131"/>
      <c r="M22" s="131"/>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topLeftCell="A14" zoomScale="90" zoomScaleNormal="90" workbookViewId="0">
      <selection activeCell="C35" sqref="C35"/>
    </sheetView>
  </sheetViews>
  <sheetFormatPr defaultRowHeight="14.4"/>
  <cols>
    <col min="1" max="1" width="11.44140625" customWidth="1"/>
    <col min="2" max="2" width="76.77734375" style="249" customWidth="1"/>
    <col min="3" max="3" width="22.77734375" customWidth="1"/>
  </cols>
  <sheetData>
    <row r="1" spans="1:3">
      <c r="A1" s="2" t="s">
        <v>30</v>
      </c>
      <c r="B1" s="3" t="str">
        <f>'Info '!C2</f>
        <v>JSC "CREDOBANK"</v>
      </c>
    </row>
    <row r="2" spans="1:3">
      <c r="A2" s="2" t="s">
        <v>31</v>
      </c>
      <c r="B2" s="312">
        <f>'1. key ratios '!B2</f>
        <v>45473</v>
      </c>
    </row>
    <row r="3" spans="1:3">
      <c r="A3" s="4"/>
      <c r="B3"/>
    </row>
    <row r="4" spans="1:3">
      <c r="A4" s="4" t="s">
        <v>309</v>
      </c>
      <c r="B4" t="s">
        <v>310</v>
      </c>
    </row>
    <row r="5" spans="1:3">
      <c r="A5" s="250" t="s">
        <v>311</v>
      </c>
      <c r="B5" s="251"/>
      <c r="C5" s="252"/>
    </row>
    <row r="6" spans="1:3">
      <c r="A6" s="253">
        <v>1</v>
      </c>
      <c r="B6" s="254" t="s">
        <v>362</v>
      </c>
      <c r="C6" s="614">
        <v>2695312037.5339413</v>
      </c>
    </row>
    <row r="7" spans="1:3">
      <c r="A7" s="253">
        <v>2</v>
      </c>
      <c r="B7" s="254" t="s">
        <v>312</v>
      </c>
      <c r="C7" s="614">
        <v>25359073.809999995</v>
      </c>
    </row>
    <row r="8" spans="1:3" ht="24">
      <c r="A8" s="255">
        <v>3</v>
      </c>
      <c r="B8" s="256" t="s">
        <v>313</v>
      </c>
      <c r="C8" s="615">
        <f>C6-C7</f>
        <v>2669952963.7239413</v>
      </c>
    </row>
    <row r="9" spans="1:3">
      <c r="A9" s="250" t="s">
        <v>314</v>
      </c>
      <c r="B9" s="251"/>
      <c r="C9" s="616"/>
    </row>
    <row r="10" spans="1:3">
      <c r="A10" s="258">
        <v>4</v>
      </c>
      <c r="B10" s="259" t="s">
        <v>315</v>
      </c>
      <c r="C10" s="614"/>
    </row>
    <row r="11" spans="1:3">
      <c r="A11" s="258">
        <v>5</v>
      </c>
      <c r="B11" s="260" t="s">
        <v>316</v>
      </c>
      <c r="C11" s="614"/>
    </row>
    <row r="12" spans="1:3">
      <c r="A12" s="258" t="s">
        <v>317</v>
      </c>
      <c r="B12" s="260" t="s">
        <v>318</v>
      </c>
      <c r="C12" s="615">
        <v>4399757.3389999997</v>
      </c>
    </row>
    <row r="13" spans="1:3" ht="22.8">
      <c r="A13" s="261">
        <v>6</v>
      </c>
      <c r="B13" s="259" t="s">
        <v>319</v>
      </c>
      <c r="C13" s="614"/>
    </row>
    <row r="14" spans="1:3">
      <c r="A14" s="261">
        <v>7</v>
      </c>
      <c r="B14" s="262" t="s">
        <v>320</v>
      </c>
      <c r="C14" s="614"/>
    </row>
    <row r="15" spans="1:3">
      <c r="A15" s="263">
        <v>8</v>
      </c>
      <c r="B15" s="264" t="s">
        <v>321</v>
      </c>
      <c r="C15" s="614"/>
    </row>
    <row r="16" spans="1:3">
      <c r="A16" s="261">
        <v>9</v>
      </c>
      <c r="B16" s="262" t="s">
        <v>322</v>
      </c>
      <c r="C16" s="614"/>
    </row>
    <row r="17" spans="1:3">
      <c r="A17" s="261">
        <v>10</v>
      </c>
      <c r="B17" s="262" t="s">
        <v>323</v>
      </c>
      <c r="C17" s="614"/>
    </row>
    <row r="18" spans="1:3">
      <c r="A18" s="265">
        <v>11</v>
      </c>
      <c r="B18" s="266" t="s">
        <v>324</v>
      </c>
      <c r="C18" s="615">
        <f>SUM(C10:C17)</f>
        <v>4399757.3389999997</v>
      </c>
    </row>
    <row r="19" spans="1:3">
      <c r="A19" s="267" t="s">
        <v>325</v>
      </c>
      <c r="B19" s="268"/>
      <c r="C19" s="617"/>
    </row>
    <row r="20" spans="1:3">
      <c r="A20" s="269">
        <v>12</v>
      </c>
      <c r="B20" s="259" t="s">
        <v>326</v>
      </c>
      <c r="C20" s="614"/>
    </row>
    <row r="21" spans="1:3">
      <c r="A21" s="269">
        <v>13</v>
      </c>
      <c r="B21" s="259" t="s">
        <v>327</v>
      </c>
      <c r="C21" s="614"/>
    </row>
    <row r="22" spans="1:3">
      <c r="A22" s="269">
        <v>14</v>
      </c>
      <c r="B22" s="259" t="s">
        <v>328</v>
      </c>
      <c r="C22" s="614"/>
    </row>
    <row r="23" spans="1:3" ht="22.8">
      <c r="A23" s="269" t="s">
        <v>329</v>
      </c>
      <c r="B23" s="259" t="s">
        <v>330</v>
      </c>
      <c r="C23" s="614"/>
    </row>
    <row r="24" spans="1:3">
      <c r="A24" s="269">
        <v>15</v>
      </c>
      <c r="B24" s="259" t="s">
        <v>331</v>
      </c>
      <c r="C24" s="614"/>
    </row>
    <row r="25" spans="1:3">
      <c r="A25" s="269" t="s">
        <v>332</v>
      </c>
      <c r="B25" s="259" t="s">
        <v>333</v>
      </c>
      <c r="C25" s="614"/>
    </row>
    <row r="26" spans="1:3">
      <c r="A26" s="270">
        <v>16</v>
      </c>
      <c r="B26" s="271" t="s">
        <v>334</v>
      </c>
      <c r="C26" s="615">
        <f>SUM(C20:C25)</f>
        <v>0</v>
      </c>
    </row>
    <row r="27" spans="1:3">
      <c r="A27" s="250" t="s">
        <v>335</v>
      </c>
      <c r="B27" s="251"/>
      <c r="C27" s="616"/>
    </row>
    <row r="28" spans="1:3">
      <c r="A28" s="272">
        <v>17</v>
      </c>
      <c r="B28" s="260" t="s">
        <v>336</v>
      </c>
      <c r="C28" s="614">
        <v>75756447.673735991</v>
      </c>
    </row>
    <row r="29" spans="1:3">
      <c r="A29" s="272">
        <v>18</v>
      </c>
      <c r="B29" s="260" t="s">
        <v>337</v>
      </c>
      <c r="C29" s="614">
        <v>-38864545.673735991</v>
      </c>
    </row>
    <row r="30" spans="1:3">
      <c r="A30" s="270">
        <v>19</v>
      </c>
      <c r="B30" s="271" t="s">
        <v>338</v>
      </c>
      <c r="C30" s="615">
        <f>C28+C29</f>
        <v>36891902</v>
      </c>
    </row>
    <row r="31" spans="1:3">
      <c r="A31" s="250" t="s">
        <v>339</v>
      </c>
      <c r="B31" s="251"/>
      <c r="C31" s="616"/>
    </row>
    <row r="32" spans="1:3" ht="22.8">
      <c r="A32" s="272" t="s">
        <v>340</v>
      </c>
      <c r="B32" s="259" t="s">
        <v>341</v>
      </c>
      <c r="C32" s="618"/>
    </row>
    <row r="33" spans="1:3">
      <c r="A33" s="272" t="s">
        <v>342</v>
      </c>
      <c r="B33" s="260" t="s">
        <v>343</v>
      </c>
      <c r="C33" s="618"/>
    </row>
    <row r="34" spans="1:3">
      <c r="A34" s="250" t="s">
        <v>344</v>
      </c>
      <c r="B34" s="251"/>
      <c r="C34" s="616"/>
    </row>
    <row r="35" spans="1:3">
      <c r="A35" s="274">
        <v>20</v>
      </c>
      <c r="B35" s="275" t="s">
        <v>345</v>
      </c>
      <c r="C35" s="615">
        <v>307510915.44</v>
      </c>
    </row>
    <row r="36" spans="1:3">
      <c r="A36" s="270">
        <v>21</v>
      </c>
      <c r="B36" s="271" t="s">
        <v>346</v>
      </c>
      <c r="C36" s="615">
        <f>C8+C18+C26+C30</f>
        <v>2711244623.0629416</v>
      </c>
    </row>
    <row r="37" spans="1:3">
      <c r="A37" s="250" t="s">
        <v>347</v>
      </c>
      <c r="B37" s="251"/>
      <c r="C37" s="616"/>
    </row>
    <row r="38" spans="1:3">
      <c r="A38" s="270">
        <v>22</v>
      </c>
      <c r="B38" s="271" t="s">
        <v>347</v>
      </c>
      <c r="C38" s="619">
        <f>IFERROR(C35/C36,0)</f>
        <v>0.11342057180093157</v>
      </c>
    </row>
    <row r="39" spans="1:3">
      <c r="A39" s="250" t="s">
        <v>348</v>
      </c>
      <c r="B39" s="251"/>
      <c r="C39" s="257"/>
    </row>
    <row r="40" spans="1:3">
      <c r="A40" s="276" t="s">
        <v>349</v>
      </c>
      <c r="B40" s="259" t="s">
        <v>350</v>
      </c>
      <c r="C40" s="273"/>
    </row>
    <row r="41" spans="1:3" ht="22.8">
      <c r="A41" s="277" t="s">
        <v>351</v>
      </c>
      <c r="B41" s="254" t="s">
        <v>352</v>
      </c>
      <c r="C41" s="273"/>
    </row>
    <row r="43" spans="1:3">
      <c r="B43" s="249" t="s">
        <v>363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21" activePane="bottomRight" state="frozen"/>
      <selection pane="topRight" activeCell="C1" sqref="C1"/>
      <selection pane="bottomLeft" activeCell="A6" sqref="A6"/>
      <selection pane="bottomRight" activeCell="C33" sqref="C33"/>
    </sheetView>
  </sheetViews>
  <sheetFormatPr defaultRowHeight="14.4"/>
  <cols>
    <col min="1" max="1" width="8.77734375" style="160"/>
    <col min="2" max="2" width="82.6640625" style="167" customWidth="1"/>
    <col min="3" max="7" width="17.5546875" style="160" customWidth="1"/>
  </cols>
  <sheetData>
    <row r="1" spans="1:7">
      <c r="A1" s="160" t="s">
        <v>30</v>
      </c>
      <c r="B1" s="3" t="str">
        <f>'Info '!C2</f>
        <v>JSC "CREDOBANK"</v>
      </c>
    </row>
    <row r="2" spans="1:7">
      <c r="A2" s="160" t="s">
        <v>31</v>
      </c>
      <c r="B2" s="312">
        <f>'1. key ratios '!B2</f>
        <v>45473</v>
      </c>
    </row>
    <row r="4" spans="1:7" ht="15" thickBot="1">
      <c r="A4" s="160" t="s">
        <v>413</v>
      </c>
      <c r="B4" s="318" t="s">
        <v>374</v>
      </c>
    </row>
    <row r="5" spans="1:7">
      <c r="A5" s="319"/>
      <c r="B5" s="320"/>
      <c r="C5" s="726" t="s">
        <v>375</v>
      </c>
      <c r="D5" s="726"/>
      <c r="E5" s="726"/>
      <c r="F5" s="726"/>
      <c r="G5" s="727" t="s">
        <v>376</v>
      </c>
    </row>
    <row r="6" spans="1:7">
      <c r="A6" s="321"/>
      <c r="B6" s="322"/>
      <c r="C6" s="323" t="s">
        <v>377</v>
      </c>
      <c r="D6" s="323" t="s">
        <v>378</v>
      </c>
      <c r="E6" s="323" t="s">
        <v>379</v>
      </c>
      <c r="F6" s="323" t="s">
        <v>380</v>
      </c>
      <c r="G6" s="728"/>
    </row>
    <row r="7" spans="1:7">
      <c r="A7" s="324"/>
      <c r="B7" s="325" t="s">
        <v>381</v>
      </c>
      <c r="C7" s="326"/>
      <c r="D7" s="326"/>
      <c r="E7" s="326"/>
      <c r="F7" s="326"/>
      <c r="G7" s="327"/>
    </row>
    <row r="8" spans="1:7">
      <c r="A8" s="328">
        <v>1</v>
      </c>
      <c r="B8" s="329" t="s">
        <v>382</v>
      </c>
      <c r="C8" s="620">
        <f>SUM(C9:C10)</f>
        <v>307510915.44</v>
      </c>
      <c r="D8" s="621">
        <f>SUM(D9:D10)</f>
        <v>0</v>
      </c>
      <c r="E8" s="621">
        <f>SUM(E9:E10)</f>
        <v>0</v>
      </c>
      <c r="F8" s="620">
        <f>SUM(F9:F10)</f>
        <v>928177704.7295382</v>
      </c>
      <c r="G8" s="335">
        <f>SUM(G9:G10)</f>
        <v>1235688620.1695383</v>
      </c>
    </row>
    <row r="9" spans="1:7">
      <c r="A9" s="328">
        <v>2</v>
      </c>
      <c r="B9" s="331" t="s">
        <v>383</v>
      </c>
      <c r="C9" s="621">
        <v>307510915.44</v>
      </c>
      <c r="D9" s="621"/>
      <c r="E9" s="621"/>
      <c r="F9" s="621">
        <v>84748628</v>
      </c>
      <c r="G9" s="330">
        <v>392259543.44</v>
      </c>
    </row>
    <row r="10" spans="1:7" ht="27.6">
      <c r="A10" s="328">
        <v>3</v>
      </c>
      <c r="B10" s="331" t="s">
        <v>384</v>
      </c>
      <c r="C10" s="622"/>
      <c r="D10" s="622"/>
      <c r="E10" s="622"/>
      <c r="F10" s="621">
        <v>843429076.7295382</v>
      </c>
      <c r="G10" s="330">
        <v>843429076.7295382</v>
      </c>
    </row>
    <row r="11" spans="1:7" ht="14.55" customHeight="1">
      <c r="A11" s="328">
        <v>4</v>
      </c>
      <c r="B11" s="329" t="s">
        <v>385</v>
      </c>
      <c r="C11" s="620">
        <f t="shared" ref="C11:F11" si="0">SUM(C12:C13)</f>
        <v>257916037.81</v>
      </c>
      <c r="D11" s="620">
        <f t="shared" si="0"/>
        <v>272080674</v>
      </c>
      <c r="E11" s="620">
        <f t="shared" si="0"/>
        <v>152236240</v>
      </c>
      <c r="F11" s="620">
        <f t="shared" si="0"/>
        <v>17821956</v>
      </c>
      <c r="G11" s="335">
        <f>SUM(G12:G13)</f>
        <v>528867954.41543627</v>
      </c>
    </row>
    <row r="12" spans="1:7">
      <c r="A12" s="328">
        <v>5</v>
      </c>
      <c r="B12" s="331" t="s">
        <v>386</v>
      </c>
      <c r="C12" s="621">
        <v>81543882.810000002</v>
      </c>
      <c r="D12" s="569">
        <v>175029465</v>
      </c>
      <c r="E12" s="621">
        <v>127979364</v>
      </c>
      <c r="F12" s="621">
        <v>12870625</v>
      </c>
      <c r="G12" s="330">
        <v>377552168.82830566</v>
      </c>
    </row>
    <row r="13" spans="1:7">
      <c r="A13" s="328">
        <v>6</v>
      </c>
      <c r="B13" s="331" t="s">
        <v>387</v>
      </c>
      <c r="C13" s="621">
        <v>176372155</v>
      </c>
      <c r="D13" s="569">
        <v>97051209</v>
      </c>
      <c r="E13" s="621">
        <v>24256876</v>
      </c>
      <c r="F13" s="621">
        <v>4951331</v>
      </c>
      <c r="G13" s="330">
        <v>151315785.58713061</v>
      </c>
    </row>
    <row r="14" spans="1:7">
      <c r="A14" s="328">
        <v>7</v>
      </c>
      <c r="B14" s="329" t="s">
        <v>388</v>
      </c>
      <c r="C14" s="620">
        <f t="shared" ref="C14:F14" si="1">SUM(C15:C16)</f>
        <v>79055424</v>
      </c>
      <c r="D14" s="620">
        <f t="shared" si="1"/>
        <v>144866565</v>
      </c>
      <c r="E14" s="620">
        <f t="shared" si="1"/>
        <v>232219756</v>
      </c>
      <c r="F14" s="620">
        <f t="shared" si="1"/>
        <v>16755345</v>
      </c>
      <c r="G14" s="330">
        <f>SUM(G15:G16)</f>
        <v>229588711.97682345</v>
      </c>
    </row>
    <row r="15" spans="1:7" ht="41.4">
      <c r="A15" s="328">
        <v>8</v>
      </c>
      <c r="B15" s="331" t="s">
        <v>389</v>
      </c>
      <c r="C15" s="621">
        <v>79055424</v>
      </c>
      <c r="D15" s="623">
        <v>122846898</v>
      </c>
      <c r="E15" s="623">
        <v>118473625</v>
      </c>
      <c r="F15" s="623">
        <v>16755345</v>
      </c>
      <c r="G15" s="624">
        <v>168565646.30909571</v>
      </c>
    </row>
    <row r="16" spans="1:7" ht="27.6">
      <c r="A16" s="328">
        <v>9</v>
      </c>
      <c r="B16" s="331" t="s">
        <v>390</v>
      </c>
      <c r="C16" s="621"/>
      <c r="D16" s="623">
        <v>22019667</v>
      </c>
      <c r="E16" s="621">
        <v>113746131</v>
      </c>
      <c r="F16" s="621"/>
      <c r="G16" s="330">
        <v>61023065.667727746</v>
      </c>
    </row>
    <row r="17" spans="1:7">
      <c r="A17" s="328">
        <v>10</v>
      </c>
      <c r="B17" s="329" t="s">
        <v>391</v>
      </c>
      <c r="C17" s="621"/>
      <c r="D17" s="569"/>
      <c r="E17" s="621"/>
      <c r="F17" s="621"/>
      <c r="G17" s="330"/>
    </row>
    <row r="18" spans="1:7">
      <c r="A18" s="328">
        <v>11</v>
      </c>
      <c r="B18" s="329" t="s">
        <v>392</v>
      </c>
      <c r="C18" s="620">
        <f>SUM(C19:C20)</f>
        <v>47701106.077818215</v>
      </c>
      <c r="D18" s="570">
        <f t="shared" ref="D18:G18" si="2">SUM(D19:D20)</f>
        <v>152006167</v>
      </c>
      <c r="E18" s="620">
        <f t="shared" si="2"/>
        <v>10047421.250420734</v>
      </c>
      <c r="F18" s="620">
        <f t="shared" si="2"/>
        <v>51557651.233749896</v>
      </c>
      <c r="G18" s="330">
        <f t="shared" si="2"/>
        <v>0</v>
      </c>
    </row>
    <row r="19" spans="1:7">
      <c r="A19" s="328">
        <v>12</v>
      </c>
      <c r="B19" s="331" t="s">
        <v>393</v>
      </c>
      <c r="C19" s="622"/>
      <c r="D19" s="569">
        <v>3227465.49</v>
      </c>
      <c r="E19" s="621"/>
      <c r="F19" s="621"/>
      <c r="G19" s="330"/>
    </row>
    <row r="20" spans="1:7">
      <c r="A20" s="328">
        <v>13</v>
      </c>
      <c r="B20" s="331" t="s">
        <v>394</v>
      </c>
      <c r="C20" s="621">
        <v>47701106.077818215</v>
      </c>
      <c r="D20" s="621">
        <v>148778701.50999999</v>
      </c>
      <c r="E20" s="621">
        <v>10047421.250420734</v>
      </c>
      <c r="F20" s="621">
        <v>51557651.233749896</v>
      </c>
      <c r="G20" s="330"/>
    </row>
    <row r="21" spans="1:7">
      <c r="A21" s="333">
        <v>14</v>
      </c>
      <c r="B21" s="334" t="s">
        <v>395</v>
      </c>
      <c r="C21" s="332"/>
      <c r="D21" s="332"/>
      <c r="E21" s="332"/>
      <c r="F21" s="332"/>
      <c r="G21" s="335">
        <f>SUM(G8,G11,G14,G17,G18)</f>
        <v>1994145286.5617981</v>
      </c>
    </row>
    <row r="22" spans="1:7">
      <c r="A22" s="336"/>
      <c r="B22" s="337" t="s">
        <v>396</v>
      </c>
      <c r="C22" s="338"/>
      <c r="D22" s="339"/>
      <c r="E22" s="338"/>
      <c r="F22" s="338"/>
      <c r="G22" s="340"/>
    </row>
    <row r="23" spans="1:7">
      <c r="A23" s="328">
        <v>15</v>
      </c>
      <c r="B23" s="329" t="s">
        <v>397</v>
      </c>
      <c r="C23" s="625">
        <v>153433728.11000001</v>
      </c>
      <c r="D23" s="626">
        <v>171422653</v>
      </c>
      <c r="E23" s="625">
        <v>327891.86048896221</v>
      </c>
      <c r="F23" s="625">
        <v>4677316.8</v>
      </c>
      <c r="G23" s="335">
        <v>2664553.14</v>
      </c>
    </row>
    <row r="24" spans="1:7">
      <c r="A24" s="328">
        <v>16</v>
      </c>
      <c r="B24" s="329" t="s">
        <v>398</v>
      </c>
      <c r="C24" s="620">
        <f>SUM(C25:C27,C29,C31)</f>
        <v>49948474</v>
      </c>
      <c r="D24" s="620">
        <f t="shared" ref="D24:G24" si="3">SUM(D25:D27,D29,D31)</f>
        <v>499568686.50129348</v>
      </c>
      <c r="E24" s="620">
        <f t="shared" si="3"/>
        <v>337282192.30660969</v>
      </c>
      <c r="F24" s="620">
        <f t="shared" si="3"/>
        <v>1282949346.8986728</v>
      </c>
      <c r="G24" s="335">
        <f t="shared" si="3"/>
        <v>1498507993.26246</v>
      </c>
    </row>
    <row r="25" spans="1:7">
      <c r="A25" s="328">
        <v>17</v>
      </c>
      <c r="B25" s="331" t="s">
        <v>399</v>
      </c>
      <c r="C25" s="621"/>
      <c r="D25" s="569"/>
      <c r="E25" s="621"/>
      <c r="F25" s="621"/>
      <c r="G25" s="330"/>
    </row>
    <row r="26" spans="1:7" ht="27.6">
      <c r="A26" s="328">
        <v>18</v>
      </c>
      <c r="B26" s="331" t="s">
        <v>400</v>
      </c>
      <c r="C26" s="621">
        <v>49948474</v>
      </c>
      <c r="D26" s="569"/>
      <c r="E26" s="621"/>
      <c r="F26" s="621"/>
      <c r="G26" s="330">
        <v>7492271.0999999996</v>
      </c>
    </row>
    <row r="27" spans="1:7">
      <c r="A27" s="328">
        <v>19</v>
      </c>
      <c r="B27" s="331" t="s">
        <v>401</v>
      </c>
      <c r="C27" s="621"/>
      <c r="D27" s="569">
        <v>490816046.34153467</v>
      </c>
      <c r="E27" s="621">
        <v>330450482.74835908</v>
      </c>
      <c r="F27" s="621">
        <v>1192378772.1718562</v>
      </c>
      <c r="G27" s="330">
        <v>1424155220.8910246</v>
      </c>
    </row>
    <row r="28" spans="1:7">
      <c r="A28" s="328">
        <v>20</v>
      </c>
      <c r="B28" s="341" t="s">
        <v>402</v>
      </c>
      <c r="C28" s="621"/>
      <c r="D28" s="569"/>
      <c r="E28" s="621"/>
      <c r="F28" s="621"/>
      <c r="G28" s="330"/>
    </row>
    <row r="29" spans="1:7">
      <c r="A29" s="328">
        <v>21</v>
      </c>
      <c r="B29" s="331" t="s">
        <v>403</v>
      </c>
      <c r="C29" s="621"/>
      <c r="D29" s="569">
        <v>8752640.1597588193</v>
      </c>
      <c r="E29" s="621">
        <v>6831709.5582505977</v>
      </c>
      <c r="F29" s="621">
        <v>89583310.526816726</v>
      </c>
      <c r="G29" s="330">
        <v>66021326.701435581</v>
      </c>
    </row>
    <row r="30" spans="1:7">
      <c r="A30" s="328">
        <v>22</v>
      </c>
      <c r="B30" s="341" t="s">
        <v>402</v>
      </c>
      <c r="C30" s="621"/>
      <c r="D30" s="569">
        <v>8752640.1597588193</v>
      </c>
      <c r="E30" s="621">
        <v>6831709.5582505977</v>
      </c>
      <c r="F30" s="621">
        <v>89583310.526816726</v>
      </c>
      <c r="G30" s="330">
        <v>66021326.701435581</v>
      </c>
    </row>
    <row r="31" spans="1:7">
      <c r="A31" s="328">
        <v>23</v>
      </c>
      <c r="B31" s="331" t="s">
        <v>404</v>
      </c>
      <c r="C31" s="621"/>
      <c r="D31" s="569"/>
      <c r="E31" s="621"/>
      <c r="F31" s="621">
        <v>987264.20000000007</v>
      </c>
      <c r="G31" s="330">
        <v>839174.57000000007</v>
      </c>
    </row>
    <row r="32" spans="1:7">
      <c r="A32" s="328">
        <v>24</v>
      </c>
      <c r="B32" s="329" t="s">
        <v>405</v>
      </c>
      <c r="C32" s="621"/>
      <c r="D32" s="569"/>
      <c r="E32" s="621"/>
      <c r="F32" s="621"/>
      <c r="G32" s="330"/>
    </row>
    <row r="33" spans="1:7">
      <c r="A33" s="328">
        <v>25</v>
      </c>
      <c r="B33" s="329" t="s">
        <v>406</v>
      </c>
      <c r="C33" s="620">
        <f>SUM(C34:C35)</f>
        <v>46309270.909999996</v>
      </c>
      <c r="D33" s="620">
        <f>SUM(D34:D35)</f>
        <v>40051950.6287065</v>
      </c>
      <c r="E33" s="620">
        <f>SUM(E34:E35)</f>
        <v>10586350.468619276</v>
      </c>
      <c r="F33" s="620">
        <f>SUM(F34:F35)</f>
        <v>73395105.341327101</v>
      </c>
      <c r="G33" s="330">
        <f>SUM(G34:G35)</f>
        <v>157825940.66999999</v>
      </c>
    </row>
    <row r="34" spans="1:7">
      <c r="A34" s="328">
        <v>26</v>
      </c>
      <c r="B34" s="331" t="s">
        <v>407</v>
      </c>
      <c r="C34" s="622"/>
      <c r="D34" s="569">
        <v>906908.67</v>
      </c>
      <c r="E34" s="621"/>
      <c r="F34" s="621"/>
      <c r="G34" s="330">
        <v>906908.67</v>
      </c>
    </row>
    <row r="35" spans="1:7">
      <c r="A35" s="328">
        <v>27</v>
      </c>
      <c r="B35" s="331" t="s">
        <v>408</v>
      </c>
      <c r="C35" s="621">
        <v>46309270.909999996</v>
      </c>
      <c r="D35" s="569">
        <v>39145041.958706498</v>
      </c>
      <c r="E35" s="621">
        <v>10586350.468619276</v>
      </c>
      <c r="F35" s="621">
        <v>73395105.341327101</v>
      </c>
      <c r="G35" s="330">
        <v>156919032</v>
      </c>
    </row>
    <row r="36" spans="1:7">
      <c r="A36" s="328">
        <v>28</v>
      </c>
      <c r="B36" s="329" t="s">
        <v>409</v>
      </c>
      <c r="C36" s="621">
        <v>48118692</v>
      </c>
      <c r="D36" s="569"/>
      <c r="E36" s="621">
        <v>677</v>
      </c>
      <c r="F36" s="621">
        <v>26666229</v>
      </c>
      <c r="G36" s="330">
        <v>3739279.9000000004</v>
      </c>
    </row>
    <row r="37" spans="1:7">
      <c r="A37" s="333">
        <v>29</v>
      </c>
      <c r="B37" s="334" t="s">
        <v>410</v>
      </c>
      <c r="C37" s="622"/>
      <c r="D37" s="622"/>
      <c r="E37" s="622"/>
      <c r="F37" s="622"/>
      <c r="G37" s="335">
        <f>SUM(G23:G24,G32:G33,G36)</f>
        <v>1662737766.9724603</v>
      </c>
    </row>
    <row r="38" spans="1:7">
      <c r="A38" s="324"/>
      <c r="B38" s="342"/>
      <c r="C38" s="343"/>
      <c r="D38" s="343"/>
      <c r="E38" s="343"/>
      <c r="F38" s="343"/>
      <c r="G38" s="344"/>
    </row>
    <row r="39" spans="1:7" ht="15" thickBot="1">
      <c r="A39" s="345">
        <v>30</v>
      </c>
      <c r="B39" s="346" t="s">
        <v>411</v>
      </c>
      <c r="C39" s="217"/>
      <c r="D39" s="218"/>
      <c r="E39" s="218"/>
      <c r="F39" s="219"/>
      <c r="G39" s="347">
        <f>IFERROR(G21/G37,0)</f>
        <v>1.1993143634385415</v>
      </c>
    </row>
    <row r="42" spans="1:7" ht="41.4">
      <c r="B42" s="167" t="s">
        <v>412</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C8" sqref="C8:G21"/>
    </sheetView>
  </sheetViews>
  <sheetFormatPr defaultColWidth="9.21875" defaultRowHeight="12"/>
  <cols>
    <col min="1" max="1" width="11.77734375" style="352" bestFit="1" customWidth="1"/>
    <col min="2" max="2" width="88.88671875" style="352" customWidth="1"/>
    <col min="3" max="3" width="13.77734375" style="352" bestFit="1" customWidth="1"/>
    <col min="4" max="4" width="12.44140625" style="352" bestFit="1" customWidth="1"/>
    <col min="5" max="5" width="17.33203125" style="352" bestFit="1" customWidth="1"/>
    <col min="6" max="6" width="12.44140625" style="352" bestFit="1" customWidth="1"/>
    <col min="7" max="7" width="30.44140625" style="352" customWidth="1"/>
    <col min="8" max="8" width="14.109375" style="352" bestFit="1" customWidth="1"/>
    <col min="9" max="16384" width="9.21875" style="352"/>
  </cols>
  <sheetData>
    <row r="1" spans="1:8" ht="13.8">
      <c r="A1" s="350" t="s">
        <v>30</v>
      </c>
      <c r="B1" s="433" t="str">
        <f>'Info '!C2</f>
        <v>JSC "CREDOBANK"</v>
      </c>
    </row>
    <row r="2" spans="1:8">
      <c r="A2" s="350" t="s">
        <v>31</v>
      </c>
      <c r="B2" s="432">
        <f>'1. key ratios '!B2</f>
        <v>45473</v>
      </c>
    </row>
    <row r="3" spans="1:8">
      <c r="A3" s="351" t="s">
        <v>417</v>
      </c>
    </row>
    <row r="5" spans="1:8" ht="12" customHeight="1">
      <c r="A5" s="729" t="s">
        <v>418</v>
      </c>
      <c r="B5" s="730"/>
      <c r="C5" s="735" t="s">
        <v>419</v>
      </c>
      <c r="D5" s="736"/>
      <c r="E5" s="736"/>
      <c r="F5" s="736"/>
      <c r="G5" s="736"/>
      <c r="H5" s="737"/>
    </row>
    <row r="6" spans="1:8">
      <c r="A6" s="731"/>
      <c r="B6" s="732"/>
      <c r="C6" s="738"/>
      <c r="D6" s="739"/>
      <c r="E6" s="739"/>
      <c r="F6" s="739"/>
      <c r="G6" s="739"/>
      <c r="H6" s="740"/>
    </row>
    <row r="7" spans="1:8">
      <c r="A7" s="733"/>
      <c r="B7" s="734"/>
      <c r="C7" s="431" t="s">
        <v>420</v>
      </c>
      <c r="D7" s="431" t="s">
        <v>421</v>
      </c>
      <c r="E7" s="431" t="s">
        <v>422</v>
      </c>
      <c r="F7" s="431" t="s">
        <v>423</v>
      </c>
      <c r="G7" s="431" t="s">
        <v>424</v>
      </c>
      <c r="H7" s="431" t="s">
        <v>64</v>
      </c>
    </row>
    <row r="8" spans="1:8">
      <c r="A8" s="427">
        <v>1</v>
      </c>
      <c r="B8" s="426" t="s">
        <v>51</v>
      </c>
      <c r="C8" s="627">
        <v>34611356</v>
      </c>
      <c r="D8" s="627">
        <v>65020356.985508434</v>
      </c>
      <c r="E8" s="627">
        <v>19745284</v>
      </c>
      <c r="F8" s="627"/>
      <c r="G8" s="627">
        <v>88104685</v>
      </c>
      <c r="H8" s="627">
        <f t="shared" ref="H8:H21" si="0">SUM(C8:G8)</f>
        <v>207481681.98550844</v>
      </c>
    </row>
    <row r="9" spans="1:8">
      <c r="A9" s="427">
        <v>2</v>
      </c>
      <c r="B9" s="426" t="s">
        <v>52</v>
      </c>
      <c r="C9" s="627"/>
      <c r="D9" s="627"/>
      <c r="E9" s="627"/>
      <c r="F9" s="627"/>
      <c r="G9" s="627"/>
      <c r="H9" s="627">
        <f t="shared" si="0"/>
        <v>0</v>
      </c>
    </row>
    <row r="10" spans="1:8">
      <c r="A10" s="427">
        <v>3</v>
      </c>
      <c r="B10" s="426" t="s">
        <v>165</v>
      </c>
      <c r="C10" s="627"/>
      <c r="D10" s="627"/>
      <c r="E10" s="627"/>
      <c r="F10" s="627"/>
      <c r="G10" s="627"/>
      <c r="H10" s="627">
        <f t="shared" si="0"/>
        <v>0</v>
      </c>
    </row>
    <row r="11" spans="1:8">
      <c r="A11" s="427">
        <v>4</v>
      </c>
      <c r="B11" s="426" t="s">
        <v>53</v>
      </c>
      <c r="C11" s="627"/>
      <c r="D11" s="627"/>
      <c r="E11" s="627"/>
      <c r="F11" s="627"/>
      <c r="G11" s="627"/>
      <c r="H11" s="627">
        <f t="shared" si="0"/>
        <v>0</v>
      </c>
    </row>
    <row r="12" spans="1:8">
      <c r="A12" s="427">
        <v>5</v>
      </c>
      <c r="B12" s="426" t="s">
        <v>54</v>
      </c>
      <c r="C12" s="627"/>
      <c r="D12" s="627"/>
      <c r="E12" s="627"/>
      <c r="F12" s="627"/>
      <c r="G12" s="627"/>
      <c r="H12" s="627">
        <f t="shared" si="0"/>
        <v>0</v>
      </c>
    </row>
    <row r="13" spans="1:8">
      <c r="A13" s="427">
        <v>6</v>
      </c>
      <c r="B13" s="426" t="s">
        <v>55</v>
      </c>
      <c r="C13" s="627">
        <v>79936717</v>
      </c>
      <c r="D13" s="627"/>
      <c r="E13" s="627"/>
      <c r="F13" s="627"/>
      <c r="G13" s="627"/>
      <c r="H13" s="627">
        <f t="shared" si="0"/>
        <v>79936717</v>
      </c>
    </row>
    <row r="14" spans="1:8">
      <c r="A14" s="427">
        <v>7</v>
      </c>
      <c r="B14" s="426" t="s">
        <v>56</v>
      </c>
      <c r="C14" s="627"/>
      <c r="D14" s="627">
        <v>5162365.7465396235</v>
      </c>
      <c r="E14" s="627">
        <v>12485933.651199119</v>
      </c>
      <c r="F14" s="627">
        <v>30969770.351258311</v>
      </c>
      <c r="G14" s="627"/>
      <c r="H14" s="627">
        <f t="shared" si="0"/>
        <v>48618069.748997055</v>
      </c>
    </row>
    <row r="15" spans="1:8">
      <c r="A15" s="427">
        <v>8</v>
      </c>
      <c r="B15" s="428" t="s">
        <v>57</v>
      </c>
      <c r="C15" s="627">
        <v>17720939.918908935</v>
      </c>
      <c r="D15" s="627">
        <v>326581942.9728713</v>
      </c>
      <c r="E15" s="627">
        <v>1279192676.1658859</v>
      </c>
      <c r="F15" s="627">
        <v>411574546.71815038</v>
      </c>
      <c r="G15" s="627">
        <v>446389.12226065225</v>
      </c>
      <c r="H15" s="627">
        <f t="shared" si="0"/>
        <v>2035516494.8980772</v>
      </c>
    </row>
    <row r="16" spans="1:8">
      <c r="A16" s="427">
        <v>9</v>
      </c>
      <c r="B16" s="426" t="s">
        <v>58</v>
      </c>
      <c r="C16" s="627"/>
      <c r="D16" s="627">
        <v>2647597.6850125319</v>
      </c>
      <c r="E16" s="627">
        <v>31081662.549587641</v>
      </c>
      <c r="F16" s="627">
        <v>74475878.753434345</v>
      </c>
      <c r="G16" s="627"/>
      <c r="H16" s="627">
        <f t="shared" si="0"/>
        <v>108205138.98803452</v>
      </c>
    </row>
    <row r="17" spans="1:8">
      <c r="A17" s="427">
        <v>10</v>
      </c>
      <c r="B17" s="430" t="s">
        <v>432</v>
      </c>
      <c r="C17" s="627">
        <v>1918755.970628419</v>
      </c>
      <c r="D17" s="627">
        <v>5528.8885004269832</v>
      </c>
      <c r="E17" s="627">
        <v>556559.93379253568</v>
      </c>
      <c r="F17" s="627">
        <v>196446.73032886948</v>
      </c>
      <c r="G17" s="627">
        <v>144410.15880546233</v>
      </c>
      <c r="H17" s="627">
        <f t="shared" si="0"/>
        <v>2821701.6820557136</v>
      </c>
    </row>
    <row r="18" spans="1:8">
      <c r="A18" s="427">
        <v>11</v>
      </c>
      <c r="B18" s="426" t="s">
        <v>60</v>
      </c>
      <c r="C18" s="627"/>
      <c r="D18" s="627"/>
      <c r="E18" s="627"/>
      <c r="F18" s="627"/>
      <c r="G18" s="627"/>
      <c r="H18" s="627">
        <f t="shared" si="0"/>
        <v>0</v>
      </c>
    </row>
    <row r="19" spans="1:8">
      <c r="A19" s="427">
        <v>12</v>
      </c>
      <c r="B19" s="426" t="s">
        <v>61</v>
      </c>
      <c r="C19" s="627"/>
      <c r="D19" s="627"/>
      <c r="E19" s="627"/>
      <c r="F19" s="627"/>
      <c r="G19" s="627"/>
      <c r="H19" s="627">
        <f t="shared" si="0"/>
        <v>0</v>
      </c>
    </row>
    <row r="20" spans="1:8">
      <c r="A20" s="429">
        <v>13</v>
      </c>
      <c r="B20" s="428" t="s">
        <v>145</v>
      </c>
      <c r="C20" s="627"/>
      <c r="D20" s="627"/>
      <c r="E20" s="627"/>
      <c r="F20" s="627"/>
      <c r="G20" s="627"/>
      <c r="H20" s="627">
        <f t="shared" si="0"/>
        <v>0</v>
      </c>
    </row>
    <row r="21" spans="1:8">
      <c r="A21" s="427">
        <v>14</v>
      </c>
      <c r="B21" s="426" t="s">
        <v>63</v>
      </c>
      <c r="C21" s="627">
        <v>88834128.109999999</v>
      </c>
      <c r="D21" s="627">
        <v>36795631.430000022</v>
      </c>
      <c r="E21" s="627">
        <v>16518198.929999992</v>
      </c>
      <c r="F21" s="627"/>
      <c r="G21" s="627">
        <v>48046903.510000013</v>
      </c>
      <c r="H21" s="627">
        <f t="shared" si="0"/>
        <v>190194861.98000005</v>
      </c>
    </row>
    <row r="22" spans="1:8">
      <c r="A22" s="425">
        <v>15</v>
      </c>
      <c r="B22" s="424" t="s">
        <v>64</v>
      </c>
      <c r="C22" s="627">
        <f t="shared" ref="C22:H22" si="1">SUM(C18:C21)+SUM(C8:C16)</f>
        <v>221103141.02890894</v>
      </c>
      <c r="D22" s="627">
        <f t="shared" si="1"/>
        <v>436207894.81993186</v>
      </c>
      <c r="E22" s="627">
        <f t="shared" si="1"/>
        <v>1359023755.2966728</v>
      </c>
      <c r="F22" s="627">
        <f t="shared" si="1"/>
        <v>517020195.82284307</v>
      </c>
      <c r="G22" s="627">
        <f t="shared" si="1"/>
        <v>136597977.63226065</v>
      </c>
      <c r="H22" s="627">
        <f t="shared" si="1"/>
        <v>2669952964.6006174</v>
      </c>
    </row>
    <row r="26" spans="1:8" ht="36">
      <c r="B26" s="355" t="s">
        <v>519</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
  <sheetViews>
    <sheetView showGridLines="0" topLeftCell="B1" zoomScale="80" zoomScaleNormal="80" workbookViewId="0">
      <selection activeCell="D23" sqref="D23"/>
    </sheetView>
  </sheetViews>
  <sheetFormatPr defaultColWidth="9.21875" defaultRowHeight="12"/>
  <cols>
    <col min="1" max="1" width="11.77734375" style="434" bestFit="1" customWidth="1"/>
    <col min="2" max="2" width="86.77734375" style="352" customWidth="1"/>
    <col min="3" max="4" width="31.5546875" style="352" customWidth="1"/>
    <col min="5" max="7" width="22.21875" style="352" customWidth="1"/>
    <col min="8" max="8" width="41.44140625" style="352" customWidth="1"/>
    <col min="9" max="16384" width="9.21875" style="352"/>
  </cols>
  <sheetData>
    <row r="1" spans="1:8" ht="13.8">
      <c r="A1" s="350" t="s">
        <v>30</v>
      </c>
      <c r="B1" s="433" t="str">
        <f>'Info '!C2</f>
        <v>JSC "CREDOBANK"</v>
      </c>
      <c r="C1" s="447"/>
      <c r="D1" s="447"/>
      <c r="E1" s="447"/>
      <c r="F1" s="447"/>
      <c r="G1" s="447"/>
      <c r="H1" s="447"/>
    </row>
    <row r="2" spans="1:8">
      <c r="A2" s="350" t="s">
        <v>31</v>
      </c>
      <c r="B2" s="432">
        <f>'1. key ratios '!B2</f>
        <v>45473</v>
      </c>
      <c r="C2" s="447"/>
      <c r="D2" s="447"/>
      <c r="E2" s="447"/>
      <c r="F2" s="447"/>
      <c r="G2" s="447"/>
      <c r="H2" s="447"/>
    </row>
    <row r="3" spans="1:8">
      <c r="A3" s="351" t="s">
        <v>425</v>
      </c>
      <c r="B3" s="447"/>
      <c r="C3" s="447"/>
      <c r="D3" s="447"/>
      <c r="E3" s="447"/>
      <c r="F3" s="447"/>
      <c r="G3" s="447"/>
      <c r="H3" s="447"/>
    </row>
    <row r="4" spans="1:8">
      <c r="A4" s="448"/>
      <c r="B4" s="447"/>
      <c r="C4" s="446" t="s">
        <v>0</v>
      </c>
      <c r="D4" s="446" t="s">
        <v>1</v>
      </c>
      <c r="E4" s="446" t="s">
        <v>2</v>
      </c>
      <c r="F4" s="446" t="s">
        <v>3</v>
      </c>
      <c r="G4" s="446" t="s">
        <v>4</v>
      </c>
      <c r="H4" s="446" t="s">
        <v>5</v>
      </c>
    </row>
    <row r="5" spans="1:8" ht="34.049999999999997" customHeight="1">
      <c r="A5" s="729" t="s">
        <v>426</v>
      </c>
      <c r="B5" s="730"/>
      <c r="C5" s="743" t="s">
        <v>427</v>
      </c>
      <c r="D5" s="743"/>
      <c r="E5" s="743" t="s">
        <v>666</v>
      </c>
      <c r="F5" s="741" t="s">
        <v>428</v>
      </c>
      <c r="G5" s="741" t="s">
        <v>429</v>
      </c>
      <c r="H5" s="444" t="s">
        <v>665</v>
      </c>
    </row>
    <row r="6" spans="1:8" ht="24">
      <c r="A6" s="733"/>
      <c r="B6" s="734"/>
      <c r="C6" s="445" t="s">
        <v>430</v>
      </c>
      <c r="D6" s="445" t="s">
        <v>431</v>
      </c>
      <c r="E6" s="743"/>
      <c r="F6" s="742"/>
      <c r="G6" s="742"/>
      <c r="H6" s="444" t="s">
        <v>664</v>
      </c>
    </row>
    <row r="7" spans="1:8">
      <c r="A7" s="442">
        <v>1</v>
      </c>
      <c r="B7" s="426" t="s">
        <v>51</v>
      </c>
      <c r="C7" s="628"/>
      <c r="D7" s="628">
        <v>207520717.84999999</v>
      </c>
      <c r="E7" s="628">
        <v>39035.134497949999</v>
      </c>
      <c r="F7" s="628"/>
      <c r="G7" s="628"/>
      <c r="H7" s="435">
        <f>C7+D7-E7-F7</f>
        <v>207481682.71550205</v>
      </c>
    </row>
    <row r="8" spans="1:8">
      <c r="A8" s="442">
        <v>2</v>
      </c>
      <c r="B8" s="426" t="s">
        <v>52</v>
      </c>
      <c r="C8" s="628"/>
      <c r="D8" s="628">
        <v>0</v>
      </c>
      <c r="E8" s="628"/>
      <c r="F8" s="628"/>
      <c r="G8" s="628"/>
      <c r="H8" s="435">
        <f t="shared" ref="H8:H20" si="0">C8+D8-E8-F8</f>
        <v>0</v>
      </c>
    </row>
    <row r="9" spans="1:8">
      <c r="A9" s="442">
        <v>3</v>
      </c>
      <c r="B9" s="426" t="s">
        <v>165</v>
      </c>
      <c r="C9" s="628"/>
      <c r="D9" s="628">
        <v>0</v>
      </c>
      <c r="E9" s="628"/>
      <c r="F9" s="628"/>
      <c r="G9" s="628"/>
      <c r="H9" s="435">
        <f t="shared" si="0"/>
        <v>0</v>
      </c>
    </row>
    <row r="10" spans="1:8">
      <c r="A10" s="442">
        <v>4</v>
      </c>
      <c r="B10" s="426" t="s">
        <v>53</v>
      </c>
      <c r="C10" s="628"/>
      <c r="D10" s="628">
        <v>0</v>
      </c>
      <c r="E10" s="628"/>
      <c r="F10" s="628"/>
      <c r="G10" s="628"/>
      <c r="H10" s="435">
        <f t="shared" si="0"/>
        <v>0</v>
      </c>
    </row>
    <row r="11" spans="1:8">
      <c r="A11" s="442">
        <v>5</v>
      </c>
      <c r="B11" s="426" t="s">
        <v>54</v>
      </c>
      <c r="C11" s="628"/>
      <c r="D11" s="628">
        <v>0</v>
      </c>
      <c r="E11" s="628"/>
      <c r="F11" s="628"/>
      <c r="G11" s="628"/>
      <c r="H11" s="435">
        <f t="shared" si="0"/>
        <v>0</v>
      </c>
    </row>
    <row r="12" spans="1:8">
      <c r="A12" s="442">
        <v>6</v>
      </c>
      <c r="B12" s="426" t="s">
        <v>55</v>
      </c>
      <c r="C12" s="628"/>
      <c r="D12" s="628">
        <v>79949490.349599123</v>
      </c>
      <c r="E12" s="628">
        <v>12773.425101163799</v>
      </c>
      <c r="F12" s="628"/>
      <c r="G12" s="628"/>
      <c r="H12" s="435">
        <f t="shared" si="0"/>
        <v>79936716.924497962</v>
      </c>
    </row>
    <row r="13" spans="1:8">
      <c r="A13" s="442">
        <v>7</v>
      </c>
      <c r="B13" s="426" t="s">
        <v>56</v>
      </c>
      <c r="C13" s="628">
        <v>0</v>
      </c>
      <c r="D13" s="628">
        <v>48770680.618865773</v>
      </c>
      <c r="E13" s="628">
        <v>152610.86986873974</v>
      </c>
      <c r="F13" s="628"/>
      <c r="G13" s="628"/>
      <c r="H13" s="435">
        <f t="shared" si="0"/>
        <v>48618069.748997033</v>
      </c>
    </row>
    <row r="14" spans="1:8">
      <c r="A14" s="442">
        <v>8</v>
      </c>
      <c r="B14" s="428" t="s">
        <v>57</v>
      </c>
      <c r="C14" s="628">
        <v>19284257.649895202</v>
      </c>
      <c r="D14" s="628">
        <v>2064022419.4325526</v>
      </c>
      <c r="E14" s="628">
        <v>47881219.288391367</v>
      </c>
      <c r="F14" s="628"/>
      <c r="G14" s="628">
        <v>18013501.248310156</v>
      </c>
      <c r="H14" s="435">
        <f t="shared" si="0"/>
        <v>2035425457.7940564</v>
      </c>
    </row>
    <row r="15" spans="1:8">
      <c r="A15" s="442">
        <v>9</v>
      </c>
      <c r="B15" s="426" t="s">
        <v>58</v>
      </c>
      <c r="C15" s="628">
        <v>347068.57373173104</v>
      </c>
      <c r="D15" s="628">
        <v>108938079.18959498</v>
      </c>
      <c r="E15" s="628">
        <v>988971.67112837662</v>
      </c>
      <c r="F15" s="628"/>
      <c r="G15" s="628">
        <v>25785.205352999998</v>
      </c>
      <c r="H15" s="435">
        <f t="shared" si="0"/>
        <v>108296176.09219834</v>
      </c>
    </row>
    <row r="16" spans="1:8">
      <c r="A16" s="442">
        <v>10</v>
      </c>
      <c r="B16" s="430" t="s">
        <v>432</v>
      </c>
      <c r="C16" s="628">
        <v>19521634.883597218</v>
      </c>
      <c r="D16" s="628">
        <v>0</v>
      </c>
      <c r="E16" s="628">
        <v>16699933.201541385</v>
      </c>
      <c r="F16" s="628"/>
      <c r="G16" s="628">
        <v>18039286.453663155</v>
      </c>
      <c r="H16" s="435">
        <f t="shared" si="0"/>
        <v>2821701.6820558328</v>
      </c>
    </row>
    <row r="17" spans="1:8">
      <c r="A17" s="442">
        <v>11</v>
      </c>
      <c r="B17" s="426" t="s">
        <v>60</v>
      </c>
      <c r="C17" s="628"/>
      <c r="D17" s="628"/>
      <c r="E17" s="628"/>
      <c r="F17" s="628"/>
      <c r="G17" s="628"/>
      <c r="H17" s="435">
        <f t="shared" si="0"/>
        <v>0</v>
      </c>
    </row>
    <row r="18" spans="1:8">
      <c r="A18" s="442">
        <v>12</v>
      </c>
      <c r="B18" s="426" t="s">
        <v>61</v>
      </c>
      <c r="C18" s="628"/>
      <c r="D18" s="628"/>
      <c r="E18" s="628"/>
      <c r="F18" s="628"/>
      <c r="G18" s="628"/>
      <c r="H18" s="435">
        <f t="shared" si="0"/>
        <v>0</v>
      </c>
    </row>
    <row r="19" spans="1:8">
      <c r="A19" s="443">
        <v>13</v>
      </c>
      <c r="B19" s="428" t="s">
        <v>145</v>
      </c>
      <c r="C19" s="628"/>
      <c r="D19" s="628"/>
      <c r="E19" s="628"/>
      <c r="F19" s="628"/>
      <c r="G19" s="628"/>
      <c r="H19" s="435">
        <f t="shared" si="0"/>
        <v>0</v>
      </c>
    </row>
    <row r="20" spans="1:8">
      <c r="A20" s="442">
        <v>14</v>
      </c>
      <c r="B20" s="426" t="s">
        <v>63</v>
      </c>
      <c r="C20" s="628"/>
      <c r="D20" s="628">
        <v>220712671.50999999</v>
      </c>
      <c r="E20" s="628">
        <v>5158736.4800000004</v>
      </c>
      <c r="F20" s="628"/>
      <c r="G20" s="628"/>
      <c r="H20" s="435">
        <f t="shared" si="0"/>
        <v>215553935.03</v>
      </c>
    </row>
    <row r="21" spans="1:8" s="439" customFormat="1">
      <c r="A21" s="441">
        <v>15</v>
      </c>
      <c r="B21" s="440" t="s">
        <v>64</v>
      </c>
      <c r="C21" s="629">
        <f t="shared" ref="C21:G21" si="1">SUM(C7:C15)+SUM(C17:C20)</f>
        <v>19631326.223626934</v>
      </c>
      <c r="D21" s="629">
        <f t="shared" si="1"/>
        <v>2729914058.950613</v>
      </c>
      <c r="E21" s="629">
        <f t="shared" si="1"/>
        <v>54233346.868987605</v>
      </c>
      <c r="F21" s="629">
        <f t="shared" si="1"/>
        <v>0</v>
      </c>
      <c r="G21" s="629">
        <f t="shared" si="1"/>
        <v>18039286.453663155</v>
      </c>
      <c r="H21" s="435">
        <f t="shared" ref="H21" si="2">SUM(H7:H15)+SUM(H17:H20)</f>
        <v>2695312038.3052521</v>
      </c>
    </row>
    <row r="22" spans="1:8">
      <c r="A22" s="438">
        <v>16</v>
      </c>
      <c r="B22" s="437" t="s">
        <v>433</v>
      </c>
      <c r="C22" s="628">
        <f>C14+C15</f>
        <v>19631326.223626934</v>
      </c>
      <c r="D22" s="628">
        <f>SUM(D13:D15)</f>
        <v>2221731179.2410135</v>
      </c>
      <c r="E22" s="628">
        <f>SUM(E13:E15)</f>
        <v>49022801.829388484</v>
      </c>
      <c r="F22" s="628"/>
      <c r="G22" s="628"/>
      <c r="H22" s="435">
        <f>C22+D22-E22-F22</f>
        <v>2192339703.635252</v>
      </c>
    </row>
    <row r="23" spans="1:8">
      <c r="A23" s="438">
        <v>17</v>
      </c>
      <c r="B23" s="437" t="s">
        <v>434</v>
      </c>
      <c r="C23" s="628"/>
      <c r="D23" s="628">
        <v>19745284.289999999</v>
      </c>
      <c r="E23" s="628"/>
      <c r="F23" s="628"/>
      <c r="G23" s="628"/>
      <c r="H23" s="435">
        <f>C23+D23-E23-F23</f>
        <v>19745284.289999999</v>
      </c>
    </row>
    <row r="26" spans="1:8" ht="42.45" customHeight="1">
      <c r="B26" s="355" t="s">
        <v>519</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topLeftCell="A3" zoomScale="80" zoomScaleNormal="80" workbookViewId="0">
      <selection activeCell="C34" sqref="C34:D34"/>
    </sheetView>
  </sheetViews>
  <sheetFormatPr defaultColWidth="9.21875" defaultRowHeight="12"/>
  <cols>
    <col min="1" max="1" width="11" style="352" bestFit="1" customWidth="1"/>
    <col min="2" max="2" width="93.44140625" style="352" customWidth="1"/>
    <col min="3" max="4" width="35" style="352" customWidth="1"/>
    <col min="5" max="7" width="22" style="352" customWidth="1"/>
    <col min="8" max="8" width="42.21875" style="352" bestFit="1" customWidth="1"/>
    <col min="9" max="16384" width="9.21875" style="352"/>
  </cols>
  <sheetData>
    <row r="1" spans="1:8" ht="13.8">
      <c r="A1" s="350" t="s">
        <v>30</v>
      </c>
      <c r="B1" s="433" t="str">
        <f>'Info '!C2</f>
        <v>JSC "CREDOBANK"</v>
      </c>
      <c r="C1" s="447"/>
      <c r="D1" s="447"/>
      <c r="E1" s="447"/>
      <c r="F1" s="447"/>
      <c r="G1" s="447"/>
      <c r="H1" s="447"/>
    </row>
    <row r="2" spans="1:8">
      <c r="A2" s="350" t="s">
        <v>31</v>
      </c>
      <c r="B2" s="432">
        <f>'1. key ratios '!B2</f>
        <v>45473</v>
      </c>
      <c r="C2" s="447"/>
      <c r="D2" s="447"/>
      <c r="E2" s="447"/>
      <c r="F2" s="447"/>
      <c r="G2" s="447"/>
      <c r="H2" s="447"/>
    </row>
    <row r="3" spans="1:8">
      <c r="A3" s="351" t="s">
        <v>435</v>
      </c>
      <c r="B3" s="447"/>
      <c r="C3" s="447"/>
      <c r="D3" s="447"/>
      <c r="E3" s="447"/>
      <c r="F3" s="447"/>
      <c r="G3" s="447"/>
      <c r="H3" s="447"/>
    </row>
    <row r="4" spans="1:8">
      <c r="A4" s="448"/>
      <c r="B4" s="447"/>
      <c r="C4" s="446" t="s">
        <v>0</v>
      </c>
      <c r="D4" s="446" t="s">
        <v>1</v>
      </c>
      <c r="E4" s="446" t="s">
        <v>2</v>
      </c>
      <c r="F4" s="446" t="s">
        <v>3</v>
      </c>
      <c r="G4" s="446" t="s">
        <v>4</v>
      </c>
      <c r="H4" s="446" t="s">
        <v>5</v>
      </c>
    </row>
    <row r="5" spans="1:8" ht="41.55" customHeight="1">
      <c r="A5" s="729" t="s">
        <v>426</v>
      </c>
      <c r="B5" s="730"/>
      <c r="C5" s="743" t="s">
        <v>427</v>
      </c>
      <c r="D5" s="743"/>
      <c r="E5" s="743" t="s">
        <v>666</v>
      </c>
      <c r="F5" s="741" t="s">
        <v>428</v>
      </c>
      <c r="G5" s="741" t="s">
        <v>429</v>
      </c>
      <c r="H5" s="444" t="s">
        <v>665</v>
      </c>
    </row>
    <row r="6" spans="1:8" ht="24">
      <c r="A6" s="733"/>
      <c r="B6" s="734"/>
      <c r="C6" s="445" t="s">
        <v>430</v>
      </c>
      <c r="D6" s="445" t="s">
        <v>431</v>
      </c>
      <c r="E6" s="743"/>
      <c r="F6" s="742"/>
      <c r="G6" s="742"/>
      <c r="H6" s="444" t="s">
        <v>664</v>
      </c>
    </row>
    <row r="7" spans="1:8">
      <c r="A7" s="436">
        <v>1</v>
      </c>
      <c r="B7" s="451" t="s">
        <v>523</v>
      </c>
      <c r="C7" s="628">
        <v>105539.35</v>
      </c>
      <c r="D7" s="628">
        <v>228677729.10999998</v>
      </c>
      <c r="E7" s="628">
        <v>416193.3844979509</v>
      </c>
      <c r="F7" s="628"/>
      <c r="G7" s="628">
        <v>75610.780000000013</v>
      </c>
      <c r="H7" s="435">
        <f t="shared" ref="H7:H34" si="0">C7+D7-E7-F7</f>
        <v>228367075.07550204</v>
      </c>
    </row>
    <row r="8" spans="1:8">
      <c r="A8" s="436">
        <v>2</v>
      </c>
      <c r="B8" s="451" t="s">
        <v>436</v>
      </c>
      <c r="C8" s="628">
        <v>53096.33</v>
      </c>
      <c r="D8" s="628">
        <v>92718110.799599126</v>
      </c>
      <c r="E8" s="628">
        <v>234791.93510116381</v>
      </c>
      <c r="F8" s="628"/>
      <c r="G8" s="628">
        <v>10029.740000000002</v>
      </c>
      <c r="H8" s="435">
        <f t="shared" si="0"/>
        <v>92536415.194497958</v>
      </c>
    </row>
    <row r="9" spans="1:8">
      <c r="A9" s="436">
        <v>3</v>
      </c>
      <c r="B9" s="451" t="s">
        <v>437</v>
      </c>
      <c r="C9" s="628">
        <v>25043.67</v>
      </c>
      <c r="D9" s="628">
        <v>6021120.7700000005</v>
      </c>
      <c r="E9" s="628">
        <v>126348.14</v>
      </c>
      <c r="F9" s="628"/>
      <c r="G9" s="628">
        <v>40146.329999999994</v>
      </c>
      <c r="H9" s="435">
        <f t="shared" si="0"/>
        <v>5919816.3000000007</v>
      </c>
    </row>
    <row r="10" spans="1:8">
      <c r="A10" s="436">
        <v>4</v>
      </c>
      <c r="B10" s="451" t="s">
        <v>524</v>
      </c>
      <c r="C10" s="628">
        <v>128194.35</v>
      </c>
      <c r="D10" s="628">
        <v>16297321.09</v>
      </c>
      <c r="E10" s="628">
        <v>155922.84</v>
      </c>
      <c r="F10" s="628"/>
      <c r="G10" s="628">
        <v>1813.53</v>
      </c>
      <c r="H10" s="435">
        <f t="shared" si="0"/>
        <v>16269592.6</v>
      </c>
    </row>
    <row r="11" spans="1:8">
      <c r="A11" s="436">
        <v>5</v>
      </c>
      <c r="B11" s="451" t="s">
        <v>438</v>
      </c>
      <c r="C11" s="628">
        <v>249595.17</v>
      </c>
      <c r="D11" s="628">
        <v>35639747.490000002</v>
      </c>
      <c r="E11" s="628">
        <v>375073.58999999997</v>
      </c>
      <c r="F11" s="628"/>
      <c r="G11" s="628">
        <v>11744.27</v>
      </c>
      <c r="H11" s="435">
        <f t="shared" si="0"/>
        <v>35514269.07</v>
      </c>
    </row>
    <row r="12" spans="1:8">
      <c r="A12" s="436">
        <v>6</v>
      </c>
      <c r="B12" s="451" t="s">
        <v>439</v>
      </c>
      <c r="C12" s="628">
        <v>112452.9</v>
      </c>
      <c r="D12" s="628">
        <v>11278483.879999999</v>
      </c>
      <c r="E12" s="628">
        <v>231649.53999999998</v>
      </c>
      <c r="F12" s="628"/>
      <c r="G12" s="628">
        <v>61987.269999999982</v>
      </c>
      <c r="H12" s="435">
        <f t="shared" si="0"/>
        <v>11159287.24</v>
      </c>
    </row>
    <row r="13" spans="1:8">
      <c r="A13" s="436">
        <v>7</v>
      </c>
      <c r="B13" s="451" t="s">
        <v>440</v>
      </c>
      <c r="C13" s="628">
        <v>53019.34</v>
      </c>
      <c r="D13" s="628">
        <v>4563914.3899999997</v>
      </c>
      <c r="E13" s="628">
        <v>124517.53</v>
      </c>
      <c r="F13" s="628"/>
      <c r="G13" s="628">
        <v>52144.37999999999</v>
      </c>
      <c r="H13" s="435">
        <f t="shared" si="0"/>
        <v>4492416.1999999993</v>
      </c>
    </row>
    <row r="14" spans="1:8">
      <c r="A14" s="436">
        <v>8</v>
      </c>
      <c r="B14" s="451" t="s">
        <v>441</v>
      </c>
      <c r="C14" s="628">
        <v>1210611.97</v>
      </c>
      <c r="D14" s="628">
        <v>162655169.13000003</v>
      </c>
      <c r="E14" s="628">
        <v>3138773.81</v>
      </c>
      <c r="F14" s="628"/>
      <c r="G14" s="628">
        <v>1861696.4369069992</v>
      </c>
      <c r="H14" s="435">
        <f t="shared" si="0"/>
        <v>160727007.29000002</v>
      </c>
    </row>
    <row r="15" spans="1:8">
      <c r="A15" s="436">
        <v>9</v>
      </c>
      <c r="B15" s="451" t="s">
        <v>442</v>
      </c>
      <c r="C15" s="628">
        <v>210096.49</v>
      </c>
      <c r="D15" s="628">
        <v>29510756.630000003</v>
      </c>
      <c r="E15" s="628">
        <v>635845.72</v>
      </c>
      <c r="F15" s="628"/>
      <c r="G15" s="628">
        <v>269585.80058500002</v>
      </c>
      <c r="H15" s="435">
        <f t="shared" si="0"/>
        <v>29085007.400000002</v>
      </c>
    </row>
    <row r="16" spans="1:8">
      <c r="A16" s="436">
        <v>10</v>
      </c>
      <c r="B16" s="451" t="s">
        <v>443</v>
      </c>
      <c r="C16" s="628">
        <v>63102.41</v>
      </c>
      <c r="D16" s="628">
        <v>15222947.82</v>
      </c>
      <c r="E16" s="628">
        <v>250631.18</v>
      </c>
      <c r="F16" s="628"/>
      <c r="G16" s="628">
        <v>173901.75999999998</v>
      </c>
      <c r="H16" s="435">
        <f t="shared" si="0"/>
        <v>15035419.050000001</v>
      </c>
    </row>
    <row r="17" spans="1:8">
      <c r="A17" s="436">
        <v>11</v>
      </c>
      <c r="B17" s="451" t="s">
        <v>444</v>
      </c>
      <c r="C17" s="628">
        <v>99779.839999999997</v>
      </c>
      <c r="D17" s="628">
        <v>7217573.8400000008</v>
      </c>
      <c r="E17" s="628">
        <v>196280.27</v>
      </c>
      <c r="F17" s="628"/>
      <c r="G17" s="628">
        <v>81589.409999999989</v>
      </c>
      <c r="H17" s="435">
        <f t="shared" si="0"/>
        <v>7121073.4100000011</v>
      </c>
    </row>
    <row r="18" spans="1:8">
      <c r="A18" s="436">
        <v>12</v>
      </c>
      <c r="B18" s="451" t="s">
        <v>445</v>
      </c>
      <c r="C18" s="628">
        <v>643470.92000000004</v>
      </c>
      <c r="D18" s="628">
        <v>125359981.71000001</v>
      </c>
      <c r="E18" s="628">
        <v>2028494.79</v>
      </c>
      <c r="F18" s="628"/>
      <c r="G18" s="628">
        <v>692648.29464799794</v>
      </c>
      <c r="H18" s="435">
        <f t="shared" si="0"/>
        <v>123974957.84</v>
      </c>
    </row>
    <row r="19" spans="1:8">
      <c r="A19" s="436">
        <v>13</v>
      </c>
      <c r="B19" s="451" t="s">
        <v>446</v>
      </c>
      <c r="C19" s="628">
        <v>147895.91</v>
      </c>
      <c r="D19" s="628">
        <v>18369482.300000001</v>
      </c>
      <c r="E19" s="628">
        <v>356494.42</v>
      </c>
      <c r="F19" s="628"/>
      <c r="G19" s="628">
        <v>152673.01237000001</v>
      </c>
      <c r="H19" s="435">
        <f t="shared" si="0"/>
        <v>18160883.789999999</v>
      </c>
    </row>
    <row r="20" spans="1:8">
      <c r="A20" s="436">
        <v>14</v>
      </c>
      <c r="B20" s="451" t="s">
        <v>447</v>
      </c>
      <c r="C20" s="628">
        <v>110131.3</v>
      </c>
      <c r="D20" s="628">
        <v>59165186.869999997</v>
      </c>
      <c r="E20" s="628">
        <v>1125039.1099999999</v>
      </c>
      <c r="F20" s="628"/>
      <c r="G20" s="628">
        <v>155317.14427599998</v>
      </c>
      <c r="H20" s="435">
        <f t="shared" si="0"/>
        <v>58150279.059999995</v>
      </c>
    </row>
    <row r="21" spans="1:8">
      <c r="A21" s="436">
        <v>15</v>
      </c>
      <c r="B21" s="451" t="s">
        <v>448</v>
      </c>
      <c r="C21" s="628">
        <v>390243.35</v>
      </c>
      <c r="D21" s="628">
        <v>40463633.07</v>
      </c>
      <c r="E21" s="628">
        <v>1141919.6200000001</v>
      </c>
      <c r="F21" s="628"/>
      <c r="G21" s="628">
        <v>370613.39148200001</v>
      </c>
      <c r="H21" s="435">
        <f t="shared" si="0"/>
        <v>39711956.800000004</v>
      </c>
    </row>
    <row r="22" spans="1:8">
      <c r="A22" s="436">
        <v>16</v>
      </c>
      <c r="B22" s="451" t="s">
        <v>449</v>
      </c>
      <c r="C22" s="628">
        <v>90043.39</v>
      </c>
      <c r="D22" s="628">
        <v>12423047.449999999</v>
      </c>
      <c r="E22" s="628">
        <v>220888.52</v>
      </c>
      <c r="F22" s="628"/>
      <c r="G22" s="628">
        <v>73129.990000000005</v>
      </c>
      <c r="H22" s="435">
        <f t="shared" si="0"/>
        <v>12292202.32</v>
      </c>
    </row>
    <row r="23" spans="1:8">
      <c r="A23" s="436">
        <v>17</v>
      </c>
      <c r="B23" s="451" t="s">
        <v>527</v>
      </c>
      <c r="C23" s="628">
        <v>12190.37</v>
      </c>
      <c r="D23" s="628">
        <v>864408.17</v>
      </c>
      <c r="E23" s="628">
        <v>30101.14</v>
      </c>
      <c r="F23" s="628"/>
      <c r="G23" s="628">
        <v>3293.3</v>
      </c>
      <c r="H23" s="435">
        <f t="shared" si="0"/>
        <v>846497.4</v>
      </c>
    </row>
    <row r="24" spans="1:8">
      <c r="A24" s="436">
        <v>18</v>
      </c>
      <c r="B24" s="451" t="s">
        <v>450</v>
      </c>
      <c r="C24" s="628">
        <v>12076.58</v>
      </c>
      <c r="D24" s="628">
        <v>3364343.15</v>
      </c>
      <c r="E24" s="628">
        <v>58658.29</v>
      </c>
      <c r="F24" s="628"/>
      <c r="G24" s="628">
        <v>7244.45</v>
      </c>
      <c r="H24" s="435">
        <f t="shared" si="0"/>
        <v>3317761.44</v>
      </c>
    </row>
    <row r="25" spans="1:8">
      <c r="A25" s="436">
        <v>19</v>
      </c>
      <c r="B25" s="451" t="s">
        <v>451</v>
      </c>
      <c r="C25" s="628">
        <v>34676.42</v>
      </c>
      <c r="D25" s="628">
        <v>6574601.75</v>
      </c>
      <c r="E25" s="628">
        <v>130936.09</v>
      </c>
      <c r="F25" s="628"/>
      <c r="G25" s="628">
        <v>22092.28</v>
      </c>
      <c r="H25" s="435">
        <f t="shared" si="0"/>
        <v>6478342.0800000001</v>
      </c>
    </row>
    <row r="26" spans="1:8">
      <c r="A26" s="436">
        <v>20</v>
      </c>
      <c r="B26" s="451" t="s">
        <v>526</v>
      </c>
      <c r="C26" s="628">
        <v>63320.15</v>
      </c>
      <c r="D26" s="628">
        <v>16355676.039999999</v>
      </c>
      <c r="E26" s="628">
        <v>213546.4</v>
      </c>
      <c r="F26" s="628"/>
      <c r="G26" s="628">
        <v>36090.880000000012</v>
      </c>
      <c r="H26" s="435">
        <f t="shared" si="0"/>
        <v>16205449.789999999</v>
      </c>
    </row>
    <row r="27" spans="1:8">
      <c r="A27" s="436">
        <v>21</v>
      </c>
      <c r="B27" s="451" t="s">
        <v>452</v>
      </c>
      <c r="C27" s="628">
        <v>436.41</v>
      </c>
      <c r="D27" s="628">
        <v>1992640.17</v>
      </c>
      <c r="E27" s="628">
        <v>20126.45</v>
      </c>
      <c r="F27" s="628"/>
      <c r="G27" s="628">
        <v>1311.1200000000001</v>
      </c>
      <c r="H27" s="435">
        <f t="shared" si="0"/>
        <v>1972950.13</v>
      </c>
    </row>
    <row r="28" spans="1:8">
      <c r="A28" s="436">
        <v>22</v>
      </c>
      <c r="B28" s="451" t="s">
        <v>453</v>
      </c>
      <c r="C28" s="436">
        <v>10978.14</v>
      </c>
      <c r="D28" s="628">
        <v>682944.78</v>
      </c>
      <c r="E28" s="628">
        <v>29784.510000000002</v>
      </c>
      <c r="F28" s="628"/>
      <c r="G28" s="628">
        <v>13561.86</v>
      </c>
      <c r="H28" s="435">
        <f t="shared" si="0"/>
        <v>664138.41</v>
      </c>
    </row>
    <row r="29" spans="1:8">
      <c r="A29" s="436">
        <v>23</v>
      </c>
      <c r="B29" s="451" t="s">
        <v>454</v>
      </c>
      <c r="C29" s="628">
        <v>5093634.3900000006</v>
      </c>
      <c r="D29" s="628">
        <v>523448699.62</v>
      </c>
      <c r="E29" s="628">
        <v>12501489.349999998</v>
      </c>
      <c r="F29" s="628"/>
      <c r="G29" s="628">
        <v>4476936.364641984</v>
      </c>
      <c r="H29" s="435">
        <f t="shared" si="0"/>
        <v>516040844.65999997</v>
      </c>
    </row>
    <row r="30" spans="1:8">
      <c r="A30" s="436">
        <v>24</v>
      </c>
      <c r="B30" s="451" t="s">
        <v>525</v>
      </c>
      <c r="C30" s="628">
        <v>8192253.8200000003</v>
      </c>
      <c r="D30" s="628">
        <v>835705579.17000008</v>
      </c>
      <c r="E30" s="628">
        <v>19559313.969999999</v>
      </c>
      <c r="F30" s="628"/>
      <c r="G30" s="628">
        <v>7472594.993203003</v>
      </c>
      <c r="H30" s="435">
        <f t="shared" si="0"/>
        <v>824338519.0200001</v>
      </c>
    </row>
    <row r="31" spans="1:8">
      <c r="A31" s="436">
        <v>25</v>
      </c>
      <c r="B31" s="451" t="s">
        <v>455</v>
      </c>
      <c r="C31" s="628">
        <v>1940955.0999999999</v>
      </c>
      <c r="D31" s="628">
        <v>195292882.80000001</v>
      </c>
      <c r="E31" s="628">
        <v>4280867.2699999996</v>
      </c>
      <c r="F31" s="628"/>
      <c r="G31" s="628">
        <v>1401490.9455501733</v>
      </c>
      <c r="H31" s="435">
        <f t="shared" si="0"/>
        <v>192952970.63</v>
      </c>
    </row>
    <row r="32" spans="1:8">
      <c r="A32" s="436">
        <v>26</v>
      </c>
      <c r="B32" s="451" t="s">
        <v>522</v>
      </c>
      <c r="C32" s="628">
        <v>578488.14</v>
      </c>
      <c r="D32" s="628">
        <v>59335405.449999996</v>
      </c>
      <c r="E32" s="628">
        <v>1490922.51</v>
      </c>
      <c r="F32" s="628"/>
      <c r="G32" s="628">
        <v>520038.72000000044</v>
      </c>
      <c r="H32" s="435">
        <f t="shared" si="0"/>
        <v>58422971.079999998</v>
      </c>
    </row>
    <row r="33" spans="1:8">
      <c r="A33" s="436">
        <v>27</v>
      </c>
      <c r="B33" s="436" t="s">
        <v>456</v>
      </c>
      <c r="C33" s="628"/>
      <c r="D33" s="628">
        <v>220712671.50999999</v>
      </c>
      <c r="E33" s="628">
        <v>5158736.4800000004</v>
      </c>
      <c r="F33" s="628"/>
      <c r="G33" s="628"/>
      <c r="H33" s="435">
        <f t="shared" si="0"/>
        <v>215553935.03</v>
      </c>
    </row>
    <row r="34" spans="1:8">
      <c r="A34" s="436">
        <v>28</v>
      </c>
      <c r="B34" s="440" t="s">
        <v>64</v>
      </c>
      <c r="C34" s="629">
        <f>SUM(C7:C33)</f>
        <v>19631326.210000005</v>
      </c>
      <c r="D34" s="629">
        <f>SUM(D7:D33)</f>
        <v>2729914058.9595995</v>
      </c>
      <c r="E34" s="629">
        <f>SUM(E7:E33)</f>
        <v>54233346.859599099</v>
      </c>
      <c r="F34" s="629">
        <f>SUM(F7:F33)</f>
        <v>0</v>
      </c>
      <c r="G34" s="629">
        <f>SUM(G7:G33)</f>
        <v>18039286.453663155</v>
      </c>
      <c r="H34" s="435">
        <f t="shared" si="0"/>
        <v>2695312038.3100004</v>
      </c>
    </row>
    <row r="36" spans="1:8">
      <c r="B36" s="450"/>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5"/>
  <sheetViews>
    <sheetView showGridLines="0" zoomScaleNormal="100" workbookViewId="0">
      <selection activeCell="C11" sqref="C11:C14"/>
    </sheetView>
  </sheetViews>
  <sheetFormatPr defaultColWidth="9.21875" defaultRowHeight="12"/>
  <cols>
    <col min="1" max="1" width="11.77734375" style="352" bestFit="1" customWidth="1"/>
    <col min="2" max="2" width="108" style="352" bestFit="1" customWidth="1"/>
    <col min="3" max="3" width="35.5546875" style="352" customWidth="1"/>
    <col min="4" max="4" width="38.44140625" style="352" customWidth="1"/>
    <col min="5" max="16384" width="9.21875" style="352"/>
  </cols>
  <sheetData>
    <row r="1" spans="1:4" ht="13.8">
      <c r="A1" s="350" t="s">
        <v>30</v>
      </c>
      <c r="B1" s="433" t="str">
        <f>'Info '!C2</f>
        <v>JSC "CREDOBANK"</v>
      </c>
    </row>
    <row r="2" spans="1:4">
      <c r="A2" s="350" t="s">
        <v>31</v>
      </c>
      <c r="B2" s="432">
        <f>'1. key ratios '!B2</f>
        <v>45473</v>
      </c>
    </row>
    <row r="3" spans="1:4">
      <c r="A3" s="351" t="s">
        <v>457</v>
      </c>
    </row>
    <row r="5" spans="1:4">
      <c r="A5" s="744" t="s">
        <v>673</v>
      </c>
      <c r="B5" s="744"/>
      <c r="C5" s="431" t="s">
        <v>474</v>
      </c>
      <c r="D5" s="431" t="s">
        <v>515</v>
      </c>
    </row>
    <row r="6" spans="1:4">
      <c r="A6" s="459">
        <v>1</v>
      </c>
      <c r="B6" s="452" t="s">
        <v>672</v>
      </c>
      <c r="C6" s="630">
        <v>44215020.670755476</v>
      </c>
      <c r="D6" s="454"/>
    </row>
    <row r="7" spans="1:4">
      <c r="A7" s="456">
        <v>2</v>
      </c>
      <c r="B7" s="452" t="s">
        <v>671</v>
      </c>
      <c r="C7" s="627">
        <f>SUM(C8:C9)</f>
        <v>41507532.2230777</v>
      </c>
      <c r="D7" s="454">
        <f>SUM(D8:D9)</f>
        <v>0</v>
      </c>
    </row>
    <row r="8" spans="1:4">
      <c r="A8" s="458">
        <v>2.1</v>
      </c>
      <c r="B8" s="457" t="s">
        <v>530</v>
      </c>
      <c r="C8" s="630">
        <v>5013047.7215679996</v>
      </c>
      <c r="D8" s="454"/>
    </row>
    <row r="9" spans="1:4">
      <c r="A9" s="458">
        <v>2.2000000000000002</v>
      </c>
      <c r="B9" s="457" t="s">
        <v>528</v>
      </c>
      <c r="C9" s="630">
        <v>36494484.501509696</v>
      </c>
      <c r="D9" s="454"/>
    </row>
    <row r="10" spans="1:4">
      <c r="A10" s="459">
        <v>3</v>
      </c>
      <c r="B10" s="452" t="s">
        <v>670</v>
      </c>
      <c r="C10" s="627">
        <f>SUM(C11:C13)</f>
        <v>36797834.684382975</v>
      </c>
      <c r="D10" s="454">
        <f>SUM(D11:D13)</f>
        <v>0</v>
      </c>
    </row>
    <row r="11" spans="1:4">
      <c r="A11" s="458">
        <v>3.1</v>
      </c>
      <c r="B11" s="457" t="s">
        <v>459</v>
      </c>
      <c r="C11" s="630">
        <v>18039286.283561185</v>
      </c>
      <c r="D11" s="454"/>
    </row>
    <row r="12" spans="1:4">
      <c r="A12" s="458">
        <v>3.2</v>
      </c>
      <c r="B12" s="457" t="s">
        <v>669</v>
      </c>
      <c r="C12" s="630">
        <v>6653833.8641141653</v>
      </c>
      <c r="D12" s="454"/>
    </row>
    <row r="13" spans="1:4">
      <c r="A13" s="458">
        <v>3.3</v>
      </c>
      <c r="B13" s="457" t="s">
        <v>529</v>
      </c>
      <c r="C13" s="630">
        <v>12104714.536707625</v>
      </c>
      <c r="D13" s="454"/>
    </row>
    <row r="14" spans="1:4">
      <c r="A14" s="456">
        <v>4</v>
      </c>
      <c r="B14" s="455" t="s">
        <v>668</v>
      </c>
      <c r="C14" s="630">
        <v>98083.446877965529</v>
      </c>
      <c r="D14" s="454"/>
    </row>
    <row r="15" spans="1:4">
      <c r="A15" s="453">
        <v>5</v>
      </c>
      <c r="B15" s="452" t="s">
        <v>667</v>
      </c>
      <c r="C15" s="627">
        <f>C6+C7-C10+C14</f>
        <v>49022801.656328164</v>
      </c>
      <c r="D15" s="424">
        <f>D6+D7-D10+D14</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election activeCell="C18" sqref="C18"/>
    </sheetView>
  </sheetViews>
  <sheetFormatPr defaultColWidth="9.21875" defaultRowHeight="12"/>
  <cols>
    <col min="1" max="1" width="11.77734375" style="352" bestFit="1" customWidth="1"/>
    <col min="2" max="2" width="128.88671875" style="352" bestFit="1" customWidth="1"/>
    <col min="3" max="3" width="37" style="352" customWidth="1"/>
    <col min="4" max="4" width="50.5546875" style="352" customWidth="1"/>
    <col min="5" max="16384" width="9.21875" style="352"/>
  </cols>
  <sheetData>
    <row r="1" spans="1:4" ht="13.8">
      <c r="A1" s="350" t="s">
        <v>30</v>
      </c>
      <c r="B1" s="433" t="str">
        <f>'Info '!C2</f>
        <v>JSC "CREDOBANK"</v>
      </c>
    </row>
    <row r="2" spans="1:4">
      <c r="A2" s="350" t="s">
        <v>31</v>
      </c>
      <c r="B2" s="432">
        <f>'1. key ratios '!B2</f>
        <v>45473</v>
      </c>
    </row>
    <row r="3" spans="1:4">
      <c r="A3" s="351" t="s">
        <v>461</v>
      </c>
    </row>
    <row r="4" spans="1:4">
      <c r="A4" s="351"/>
    </row>
    <row r="5" spans="1:4" ht="15" customHeight="1">
      <c r="A5" s="745" t="s">
        <v>531</v>
      </c>
      <c r="B5" s="746"/>
      <c r="C5" s="749" t="s">
        <v>462</v>
      </c>
      <c r="D5" s="749" t="s">
        <v>463</v>
      </c>
    </row>
    <row r="6" spans="1:4">
      <c r="A6" s="747"/>
      <c r="B6" s="748"/>
      <c r="C6" s="749"/>
      <c r="D6" s="749"/>
    </row>
    <row r="7" spans="1:4">
      <c r="A7" s="424">
        <v>1</v>
      </c>
      <c r="B7" s="424" t="s">
        <v>458</v>
      </c>
      <c r="C7" s="628">
        <v>16944037.077875085</v>
      </c>
      <c r="D7" s="460"/>
    </row>
    <row r="8" spans="1:4">
      <c r="A8" s="454">
        <v>2</v>
      </c>
      <c r="B8" s="454" t="s">
        <v>464</v>
      </c>
      <c r="C8" s="628">
        <v>26142401.866876658</v>
      </c>
      <c r="D8" s="460"/>
    </row>
    <row r="9" spans="1:4">
      <c r="A9" s="454">
        <v>3</v>
      </c>
      <c r="B9" s="463" t="s">
        <v>676</v>
      </c>
      <c r="C9" s="628">
        <v>16630.17312383894</v>
      </c>
      <c r="D9" s="460"/>
    </row>
    <row r="10" spans="1:4">
      <c r="A10" s="454">
        <v>4</v>
      </c>
      <c r="B10" s="454" t="s">
        <v>465</v>
      </c>
      <c r="C10" s="629">
        <f>SUM(C11:C17)</f>
        <v>23471742.898043409</v>
      </c>
      <c r="D10" s="460"/>
    </row>
    <row r="11" spans="1:4">
      <c r="A11" s="454">
        <v>5</v>
      </c>
      <c r="B11" s="462" t="s">
        <v>675</v>
      </c>
      <c r="C11" s="628">
        <v>4451740.9544822257</v>
      </c>
      <c r="D11" s="460"/>
    </row>
    <row r="12" spans="1:4">
      <c r="A12" s="454">
        <v>6</v>
      </c>
      <c r="B12" s="462" t="s">
        <v>466</v>
      </c>
      <c r="C12" s="628">
        <v>980715.66000000015</v>
      </c>
      <c r="D12" s="460"/>
    </row>
    <row r="13" spans="1:4">
      <c r="A13" s="454">
        <v>7</v>
      </c>
      <c r="B13" s="462" t="s">
        <v>469</v>
      </c>
      <c r="C13" s="628">
        <v>18039286.283561185</v>
      </c>
      <c r="D13" s="460"/>
    </row>
    <row r="14" spans="1:4">
      <c r="A14" s="454">
        <v>8</v>
      </c>
      <c r="B14" s="462" t="s">
        <v>467</v>
      </c>
      <c r="C14" s="628"/>
      <c r="D14" s="454"/>
    </row>
    <row r="15" spans="1:4">
      <c r="A15" s="454">
        <v>9</v>
      </c>
      <c r="B15" s="462" t="s">
        <v>468</v>
      </c>
      <c r="C15" s="628"/>
      <c r="D15" s="454"/>
    </row>
    <row r="16" spans="1:4">
      <c r="A16" s="454">
        <v>10</v>
      </c>
      <c r="B16" s="462" t="s">
        <v>470</v>
      </c>
      <c r="C16" s="628"/>
      <c r="D16" s="454"/>
    </row>
    <row r="17" spans="1:4">
      <c r="A17" s="454">
        <v>11</v>
      </c>
      <c r="B17" s="462" t="s">
        <v>674</v>
      </c>
      <c r="C17" s="628"/>
      <c r="D17" s="460"/>
    </row>
    <row r="18" spans="1:4">
      <c r="A18" s="424">
        <v>12</v>
      </c>
      <c r="B18" s="461" t="s">
        <v>460</v>
      </c>
      <c r="C18" s="629">
        <f>C7+C8+C9-C10</f>
        <v>19631326.219832167</v>
      </c>
      <c r="D18" s="460"/>
    </row>
    <row r="21" spans="1:4">
      <c r="B21" s="350"/>
    </row>
    <row r="22" spans="1:4">
      <c r="B22" s="350"/>
    </row>
    <row r="23" spans="1:4">
      <c r="B23" s="351"/>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topLeftCell="P1" zoomScale="80" zoomScaleNormal="80" workbookViewId="0">
      <selection activeCell="C27" sqref="C27:D28"/>
    </sheetView>
  </sheetViews>
  <sheetFormatPr defaultColWidth="9.21875" defaultRowHeight="12"/>
  <cols>
    <col min="1" max="1" width="11.77734375" style="447" bestFit="1" customWidth="1"/>
    <col min="2" max="2" width="63.88671875" style="447" customWidth="1"/>
    <col min="3" max="3" width="15.5546875" style="447" customWidth="1"/>
    <col min="4" max="18" width="22.21875" style="447" customWidth="1"/>
    <col min="19" max="19" width="23.21875" style="447" bestFit="1" customWidth="1"/>
    <col min="20" max="26" width="22.21875" style="447" customWidth="1"/>
    <col min="27" max="27" width="23.21875" style="447" bestFit="1" customWidth="1"/>
    <col min="28" max="28" width="20" style="447" customWidth="1"/>
    <col min="29" max="16384" width="9.21875" style="447"/>
  </cols>
  <sheetData>
    <row r="1" spans="1:28" ht="13.8">
      <c r="A1" s="350" t="s">
        <v>30</v>
      </c>
      <c r="B1" s="433" t="str">
        <f>'Info '!C2</f>
        <v>JSC "CREDOBANK"</v>
      </c>
    </row>
    <row r="2" spans="1:28">
      <c r="A2" s="350" t="s">
        <v>31</v>
      </c>
      <c r="B2" s="432">
        <f>'1. key ratios '!B2</f>
        <v>45473</v>
      </c>
      <c r="C2" s="448"/>
    </row>
    <row r="3" spans="1:28">
      <c r="A3" s="351" t="s">
        <v>471</v>
      </c>
    </row>
    <row r="5" spans="1:28" ht="15" customHeight="1">
      <c r="A5" s="751" t="s">
        <v>688</v>
      </c>
      <c r="B5" s="752"/>
      <c r="C5" s="757" t="s">
        <v>472</v>
      </c>
      <c r="D5" s="758"/>
      <c r="E5" s="758"/>
      <c r="F5" s="758"/>
      <c r="G5" s="758"/>
      <c r="H5" s="758"/>
      <c r="I5" s="758"/>
      <c r="J5" s="758"/>
      <c r="K5" s="758"/>
      <c r="L5" s="758"/>
      <c r="M5" s="758"/>
      <c r="N5" s="758"/>
      <c r="O5" s="758"/>
      <c r="P5" s="758"/>
      <c r="Q5" s="758"/>
      <c r="R5" s="758"/>
      <c r="S5" s="758"/>
      <c r="T5" s="471"/>
      <c r="U5" s="471"/>
      <c r="V5" s="471"/>
      <c r="W5" s="471"/>
      <c r="X5" s="471"/>
      <c r="Y5" s="471"/>
      <c r="Z5" s="471"/>
      <c r="AA5" s="470"/>
      <c r="AB5" s="465"/>
    </row>
    <row r="6" spans="1:28" ht="12" customHeight="1">
      <c r="A6" s="753"/>
      <c r="B6" s="754"/>
      <c r="C6" s="759" t="s">
        <v>64</v>
      </c>
      <c r="D6" s="761" t="s">
        <v>687</v>
      </c>
      <c r="E6" s="761"/>
      <c r="F6" s="761"/>
      <c r="G6" s="761"/>
      <c r="H6" s="761" t="s">
        <v>686</v>
      </c>
      <c r="I6" s="761"/>
      <c r="J6" s="761"/>
      <c r="K6" s="761"/>
      <c r="L6" s="468"/>
      <c r="M6" s="762" t="s">
        <v>685</v>
      </c>
      <c r="N6" s="762"/>
      <c r="O6" s="762"/>
      <c r="P6" s="762"/>
      <c r="Q6" s="762"/>
      <c r="R6" s="762"/>
      <c r="S6" s="742"/>
      <c r="T6" s="469"/>
      <c r="U6" s="750" t="s">
        <v>684</v>
      </c>
      <c r="V6" s="750"/>
      <c r="W6" s="750"/>
      <c r="X6" s="750"/>
      <c r="Y6" s="750"/>
      <c r="Z6" s="750"/>
      <c r="AA6" s="743"/>
      <c r="AB6" s="468"/>
    </row>
    <row r="7" spans="1:28" ht="24">
      <c r="A7" s="755"/>
      <c r="B7" s="756"/>
      <c r="C7" s="760"/>
      <c r="D7" s="467"/>
      <c r="E7" s="444" t="s">
        <v>473</v>
      </c>
      <c r="F7" s="444" t="s">
        <v>682</v>
      </c>
      <c r="G7" s="446" t="s">
        <v>683</v>
      </c>
      <c r="H7" s="448"/>
      <c r="I7" s="444" t="s">
        <v>473</v>
      </c>
      <c r="J7" s="444" t="s">
        <v>682</v>
      </c>
      <c r="K7" s="446" t="s">
        <v>683</v>
      </c>
      <c r="L7" s="466"/>
      <c r="M7" s="444" t="s">
        <v>473</v>
      </c>
      <c r="N7" s="444" t="s">
        <v>682</v>
      </c>
      <c r="O7" s="444" t="s">
        <v>681</v>
      </c>
      <c r="P7" s="444" t="s">
        <v>680</v>
      </c>
      <c r="Q7" s="444" t="s">
        <v>679</v>
      </c>
      <c r="R7" s="444" t="s">
        <v>678</v>
      </c>
      <c r="S7" s="444" t="s">
        <v>677</v>
      </c>
      <c r="T7" s="466"/>
      <c r="U7" s="444" t="s">
        <v>473</v>
      </c>
      <c r="V7" s="444" t="s">
        <v>682</v>
      </c>
      <c r="W7" s="444" t="s">
        <v>681</v>
      </c>
      <c r="X7" s="444" t="s">
        <v>680</v>
      </c>
      <c r="Y7" s="444" t="s">
        <v>679</v>
      </c>
      <c r="Z7" s="444" t="s">
        <v>678</v>
      </c>
      <c r="AA7" s="444" t="s">
        <v>677</v>
      </c>
      <c r="AB7" s="465"/>
    </row>
    <row r="8" spans="1:28">
      <c r="A8" s="464">
        <v>1</v>
      </c>
      <c r="B8" s="440" t="s">
        <v>474</v>
      </c>
      <c r="C8" s="629">
        <f>SUM(C9:C14)</f>
        <v>2241362505.4747396</v>
      </c>
      <c r="D8" s="629">
        <f>SUM(D9:D14)</f>
        <v>2142070920.9122393</v>
      </c>
      <c r="E8" s="629">
        <f t="shared" ref="E8:G8" si="0">SUM(E9:E14)</f>
        <v>10621001.204152782</v>
      </c>
      <c r="F8" s="629">
        <f t="shared" si="0"/>
        <v>0</v>
      </c>
      <c r="G8" s="629">
        <f t="shared" si="0"/>
        <v>0</v>
      </c>
      <c r="H8" s="629">
        <f>SUM(H9:H14)</f>
        <v>79660258.328903317</v>
      </c>
      <c r="I8" s="629">
        <f t="shared" ref="I8:K8" si="1">SUM(I9:I14)</f>
        <v>3104175.7163144005</v>
      </c>
      <c r="J8" s="629">
        <f t="shared" si="1"/>
        <v>9955829.8461935874</v>
      </c>
      <c r="K8" s="629">
        <f t="shared" si="1"/>
        <v>0</v>
      </c>
      <c r="L8" s="629">
        <f>SUM(L9:L14)</f>
        <v>19517149.873597115</v>
      </c>
      <c r="M8" s="629">
        <f t="shared" ref="M8:S8" si="2">SUM(M9:M14)</f>
        <v>273651.29571084218</v>
      </c>
      <c r="N8" s="629">
        <f t="shared" si="2"/>
        <v>717237.55392729107</v>
      </c>
      <c r="O8" s="629">
        <f t="shared" si="2"/>
        <v>12715892.307010237</v>
      </c>
      <c r="P8" s="629">
        <f t="shared" si="2"/>
        <v>0</v>
      </c>
      <c r="Q8" s="629">
        <f t="shared" si="2"/>
        <v>0</v>
      </c>
      <c r="R8" s="629">
        <f t="shared" si="2"/>
        <v>0</v>
      </c>
      <c r="S8" s="629">
        <f t="shared" si="2"/>
        <v>0</v>
      </c>
      <c r="T8" s="629">
        <f>SUM(T9:T14)</f>
        <v>114176.35999999999</v>
      </c>
      <c r="U8" s="629">
        <f t="shared" ref="U8:AA8" si="3">SUM(U9:U14)</f>
        <v>0</v>
      </c>
      <c r="V8" s="629">
        <f t="shared" si="3"/>
        <v>0</v>
      </c>
      <c r="W8" s="629">
        <f t="shared" si="3"/>
        <v>0</v>
      </c>
      <c r="X8" s="629">
        <f t="shared" si="3"/>
        <v>0</v>
      </c>
      <c r="Y8" s="629">
        <f t="shared" si="3"/>
        <v>0</v>
      </c>
      <c r="Z8" s="629">
        <f t="shared" si="3"/>
        <v>0</v>
      </c>
      <c r="AA8" s="629">
        <f t="shared" si="3"/>
        <v>0</v>
      </c>
    </row>
    <row r="9" spans="1:28">
      <c r="A9" s="436">
        <v>1.1000000000000001</v>
      </c>
      <c r="B9" s="456" t="s">
        <v>475</v>
      </c>
      <c r="C9" s="456"/>
      <c r="D9" s="628"/>
      <c r="E9" s="628"/>
      <c r="F9" s="628"/>
      <c r="G9" s="628"/>
      <c r="H9" s="628"/>
      <c r="I9" s="628"/>
      <c r="J9" s="628"/>
      <c r="K9" s="628"/>
      <c r="L9" s="628"/>
      <c r="M9" s="628"/>
      <c r="N9" s="628"/>
      <c r="O9" s="628"/>
      <c r="P9" s="628"/>
      <c r="Q9" s="628"/>
      <c r="R9" s="628"/>
      <c r="S9" s="628"/>
      <c r="T9" s="628"/>
      <c r="U9" s="628"/>
      <c r="V9" s="628"/>
      <c r="W9" s="628"/>
      <c r="X9" s="628"/>
      <c r="Y9" s="628"/>
      <c r="Z9" s="628"/>
      <c r="AA9" s="628"/>
    </row>
    <row r="10" spans="1:28">
      <c r="A10" s="436">
        <v>1.2</v>
      </c>
      <c r="B10" s="456" t="s">
        <v>476</v>
      </c>
      <c r="C10" s="456"/>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row>
    <row r="11" spans="1:28">
      <c r="A11" s="436">
        <v>1.3</v>
      </c>
      <c r="B11" s="456" t="s">
        <v>477</v>
      </c>
      <c r="C11" s="456"/>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row>
    <row r="12" spans="1:28">
      <c r="A12" s="436">
        <v>1.4</v>
      </c>
      <c r="B12" s="456" t="s">
        <v>478</v>
      </c>
      <c r="C12" s="456"/>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row>
    <row r="13" spans="1:28">
      <c r="A13" s="436">
        <v>1.5</v>
      </c>
      <c r="B13" s="456" t="s">
        <v>479</v>
      </c>
      <c r="C13" s="631">
        <f>D13+H13+L13+T13</f>
        <v>121504165.76804477</v>
      </c>
      <c r="D13" s="628">
        <v>118992902.54387985</v>
      </c>
      <c r="E13" s="628">
        <v>1063727.8988424479</v>
      </c>
      <c r="F13" s="628"/>
      <c r="G13" s="628"/>
      <c r="H13" s="628">
        <v>2364722.0520637427</v>
      </c>
      <c r="I13" s="628"/>
      <c r="J13" s="628">
        <v>2656.94</v>
      </c>
      <c r="K13" s="628"/>
      <c r="L13" s="628">
        <v>146541.1721011755</v>
      </c>
      <c r="M13" s="628"/>
      <c r="N13" s="628"/>
      <c r="O13" s="628">
        <v>146541.1721011755</v>
      </c>
      <c r="P13" s="628"/>
      <c r="Q13" s="628"/>
      <c r="R13" s="628"/>
      <c r="S13" s="628"/>
      <c r="T13" s="628"/>
      <c r="U13" s="628"/>
      <c r="V13" s="628"/>
      <c r="W13" s="628"/>
      <c r="X13" s="628"/>
      <c r="Y13" s="628"/>
      <c r="Z13" s="628"/>
      <c r="AA13" s="628"/>
    </row>
    <row r="14" spans="1:28">
      <c r="A14" s="436">
        <v>1.6</v>
      </c>
      <c r="B14" s="456" t="s">
        <v>480</v>
      </c>
      <c r="C14" s="631">
        <f>D14+H14+L14+T14</f>
        <v>2119858339.7066948</v>
      </c>
      <c r="D14" s="628">
        <v>2023078018.3683596</v>
      </c>
      <c r="E14" s="628">
        <v>9557273.3053103331</v>
      </c>
      <c r="F14" s="628"/>
      <c r="G14" s="628"/>
      <c r="H14" s="628">
        <v>77295536.276839569</v>
      </c>
      <c r="I14" s="628">
        <v>3104175.7163144005</v>
      </c>
      <c r="J14" s="628">
        <v>9953172.9061935879</v>
      </c>
      <c r="K14" s="628"/>
      <c r="L14" s="628">
        <v>19370608.701495938</v>
      </c>
      <c r="M14" s="628">
        <v>273651.29571084218</v>
      </c>
      <c r="N14" s="628">
        <v>717237.55392729107</v>
      </c>
      <c r="O14" s="628">
        <v>12569351.134909062</v>
      </c>
      <c r="P14" s="628"/>
      <c r="Q14" s="628"/>
      <c r="R14" s="628"/>
      <c r="S14" s="628"/>
      <c r="T14" s="628">
        <v>114176.35999999999</v>
      </c>
      <c r="U14" s="628"/>
      <c r="V14" s="628"/>
      <c r="W14" s="628"/>
      <c r="X14" s="628"/>
      <c r="Y14" s="628"/>
      <c r="Z14" s="628"/>
      <c r="AA14" s="628"/>
    </row>
    <row r="15" spans="1:28">
      <c r="A15" s="464">
        <v>2</v>
      </c>
      <c r="B15" s="440" t="s">
        <v>481</v>
      </c>
      <c r="C15" s="632">
        <f t="shared" ref="C15:C17" si="4">D15+H15+L15+T15</f>
        <v>19745284</v>
      </c>
      <c r="D15" s="633">
        <f>SUM(D16:D21)</f>
        <v>19745284</v>
      </c>
      <c r="E15" s="628"/>
      <c r="F15" s="628"/>
      <c r="G15" s="628"/>
      <c r="H15" s="628"/>
      <c r="I15" s="628"/>
      <c r="J15" s="628"/>
      <c r="K15" s="628"/>
      <c r="L15" s="628"/>
      <c r="M15" s="628"/>
      <c r="N15" s="628"/>
      <c r="O15" s="628"/>
      <c r="P15" s="628"/>
      <c r="Q15" s="628"/>
      <c r="R15" s="628"/>
      <c r="S15" s="628"/>
      <c r="T15" s="628"/>
      <c r="U15" s="628"/>
      <c r="V15" s="628"/>
      <c r="W15" s="628"/>
      <c r="X15" s="628"/>
      <c r="Y15" s="628"/>
      <c r="Z15" s="628"/>
      <c r="AA15" s="628"/>
    </row>
    <row r="16" spans="1:28">
      <c r="A16" s="436">
        <v>2.1</v>
      </c>
      <c r="B16" s="456" t="s">
        <v>475</v>
      </c>
      <c r="C16" s="632"/>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row>
    <row r="17" spans="1:27">
      <c r="A17" s="436">
        <v>2.2000000000000002</v>
      </c>
      <c r="B17" s="456" t="s">
        <v>476</v>
      </c>
      <c r="C17" s="632">
        <f t="shared" si="4"/>
        <v>19745284</v>
      </c>
      <c r="D17" s="628">
        <v>19745284</v>
      </c>
      <c r="E17" s="628"/>
      <c r="F17" s="628"/>
      <c r="G17" s="628"/>
      <c r="H17" s="628"/>
      <c r="I17" s="628"/>
      <c r="J17" s="628"/>
      <c r="K17" s="628"/>
      <c r="L17" s="628"/>
      <c r="M17" s="628"/>
      <c r="N17" s="628"/>
      <c r="O17" s="628"/>
      <c r="P17" s="628"/>
      <c r="Q17" s="628"/>
      <c r="R17" s="628"/>
      <c r="S17" s="628"/>
      <c r="T17" s="628"/>
      <c r="U17" s="628"/>
      <c r="V17" s="628"/>
      <c r="W17" s="628"/>
      <c r="X17" s="628"/>
      <c r="Y17" s="628"/>
      <c r="Z17" s="628"/>
      <c r="AA17" s="628"/>
    </row>
    <row r="18" spans="1:27">
      <c r="A18" s="436">
        <v>2.2999999999999998</v>
      </c>
      <c r="B18" s="456" t="s">
        <v>477</v>
      </c>
      <c r="C18" s="456"/>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row>
    <row r="19" spans="1:27">
      <c r="A19" s="436">
        <v>2.4</v>
      </c>
      <c r="B19" s="456" t="s">
        <v>478</v>
      </c>
      <c r="C19" s="456"/>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row>
    <row r="20" spans="1:27">
      <c r="A20" s="436">
        <v>2.5</v>
      </c>
      <c r="B20" s="456" t="s">
        <v>479</v>
      </c>
      <c r="C20" s="456"/>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row>
    <row r="21" spans="1:27">
      <c r="A21" s="436">
        <v>2.6</v>
      </c>
      <c r="B21" s="456" t="s">
        <v>480</v>
      </c>
      <c r="C21" s="456"/>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row>
    <row r="22" spans="1:27">
      <c r="A22" s="464">
        <v>3</v>
      </c>
      <c r="B22" s="440" t="s">
        <v>521</v>
      </c>
      <c r="C22" s="629">
        <f>C27+C28</f>
        <v>75756447.673735991</v>
      </c>
      <c r="D22" s="629"/>
      <c r="E22" s="634"/>
      <c r="F22" s="634"/>
      <c r="G22" s="634"/>
      <c r="H22" s="629"/>
      <c r="I22" s="634"/>
      <c r="J22" s="634"/>
      <c r="K22" s="634"/>
      <c r="L22" s="629"/>
      <c r="M22" s="634"/>
      <c r="N22" s="634"/>
      <c r="O22" s="634"/>
      <c r="P22" s="634"/>
      <c r="Q22" s="634"/>
      <c r="R22" s="634"/>
      <c r="S22" s="634"/>
      <c r="T22" s="629"/>
      <c r="U22" s="634"/>
      <c r="V22" s="634"/>
      <c r="W22" s="634"/>
      <c r="X22" s="634"/>
      <c r="Y22" s="634"/>
      <c r="Z22" s="634"/>
      <c r="AA22" s="634"/>
    </row>
    <row r="23" spans="1:27">
      <c r="A23" s="436">
        <v>3.1</v>
      </c>
      <c r="B23" s="456" t="s">
        <v>475</v>
      </c>
      <c r="C23" s="456"/>
      <c r="D23" s="629"/>
      <c r="E23" s="634"/>
      <c r="F23" s="634"/>
      <c r="G23" s="634"/>
      <c r="H23" s="629"/>
      <c r="I23" s="634"/>
      <c r="J23" s="634"/>
      <c r="K23" s="634"/>
      <c r="L23" s="629"/>
      <c r="M23" s="634"/>
      <c r="N23" s="634"/>
      <c r="O23" s="634"/>
      <c r="P23" s="634"/>
      <c r="Q23" s="634"/>
      <c r="R23" s="634"/>
      <c r="S23" s="634"/>
      <c r="T23" s="629"/>
      <c r="U23" s="634"/>
      <c r="V23" s="634"/>
      <c r="W23" s="634"/>
      <c r="X23" s="634"/>
      <c r="Y23" s="634"/>
      <c r="Z23" s="634"/>
      <c r="AA23" s="634"/>
    </row>
    <row r="24" spans="1:27">
      <c r="A24" s="436">
        <v>3.2</v>
      </c>
      <c r="B24" s="456" t="s">
        <v>476</v>
      </c>
      <c r="C24" s="456"/>
      <c r="D24" s="629"/>
      <c r="E24" s="634"/>
      <c r="F24" s="634"/>
      <c r="G24" s="634"/>
      <c r="H24" s="629"/>
      <c r="I24" s="634"/>
      <c r="J24" s="634"/>
      <c r="K24" s="634"/>
      <c r="L24" s="629"/>
      <c r="M24" s="634"/>
      <c r="N24" s="634"/>
      <c r="O24" s="634"/>
      <c r="P24" s="634"/>
      <c r="Q24" s="634"/>
      <c r="R24" s="634"/>
      <c r="S24" s="634"/>
      <c r="T24" s="629"/>
      <c r="U24" s="634"/>
      <c r="V24" s="634"/>
      <c r="W24" s="634"/>
      <c r="X24" s="634"/>
      <c r="Y24" s="634"/>
      <c r="Z24" s="634"/>
      <c r="AA24" s="634"/>
    </row>
    <row r="25" spans="1:27">
      <c r="A25" s="436">
        <v>3.3</v>
      </c>
      <c r="B25" s="456" t="s">
        <v>477</v>
      </c>
      <c r="C25" s="456"/>
      <c r="D25" s="629"/>
      <c r="E25" s="634"/>
      <c r="F25" s="634"/>
      <c r="G25" s="634"/>
      <c r="H25" s="629"/>
      <c r="I25" s="634"/>
      <c r="J25" s="634"/>
      <c r="K25" s="634"/>
      <c r="L25" s="629"/>
      <c r="M25" s="634"/>
      <c r="N25" s="634"/>
      <c r="O25" s="634"/>
      <c r="P25" s="634"/>
      <c r="Q25" s="634"/>
      <c r="R25" s="634"/>
      <c r="S25" s="634"/>
      <c r="T25" s="629"/>
      <c r="U25" s="634"/>
      <c r="V25" s="634"/>
      <c r="W25" s="634"/>
      <c r="X25" s="634"/>
      <c r="Y25" s="634"/>
      <c r="Z25" s="634"/>
      <c r="AA25" s="634"/>
    </row>
    <row r="26" spans="1:27">
      <c r="A26" s="436">
        <v>3.4</v>
      </c>
      <c r="B26" s="456" t="s">
        <v>478</v>
      </c>
      <c r="C26" s="456"/>
      <c r="D26" s="629"/>
      <c r="E26" s="634"/>
      <c r="F26" s="634"/>
      <c r="G26" s="634"/>
      <c r="H26" s="629"/>
      <c r="I26" s="634"/>
      <c r="J26" s="634"/>
      <c r="K26" s="634"/>
      <c r="L26" s="629"/>
      <c r="M26" s="634"/>
      <c r="N26" s="634"/>
      <c r="O26" s="634"/>
      <c r="P26" s="634"/>
      <c r="Q26" s="634"/>
      <c r="R26" s="634"/>
      <c r="S26" s="634"/>
      <c r="T26" s="629"/>
      <c r="U26" s="634"/>
      <c r="V26" s="634"/>
      <c r="W26" s="634"/>
      <c r="X26" s="634"/>
      <c r="Y26" s="634"/>
      <c r="Z26" s="634"/>
      <c r="AA26" s="634"/>
    </row>
    <row r="27" spans="1:27">
      <c r="A27" s="436">
        <v>3.5</v>
      </c>
      <c r="B27" s="456" t="s">
        <v>479</v>
      </c>
      <c r="C27" s="635">
        <v>17824559</v>
      </c>
      <c r="D27" s="629">
        <v>17824559</v>
      </c>
      <c r="E27" s="634"/>
      <c r="F27" s="634"/>
      <c r="G27" s="634"/>
      <c r="H27" s="629"/>
      <c r="I27" s="634"/>
      <c r="J27" s="634"/>
      <c r="K27" s="634"/>
      <c r="L27" s="629"/>
      <c r="M27" s="634"/>
      <c r="N27" s="634"/>
      <c r="O27" s="634"/>
      <c r="P27" s="634"/>
      <c r="Q27" s="634"/>
      <c r="R27" s="634"/>
      <c r="S27" s="634"/>
      <c r="T27" s="629"/>
      <c r="U27" s="634"/>
      <c r="V27" s="634"/>
      <c r="W27" s="634"/>
      <c r="X27" s="634"/>
      <c r="Y27" s="634"/>
      <c r="Z27" s="634"/>
      <c r="AA27" s="634"/>
    </row>
    <row r="28" spans="1:27">
      <c r="A28" s="436">
        <v>3.6</v>
      </c>
      <c r="B28" s="456" t="s">
        <v>480</v>
      </c>
      <c r="C28" s="635">
        <v>57931888.673735991</v>
      </c>
      <c r="D28" s="629"/>
      <c r="E28" s="634"/>
      <c r="F28" s="634"/>
      <c r="G28" s="634"/>
      <c r="H28" s="629"/>
      <c r="I28" s="634"/>
      <c r="J28" s="634"/>
      <c r="K28" s="634"/>
      <c r="L28" s="629"/>
      <c r="M28" s="634"/>
      <c r="N28" s="634"/>
      <c r="O28" s="634"/>
      <c r="P28" s="634"/>
      <c r="Q28" s="634"/>
      <c r="R28" s="634"/>
      <c r="S28" s="634"/>
      <c r="T28" s="629"/>
      <c r="U28" s="634"/>
      <c r="V28" s="634"/>
      <c r="W28" s="634"/>
      <c r="X28" s="634"/>
      <c r="Y28" s="634"/>
      <c r="Z28" s="634"/>
      <c r="AA28" s="63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topLeftCell="Q1" zoomScale="80" zoomScaleNormal="80" workbookViewId="0">
      <selection activeCell="AA33" sqref="AA33"/>
    </sheetView>
  </sheetViews>
  <sheetFormatPr defaultColWidth="9.21875" defaultRowHeight="12"/>
  <cols>
    <col min="1" max="1" width="11.77734375" style="447" bestFit="1" customWidth="1"/>
    <col min="2" max="2" width="90.21875" style="447" bestFit="1" customWidth="1"/>
    <col min="3" max="3" width="20.21875" style="447" customWidth="1"/>
    <col min="4" max="4" width="22.21875" style="447" customWidth="1"/>
    <col min="5" max="7" width="17.109375" style="447" customWidth="1"/>
    <col min="8" max="8" width="22.21875" style="447" customWidth="1"/>
    <col min="9" max="10" width="17.109375" style="447" customWidth="1"/>
    <col min="11" max="27" width="22.21875" style="447" customWidth="1"/>
    <col min="28" max="16384" width="9.21875" style="447"/>
  </cols>
  <sheetData>
    <row r="1" spans="1:27" ht="13.8">
      <c r="A1" s="350" t="s">
        <v>30</v>
      </c>
      <c r="B1" s="433" t="str">
        <f>'Info '!C2</f>
        <v>JSC "CREDOBANK"</v>
      </c>
    </row>
    <row r="2" spans="1:27">
      <c r="A2" s="350" t="s">
        <v>31</v>
      </c>
      <c r="B2" s="432">
        <f>'1. key ratios '!B2</f>
        <v>45473</v>
      </c>
    </row>
    <row r="3" spans="1:27">
      <c r="A3" s="351" t="s">
        <v>483</v>
      </c>
      <c r="C3" s="449"/>
    </row>
    <row r="4" spans="1:27" ht="12.6" thickBot="1">
      <c r="A4" s="351"/>
      <c r="B4" s="449"/>
      <c r="C4" s="449"/>
    </row>
    <row r="5" spans="1:27" ht="13.5" customHeight="1">
      <c r="A5" s="763" t="s">
        <v>691</v>
      </c>
      <c r="B5" s="764"/>
      <c r="C5" s="772" t="s">
        <v>690</v>
      </c>
      <c r="D5" s="773"/>
      <c r="E5" s="773"/>
      <c r="F5" s="773"/>
      <c r="G5" s="773"/>
      <c r="H5" s="773"/>
      <c r="I5" s="773"/>
      <c r="J5" s="773"/>
      <c r="K5" s="773"/>
      <c r="L5" s="773"/>
      <c r="M5" s="773"/>
      <c r="N5" s="773"/>
      <c r="O5" s="773"/>
      <c r="P5" s="773"/>
      <c r="Q5" s="773"/>
      <c r="R5" s="773"/>
      <c r="S5" s="774"/>
      <c r="T5" s="471"/>
      <c r="U5" s="471"/>
      <c r="V5" s="471"/>
      <c r="W5" s="471"/>
      <c r="X5" s="471"/>
      <c r="Y5" s="471"/>
      <c r="Z5" s="471"/>
      <c r="AA5" s="470"/>
    </row>
    <row r="6" spans="1:27" ht="12" customHeight="1">
      <c r="A6" s="765"/>
      <c r="B6" s="766"/>
      <c r="C6" s="769" t="s">
        <v>64</v>
      </c>
      <c r="D6" s="761" t="s">
        <v>687</v>
      </c>
      <c r="E6" s="761"/>
      <c r="F6" s="761"/>
      <c r="G6" s="761"/>
      <c r="H6" s="761" t="s">
        <v>686</v>
      </c>
      <c r="I6" s="761"/>
      <c r="J6" s="761"/>
      <c r="K6" s="761"/>
      <c r="L6" s="468"/>
      <c r="M6" s="762" t="s">
        <v>685</v>
      </c>
      <c r="N6" s="762"/>
      <c r="O6" s="762"/>
      <c r="P6" s="762"/>
      <c r="Q6" s="762"/>
      <c r="R6" s="762"/>
      <c r="S6" s="771"/>
      <c r="T6" s="471"/>
      <c r="U6" s="750" t="s">
        <v>684</v>
      </c>
      <c r="V6" s="750"/>
      <c r="W6" s="750"/>
      <c r="X6" s="750"/>
      <c r="Y6" s="750"/>
      <c r="Z6" s="750"/>
      <c r="AA6" s="743"/>
    </row>
    <row r="7" spans="1:27" ht="24">
      <c r="A7" s="767"/>
      <c r="B7" s="768"/>
      <c r="C7" s="770"/>
      <c r="D7" s="467"/>
      <c r="E7" s="444" t="s">
        <v>473</v>
      </c>
      <c r="F7" s="444" t="s">
        <v>682</v>
      </c>
      <c r="G7" s="446" t="s">
        <v>683</v>
      </c>
      <c r="H7" s="448"/>
      <c r="I7" s="444" t="s">
        <v>473</v>
      </c>
      <c r="J7" s="444" t="s">
        <v>682</v>
      </c>
      <c r="K7" s="446" t="s">
        <v>683</v>
      </c>
      <c r="L7" s="466"/>
      <c r="M7" s="444" t="s">
        <v>473</v>
      </c>
      <c r="N7" s="444" t="s">
        <v>682</v>
      </c>
      <c r="O7" s="444" t="s">
        <v>681</v>
      </c>
      <c r="P7" s="444" t="s">
        <v>680</v>
      </c>
      <c r="Q7" s="444" t="s">
        <v>679</v>
      </c>
      <c r="R7" s="444" t="s">
        <v>678</v>
      </c>
      <c r="S7" s="492" t="s">
        <v>677</v>
      </c>
      <c r="T7" s="491"/>
      <c r="U7" s="444" t="s">
        <v>473</v>
      </c>
      <c r="V7" s="444" t="s">
        <v>682</v>
      </c>
      <c r="W7" s="444" t="s">
        <v>681</v>
      </c>
      <c r="X7" s="444" t="s">
        <v>680</v>
      </c>
      <c r="Y7" s="444" t="s">
        <v>679</v>
      </c>
      <c r="Z7" s="444" t="s">
        <v>678</v>
      </c>
      <c r="AA7" s="444" t="s">
        <v>677</v>
      </c>
    </row>
    <row r="8" spans="1:27">
      <c r="A8" s="490">
        <v>1</v>
      </c>
      <c r="B8" s="489" t="s">
        <v>474</v>
      </c>
      <c r="C8" s="636">
        <f>D8+H8+L8+T8</f>
        <v>2241362505.47474</v>
      </c>
      <c r="D8" s="628">
        <v>2142070920.9122393</v>
      </c>
      <c r="E8" s="628">
        <v>10621001.204152782</v>
      </c>
      <c r="F8" s="628">
        <v>0</v>
      </c>
      <c r="G8" s="628">
        <v>0</v>
      </c>
      <c r="H8" s="628">
        <v>79660258.328903317</v>
      </c>
      <c r="I8" s="628">
        <v>3104175.7163144005</v>
      </c>
      <c r="J8" s="628">
        <v>9955829.8461935874</v>
      </c>
      <c r="K8" s="628">
        <v>0</v>
      </c>
      <c r="L8" s="628">
        <v>19517149.873597115</v>
      </c>
      <c r="M8" s="628">
        <v>273651.29571084218</v>
      </c>
      <c r="N8" s="628">
        <v>717237.55392729107</v>
      </c>
      <c r="O8" s="628">
        <v>12715892.307010237</v>
      </c>
      <c r="P8" s="628">
        <v>0</v>
      </c>
      <c r="Q8" s="628">
        <v>0</v>
      </c>
      <c r="R8" s="628">
        <v>0</v>
      </c>
      <c r="S8" s="628">
        <v>0</v>
      </c>
      <c r="T8" s="628">
        <v>114176.35999999999</v>
      </c>
      <c r="U8" s="628">
        <v>0</v>
      </c>
      <c r="V8" s="628">
        <v>0</v>
      </c>
      <c r="W8" s="628">
        <v>0</v>
      </c>
      <c r="X8" s="628">
        <v>0</v>
      </c>
      <c r="Y8" s="628">
        <v>0</v>
      </c>
      <c r="Z8" s="628">
        <v>0</v>
      </c>
      <c r="AA8" s="637">
        <v>0</v>
      </c>
    </row>
    <row r="9" spans="1:27">
      <c r="A9" s="482">
        <v>1.1000000000000001</v>
      </c>
      <c r="B9" s="488" t="s">
        <v>484</v>
      </c>
      <c r="C9" s="638">
        <f>D9+H9+L9+T9</f>
        <v>1086639125.6771259</v>
      </c>
      <c r="D9" s="628">
        <v>1051487579.3943678</v>
      </c>
      <c r="E9" s="628">
        <v>4456547.3395648161</v>
      </c>
      <c r="F9" s="628"/>
      <c r="G9" s="628"/>
      <c r="H9" s="628">
        <v>30099932.050876144</v>
      </c>
      <c r="I9" s="628">
        <v>1367882.4488051285</v>
      </c>
      <c r="J9" s="628">
        <v>2397170.455456872</v>
      </c>
      <c r="K9" s="628"/>
      <c r="L9" s="628">
        <v>4973387.4718819018</v>
      </c>
      <c r="M9" s="628">
        <v>32113.225165773307</v>
      </c>
      <c r="N9" s="628">
        <v>82183.253885407001</v>
      </c>
      <c r="O9" s="628">
        <v>2625089.6333645359</v>
      </c>
      <c r="P9" s="628"/>
      <c r="Q9" s="628"/>
      <c r="R9" s="628"/>
      <c r="S9" s="628"/>
      <c r="T9" s="628">
        <v>78226.759999999995</v>
      </c>
      <c r="U9" s="628"/>
      <c r="V9" s="628"/>
      <c r="W9" s="628"/>
      <c r="X9" s="628"/>
      <c r="Y9" s="628"/>
      <c r="Z9" s="628"/>
      <c r="AA9" s="637"/>
    </row>
    <row r="10" spans="1:27">
      <c r="A10" s="486" t="s">
        <v>14</v>
      </c>
      <c r="B10" s="487" t="s">
        <v>485</v>
      </c>
      <c r="C10" s="639">
        <f>SUM(C11:C14)</f>
        <v>716597681.54420376</v>
      </c>
      <c r="D10" s="640">
        <f t="shared" ref="D10:AA10" si="0">SUM(D11:D14)</f>
        <v>700765036.9630717</v>
      </c>
      <c r="E10" s="640">
        <f t="shared" si="0"/>
        <v>2398975.4318768503</v>
      </c>
      <c r="F10" s="640">
        <f t="shared" si="0"/>
        <v>0</v>
      </c>
      <c r="G10" s="640">
        <f t="shared" si="0"/>
        <v>0</v>
      </c>
      <c r="H10" s="640">
        <f t="shared" si="0"/>
        <v>14887100.62127224</v>
      </c>
      <c r="I10" s="640">
        <f t="shared" si="0"/>
        <v>983328.70711720246</v>
      </c>
      <c r="J10" s="640">
        <f t="shared" si="0"/>
        <v>684439.7203292367</v>
      </c>
      <c r="K10" s="640">
        <f t="shared" si="0"/>
        <v>0</v>
      </c>
      <c r="L10" s="640">
        <f t="shared" si="0"/>
        <v>941058.93985992181</v>
      </c>
      <c r="M10" s="640">
        <f t="shared" si="0"/>
        <v>0</v>
      </c>
      <c r="N10" s="640">
        <f t="shared" si="0"/>
        <v>0</v>
      </c>
      <c r="O10" s="640">
        <f t="shared" si="0"/>
        <v>765556.56115715124</v>
      </c>
      <c r="P10" s="640">
        <f t="shared" si="0"/>
        <v>0</v>
      </c>
      <c r="Q10" s="640">
        <f t="shared" si="0"/>
        <v>0</v>
      </c>
      <c r="R10" s="640">
        <f t="shared" si="0"/>
        <v>0</v>
      </c>
      <c r="S10" s="639">
        <f t="shared" si="0"/>
        <v>0</v>
      </c>
      <c r="T10" s="639">
        <f t="shared" si="0"/>
        <v>4485.0200000000004</v>
      </c>
      <c r="U10" s="640">
        <f t="shared" si="0"/>
        <v>0</v>
      </c>
      <c r="V10" s="640">
        <f t="shared" si="0"/>
        <v>0</v>
      </c>
      <c r="W10" s="640">
        <f t="shared" si="0"/>
        <v>0</v>
      </c>
      <c r="X10" s="640">
        <f t="shared" si="0"/>
        <v>0</v>
      </c>
      <c r="Y10" s="640">
        <f t="shared" si="0"/>
        <v>0</v>
      </c>
      <c r="Z10" s="640">
        <f t="shared" si="0"/>
        <v>0</v>
      </c>
      <c r="AA10" s="640">
        <f t="shared" si="0"/>
        <v>0</v>
      </c>
    </row>
    <row r="11" spans="1:27">
      <c r="A11" s="484" t="s">
        <v>486</v>
      </c>
      <c r="B11" s="485" t="s">
        <v>487</v>
      </c>
      <c r="C11" s="638">
        <f>D11+H11+L11+T11</f>
        <v>446889895.18901181</v>
      </c>
      <c r="D11" s="628">
        <v>437882503.6405049</v>
      </c>
      <c r="E11" s="628">
        <v>1074989.5322241143</v>
      </c>
      <c r="F11" s="628"/>
      <c r="G11" s="628"/>
      <c r="H11" s="628">
        <v>8464923.0909837037</v>
      </c>
      <c r="I11" s="628">
        <v>666341.44712365733</v>
      </c>
      <c r="J11" s="628">
        <v>532288.40439692908</v>
      </c>
      <c r="K11" s="628"/>
      <c r="L11" s="628">
        <v>537983.43752326583</v>
      </c>
      <c r="M11" s="628"/>
      <c r="N11" s="628"/>
      <c r="O11" s="628">
        <v>506559.80329250457</v>
      </c>
      <c r="P11" s="628"/>
      <c r="Q11" s="628"/>
      <c r="R11" s="628"/>
      <c r="S11" s="628"/>
      <c r="T11" s="628">
        <v>4485.0200000000004</v>
      </c>
      <c r="U11" s="628"/>
      <c r="V11" s="628"/>
      <c r="W11" s="628"/>
      <c r="X11" s="628"/>
      <c r="Y11" s="628"/>
      <c r="Z11" s="628"/>
      <c r="AA11" s="637"/>
    </row>
    <row r="12" spans="1:27">
      <c r="A12" s="484" t="s">
        <v>488</v>
      </c>
      <c r="B12" s="485" t="s">
        <v>489</v>
      </c>
      <c r="C12" s="638">
        <f t="shared" ref="C12:C15" si="1">D12+H12+L12+T12</f>
        <v>159720712.52273887</v>
      </c>
      <c r="D12" s="628">
        <v>157582838.29043764</v>
      </c>
      <c r="E12" s="628">
        <v>1253738.409652736</v>
      </c>
      <c r="F12" s="628"/>
      <c r="G12" s="628"/>
      <c r="H12" s="628">
        <v>2137874.2323012357</v>
      </c>
      <c r="I12" s="628">
        <v>269231.92943299538</v>
      </c>
      <c r="J12" s="628">
        <v>121794.4535045892</v>
      </c>
      <c r="K12" s="628"/>
      <c r="L12" s="628"/>
      <c r="M12" s="628"/>
      <c r="N12" s="628"/>
      <c r="O12" s="628"/>
      <c r="P12" s="628"/>
      <c r="Q12" s="628"/>
      <c r="R12" s="628"/>
      <c r="S12" s="628"/>
      <c r="T12" s="628"/>
      <c r="U12" s="628"/>
      <c r="V12" s="628"/>
      <c r="W12" s="628"/>
      <c r="X12" s="628"/>
      <c r="Y12" s="628"/>
      <c r="Z12" s="628"/>
      <c r="AA12" s="637"/>
    </row>
    <row r="13" spans="1:27">
      <c r="A13" s="484" t="s">
        <v>490</v>
      </c>
      <c r="B13" s="485" t="s">
        <v>491</v>
      </c>
      <c r="C13" s="638">
        <f t="shared" si="1"/>
        <v>43862037.799801342</v>
      </c>
      <c r="D13" s="628">
        <v>42168679.444495998</v>
      </c>
      <c r="E13" s="628">
        <v>70247.490000000005</v>
      </c>
      <c r="F13" s="628"/>
      <c r="G13" s="628"/>
      <c r="H13" s="628">
        <v>1651825.547653272</v>
      </c>
      <c r="I13" s="628">
        <v>5826.34207829149</v>
      </c>
      <c r="J13" s="628">
        <v>30356.862427718501</v>
      </c>
      <c r="K13" s="628"/>
      <c r="L13" s="628">
        <v>41532.807652067699</v>
      </c>
      <c r="M13" s="628"/>
      <c r="N13" s="628"/>
      <c r="O13" s="628">
        <v>41532.807652067699</v>
      </c>
      <c r="P13" s="628"/>
      <c r="Q13" s="628"/>
      <c r="R13" s="628"/>
      <c r="S13" s="628"/>
      <c r="T13" s="628"/>
      <c r="U13" s="628"/>
      <c r="V13" s="628"/>
      <c r="W13" s="628"/>
      <c r="X13" s="628"/>
      <c r="Y13" s="628"/>
      <c r="Z13" s="628"/>
      <c r="AA13" s="637"/>
    </row>
    <row r="14" spans="1:27">
      <c r="A14" s="484" t="s">
        <v>492</v>
      </c>
      <c r="B14" s="485" t="s">
        <v>493</v>
      </c>
      <c r="C14" s="638">
        <f t="shared" si="1"/>
        <v>66125036.032651715</v>
      </c>
      <c r="D14" s="628">
        <v>63131015.587633103</v>
      </c>
      <c r="E14" s="628"/>
      <c r="F14" s="628"/>
      <c r="G14" s="628"/>
      <c r="H14" s="628">
        <v>2632477.7503340282</v>
      </c>
      <c r="I14" s="628">
        <v>41928.988482258297</v>
      </c>
      <c r="J14" s="628"/>
      <c r="K14" s="628"/>
      <c r="L14" s="628">
        <v>361542.69468458823</v>
      </c>
      <c r="M14" s="628"/>
      <c r="N14" s="628"/>
      <c r="O14" s="628">
        <v>217463.95021257902</v>
      </c>
      <c r="P14" s="628"/>
      <c r="Q14" s="628"/>
      <c r="R14" s="628"/>
      <c r="S14" s="628"/>
      <c r="T14" s="628"/>
      <c r="U14" s="628"/>
      <c r="V14" s="628"/>
      <c r="W14" s="628"/>
      <c r="X14" s="628"/>
      <c r="Y14" s="628"/>
      <c r="Z14" s="628"/>
      <c r="AA14" s="637"/>
    </row>
    <row r="15" spans="1:27">
      <c r="A15" s="483">
        <v>1.2</v>
      </c>
      <c r="B15" s="481" t="s">
        <v>689</v>
      </c>
      <c r="C15" s="638">
        <f t="shared" si="1"/>
        <v>15416542.983276866</v>
      </c>
      <c r="D15" s="628">
        <v>6545153.9166229852</v>
      </c>
      <c r="E15" s="628">
        <v>843572.71731368534</v>
      </c>
      <c r="F15" s="628"/>
      <c r="G15" s="628"/>
      <c r="H15" s="628">
        <v>4780764.120763571</v>
      </c>
      <c r="I15" s="628">
        <v>222613.96153093161</v>
      </c>
      <c r="J15" s="628">
        <v>950206.33848295547</v>
      </c>
      <c r="K15" s="628"/>
      <c r="L15" s="628">
        <v>4084600.8347013034</v>
      </c>
      <c r="M15" s="628">
        <v>27953.169828191974</v>
      </c>
      <c r="N15" s="628">
        <v>66975.835220975277</v>
      </c>
      <c r="O15" s="628">
        <v>2139952.0536731528</v>
      </c>
      <c r="P15" s="628"/>
      <c r="Q15" s="628"/>
      <c r="R15" s="628"/>
      <c r="S15" s="628"/>
      <c r="T15" s="628">
        <v>6024.1111890083857</v>
      </c>
      <c r="U15" s="628"/>
      <c r="V15" s="628"/>
      <c r="W15" s="628"/>
      <c r="X15" s="628"/>
      <c r="Y15" s="628"/>
      <c r="Z15" s="628"/>
      <c r="AA15" s="637"/>
    </row>
    <row r="16" spans="1:27">
      <c r="A16" s="482">
        <v>1.3</v>
      </c>
      <c r="B16" s="481" t="s">
        <v>532</v>
      </c>
      <c r="C16" s="641"/>
      <c r="D16" s="642"/>
      <c r="E16" s="642"/>
      <c r="F16" s="642"/>
      <c r="G16" s="642"/>
      <c r="H16" s="642"/>
      <c r="I16" s="642"/>
      <c r="J16" s="642"/>
      <c r="K16" s="642"/>
      <c r="L16" s="642"/>
      <c r="M16" s="642"/>
      <c r="N16" s="642"/>
      <c r="O16" s="642"/>
      <c r="P16" s="642"/>
      <c r="Q16" s="642"/>
      <c r="R16" s="642"/>
      <c r="S16" s="642"/>
      <c r="T16" s="642"/>
      <c r="U16" s="642"/>
      <c r="V16" s="642"/>
      <c r="W16" s="642"/>
      <c r="X16" s="642"/>
      <c r="Y16" s="642"/>
      <c r="Z16" s="642"/>
      <c r="AA16" s="643"/>
    </row>
    <row r="17" spans="1:27">
      <c r="A17" s="478" t="s">
        <v>494</v>
      </c>
      <c r="B17" s="480" t="s">
        <v>495</v>
      </c>
      <c r="C17" s="644">
        <f>D17+H17+L17+T17</f>
        <v>1068684942.9172846</v>
      </c>
      <c r="D17" s="628">
        <v>1034751177.102211</v>
      </c>
      <c r="E17" s="628">
        <v>4428259.7032709289</v>
      </c>
      <c r="F17" s="628"/>
      <c r="G17" s="628"/>
      <c r="H17" s="628">
        <v>29186443.440898206</v>
      </c>
      <c r="I17" s="628">
        <v>1325103.8268617906</v>
      </c>
      <c r="J17" s="628">
        <v>2316878.0363408513</v>
      </c>
      <c r="K17" s="628"/>
      <c r="L17" s="628">
        <v>4669095.6141754016</v>
      </c>
      <c r="M17" s="628">
        <v>32113.225165773307</v>
      </c>
      <c r="N17" s="628">
        <v>71683.207669983502</v>
      </c>
      <c r="O17" s="628">
        <v>2419545.4200651706</v>
      </c>
      <c r="P17" s="628"/>
      <c r="Q17" s="628"/>
      <c r="R17" s="628"/>
      <c r="S17" s="628"/>
      <c r="T17" s="628">
        <v>78226.759999999995</v>
      </c>
      <c r="U17" s="628"/>
      <c r="V17" s="628"/>
      <c r="W17" s="628"/>
      <c r="X17" s="628"/>
      <c r="Y17" s="628"/>
      <c r="Z17" s="628"/>
      <c r="AA17" s="637"/>
    </row>
    <row r="18" spans="1:27">
      <c r="A18" s="476" t="s">
        <v>496</v>
      </c>
      <c r="B18" s="477" t="s">
        <v>497</v>
      </c>
      <c r="C18" s="644">
        <f t="shared" ref="C18:C22" si="2">D18+H18+L18+T18</f>
        <v>699349438.31627703</v>
      </c>
      <c r="D18" s="628">
        <v>684345156.10188127</v>
      </c>
      <c r="E18" s="628">
        <v>2398975.4318768503</v>
      </c>
      <c r="F18" s="628"/>
      <c r="G18" s="628"/>
      <c r="H18" s="628">
        <v>14175102.079220466</v>
      </c>
      <c r="I18" s="628">
        <v>955450.21863494418</v>
      </c>
      <c r="J18" s="628">
        <v>684439.7203292367</v>
      </c>
      <c r="K18" s="628"/>
      <c r="L18" s="628">
        <v>824695.11517533357</v>
      </c>
      <c r="M18" s="628"/>
      <c r="N18" s="628"/>
      <c r="O18" s="628">
        <v>711078.41094457218</v>
      </c>
      <c r="P18" s="628"/>
      <c r="Q18" s="628"/>
      <c r="R18" s="628"/>
      <c r="S18" s="628"/>
      <c r="T18" s="628">
        <v>4485.0200000000004</v>
      </c>
      <c r="U18" s="628"/>
      <c r="V18" s="628"/>
      <c r="W18" s="628"/>
      <c r="X18" s="628"/>
      <c r="Y18" s="628"/>
      <c r="Z18" s="628"/>
      <c r="AA18" s="637"/>
    </row>
    <row r="19" spans="1:27">
      <c r="A19" s="478" t="s">
        <v>498</v>
      </c>
      <c r="B19" s="479" t="s">
        <v>499</v>
      </c>
      <c r="C19" s="644">
        <f t="shared" si="2"/>
        <v>1834870297.0624619</v>
      </c>
      <c r="D19" s="628">
        <v>1784448121.3440254</v>
      </c>
      <c r="E19" s="628">
        <v>10560005.851527171</v>
      </c>
      <c r="F19" s="628"/>
      <c r="G19" s="628"/>
      <c r="H19" s="628">
        <v>40177107.34654358</v>
      </c>
      <c r="I19" s="628">
        <v>1188742.763316531</v>
      </c>
      <c r="J19" s="628">
        <v>2375063.97645935</v>
      </c>
      <c r="K19" s="628"/>
      <c r="L19" s="628">
        <v>9368315.9744856637</v>
      </c>
      <c r="M19" s="628">
        <v>40999.634834226701</v>
      </c>
      <c r="N19" s="628">
        <v>35393.102330016496</v>
      </c>
      <c r="O19" s="628">
        <v>6686350.0685958937</v>
      </c>
      <c r="P19" s="628"/>
      <c r="Q19" s="628"/>
      <c r="R19" s="628"/>
      <c r="S19" s="628"/>
      <c r="T19" s="628">
        <v>876752.39740728145</v>
      </c>
      <c r="U19" s="628"/>
      <c r="V19" s="628"/>
      <c r="W19" s="628"/>
      <c r="X19" s="628"/>
      <c r="Y19" s="628"/>
      <c r="Z19" s="628"/>
      <c r="AA19" s="637"/>
    </row>
    <row r="20" spans="1:27">
      <c r="A20" s="476" t="s">
        <v>500</v>
      </c>
      <c r="B20" s="477" t="s">
        <v>497</v>
      </c>
      <c r="C20" s="644">
        <f t="shared" si="2"/>
        <v>836742061.90740728</v>
      </c>
      <c r="D20" s="628">
        <v>822826662</v>
      </c>
      <c r="E20" s="628">
        <v>1958835</v>
      </c>
      <c r="F20" s="628"/>
      <c r="G20" s="628"/>
      <c r="H20" s="628">
        <v>11907364</v>
      </c>
      <c r="I20" s="628">
        <v>635469</v>
      </c>
      <c r="J20" s="628">
        <v>564492.70104768674</v>
      </c>
      <c r="K20" s="628"/>
      <c r="L20" s="628">
        <v>1965909</v>
      </c>
      <c r="M20" s="628"/>
      <c r="N20" s="628"/>
      <c r="O20" s="628">
        <v>1937758</v>
      </c>
      <c r="P20" s="628"/>
      <c r="Q20" s="628"/>
      <c r="R20" s="628"/>
      <c r="S20" s="628"/>
      <c r="T20" s="628">
        <v>42126.9074072816</v>
      </c>
      <c r="U20" s="628"/>
      <c r="V20" s="628"/>
      <c r="W20" s="628"/>
      <c r="X20" s="628"/>
      <c r="Y20" s="628"/>
      <c r="Z20" s="628"/>
      <c r="AA20" s="637"/>
    </row>
    <row r="21" spans="1:27">
      <c r="A21" s="475">
        <v>1.4</v>
      </c>
      <c r="B21" s="474" t="s">
        <v>501</v>
      </c>
      <c r="C21" s="644">
        <f t="shared" si="2"/>
        <v>80030</v>
      </c>
      <c r="D21" s="628">
        <v>80030</v>
      </c>
      <c r="E21" s="628"/>
      <c r="F21" s="628"/>
      <c r="G21" s="628"/>
      <c r="H21" s="628"/>
      <c r="I21" s="628"/>
      <c r="J21" s="628"/>
      <c r="K21" s="628"/>
      <c r="L21" s="628"/>
      <c r="M21" s="628"/>
      <c r="N21" s="628"/>
      <c r="O21" s="628"/>
      <c r="P21" s="628"/>
      <c r="Q21" s="628"/>
      <c r="R21" s="628"/>
      <c r="S21" s="628"/>
      <c r="T21" s="628"/>
      <c r="U21" s="628"/>
      <c r="V21" s="628"/>
      <c r="W21" s="628"/>
      <c r="X21" s="628"/>
      <c r="Y21" s="628"/>
      <c r="Z21" s="628"/>
      <c r="AA21" s="637"/>
    </row>
    <row r="22" spans="1:27" ht="12.6" thickBot="1">
      <c r="A22" s="473">
        <v>1.5</v>
      </c>
      <c r="B22" s="472" t="s">
        <v>502</v>
      </c>
      <c r="C22" s="644">
        <f t="shared" si="2"/>
        <v>0</v>
      </c>
      <c r="D22" s="645"/>
      <c r="E22" s="645"/>
      <c r="F22" s="645"/>
      <c r="G22" s="645"/>
      <c r="H22" s="645"/>
      <c r="I22" s="645"/>
      <c r="J22" s="645"/>
      <c r="K22" s="645"/>
      <c r="L22" s="645"/>
      <c r="M22" s="645"/>
      <c r="N22" s="645"/>
      <c r="O22" s="645"/>
      <c r="P22" s="645"/>
      <c r="Q22" s="645"/>
      <c r="R22" s="645"/>
      <c r="S22" s="645"/>
      <c r="T22" s="645"/>
      <c r="U22" s="645"/>
      <c r="V22" s="645"/>
      <c r="W22" s="645"/>
      <c r="X22" s="645"/>
      <c r="Y22" s="645"/>
      <c r="Z22" s="645"/>
      <c r="AA22" s="646"/>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topLeftCell="C5" zoomScale="80" zoomScaleNormal="80" workbookViewId="0">
      <selection activeCell="I7" sqref="I7:L32"/>
    </sheetView>
  </sheetViews>
  <sheetFormatPr defaultColWidth="9.21875" defaultRowHeight="12"/>
  <cols>
    <col min="1" max="1" width="11.77734375" style="447" bestFit="1" customWidth="1"/>
    <col min="2" max="2" width="93.44140625" style="447" customWidth="1"/>
    <col min="3" max="3" width="14.6640625" style="447" customWidth="1"/>
    <col min="4" max="5" width="16.109375" style="447" customWidth="1"/>
    <col min="6" max="6" width="16.109375" style="465" customWidth="1"/>
    <col min="7" max="7" width="25.21875" style="465" customWidth="1"/>
    <col min="8" max="8" width="16.109375" style="447" customWidth="1"/>
    <col min="9" max="11" width="16.109375" style="465" customWidth="1"/>
    <col min="12" max="12" width="26.21875" style="465" customWidth="1"/>
    <col min="13" max="16384" width="9.21875" style="447"/>
  </cols>
  <sheetData>
    <row r="1" spans="1:12" ht="13.8">
      <c r="A1" s="350" t="s">
        <v>30</v>
      </c>
      <c r="B1" s="433" t="str">
        <f>'Info '!C2</f>
        <v>JSC "CREDOBANK"</v>
      </c>
      <c r="F1" s="447"/>
      <c r="G1" s="447"/>
      <c r="I1" s="447"/>
      <c r="J1" s="447"/>
      <c r="K1" s="447"/>
      <c r="L1" s="447"/>
    </row>
    <row r="2" spans="1:12">
      <c r="A2" s="350" t="s">
        <v>31</v>
      </c>
      <c r="B2" s="432">
        <f>'1. key ratios '!B2</f>
        <v>45473</v>
      </c>
      <c r="F2" s="447"/>
      <c r="G2" s="447"/>
      <c r="I2" s="447"/>
      <c r="J2" s="447"/>
      <c r="K2" s="447"/>
      <c r="L2" s="447"/>
    </row>
    <row r="3" spans="1:12">
      <c r="A3" s="351" t="s">
        <v>503</v>
      </c>
      <c r="F3" s="447"/>
      <c r="G3" s="447"/>
      <c r="I3" s="447"/>
      <c r="J3" s="447"/>
      <c r="K3" s="447"/>
      <c r="L3" s="447"/>
    </row>
    <row r="4" spans="1:12">
      <c r="F4" s="447"/>
      <c r="G4" s="447"/>
      <c r="I4" s="447"/>
      <c r="J4" s="447"/>
      <c r="K4" s="447"/>
      <c r="L4" s="447"/>
    </row>
    <row r="5" spans="1:12" ht="37.5" customHeight="1">
      <c r="A5" s="729" t="s">
        <v>520</v>
      </c>
      <c r="B5" s="730"/>
      <c r="C5" s="775" t="s">
        <v>504</v>
      </c>
      <c r="D5" s="776"/>
      <c r="E5" s="776"/>
      <c r="F5" s="776"/>
      <c r="G5" s="776"/>
      <c r="H5" s="775" t="s">
        <v>666</v>
      </c>
      <c r="I5" s="777"/>
      <c r="J5" s="777"/>
      <c r="K5" s="777"/>
      <c r="L5" s="778"/>
    </row>
    <row r="6" spans="1:12" ht="39.450000000000003" customHeight="1">
      <c r="A6" s="733"/>
      <c r="B6" s="734"/>
      <c r="C6" s="353"/>
      <c r="D6" s="445" t="s">
        <v>687</v>
      </c>
      <c r="E6" s="445" t="s">
        <v>686</v>
      </c>
      <c r="F6" s="445" t="s">
        <v>685</v>
      </c>
      <c r="G6" s="445" t="s">
        <v>684</v>
      </c>
      <c r="H6" s="466"/>
      <c r="I6" s="445" t="s">
        <v>687</v>
      </c>
      <c r="J6" s="445" t="s">
        <v>686</v>
      </c>
      <c r="K6" s="445" t="s">
        <v>685</v>
      </c>
      <c r="L6" s="445" t="s">
        <v>684</v>
      </c>
    </row>
    <row r="7" spans="1:12" ht="17.399999999999999">
      <c r="A7" s="436">
        <v>1</v>
      </c>
      <c r="B7" s="451" t="s">
        <v>523</v>
      </c>
      <c r="C7" s="647">
        <f>SUM(D7:G7)</f>
        <v>21262550.610000003</v>
      </c>
      <c r="D7" s="628">
        <v>20686166.66</v>
      </c>
      <c r="E7" s="628">
        <v>470844.6</v>
      </c>
      <c r="F7" s="628">
        <v>105539.35</v>
      </c>
      <c r="G7" s="648">
        <v>0</v>
      </c>
      <c r="H7" s="647">
        <f t="shared" ref="H7:H33" si="0">SUM(I7:L7)</f>
        <v>377158.40000000002</v>
      </c>
      <c r="I7" s="649">
        <v>213104.1</v>
      </c>
      <c r="J7" s="649">
        <v>73449.86</v>
      </c>
      <c r="K7" s="649">
        <v>90604.44</v>
      </c>
      <c r="L7" s="648">
        <v>0</v>
      </c>
    </row>
    <row r="8" spans="1:12">
      <c r="A8" s="436">
        <v>2</v>
      </c>
      <c r="B8" s="451" t="s">
        <v>436</v>
      </c>
      <c r="C8" s="647">
        <f t="shared" ref="C8:C33" si="1">SUM(D8:G8)</f>
        <v>12821716.780000001</v>
      </c>
      <c r="D8" s="628">
        <v>12478262.210000001</v>
      </c>
      <c r="E8" s="628">
        <v>290358.24</v>
      </c>
      <c r="F8" s="649">
        <v>53096.33</v>
      </c>
      <c r="G8" s="649">
        <v>0</v>
      </c>
      <c r="H8" s="647">
        <f t="shared" si="0"/>
        <v>222018.51</v>
      </c>
      <c r="I8" s="649">
        <v>100367.88</v>
      </c>
      <c r="J8" s="649">
        <v>75369.97</v>
      </c>
      <c r="K8" s="649">
        <v>46280.66</v>
      </c>
      <c r="L8" s="649">
        <v>0</v>
      </c>
    </row>
    <row r="9" spans="1:12">
      <c r="A9" s="436">
        <v>3</v>
      </c>
      <c r="B9" s="451" t="s">
        <v>437</v>
      </c>
      <c r="C9" s="647">
        <f t="shared" si="1"/>
        <v>6046164.4400000004</v>
      </c>
      <c r="D9" s="628">
        <v>5743763.6500000004</v>
      </c>
      <c r="E9" s="628">
        <v>277357.12</v>
      </c>
      <c r="F9" s="650">
        <v>25043.67</v>
      </c>
      <c r="G9" s="650">
        <v>0</v>
      </c>
      <c r="H9" s="647">
        <f t="shared" si="0"/>
        <v>126348.14</v>
      </c>
      <c r="I9" s="650">
        <v>59940.32</v>
      </c>
      <c r="J9" s="650">
        <v>44712.34</v>
      </c>
      <c r="K9" s="650">
        <v>21695.48</v>
      </c>
      <c r="L9" s="650">
        <v>0</v>
      </c>
    </row>
    <row r="10" spans="1:12">
      <c r="A10" s="436">
        <v>4</v>
      </c>
      <c r="B10" s="451" t="s">
        <v>524</v>
      </c>
      <c r="C10" s="647">
        <f t="shared" si="1"/>
        <v>16425515.439999999</v>
      </c>
      <c r="D10" s="628">
        <v>16282199.51</v>
      </c>
      <c r="E10" s="628">
        <v>15121.58</v>
      </c>
      <c r="F10" s="650">
        <v>128194.35</v>
      </c>
      <c r="G10" s="650">
        <v>0</v>
      </c>
      <c r="H10" s="647">
        <f t="shared" si="0"/>
        <v>155922.84</v>
      </c>
      <c r="I10" s="650">
        <v>54116.29</v>
      </c>
      <c r="J10" s="650">
        <v>5401.42</v>
      </c>
      <c r="K10" s="650">
        <v>96405.13</v>
      </c>
      <c r="L10" s="650">
        <v>0</v>
      </c>
    </row>
    <row r="11" spans="1:12">
      <c r="A11" s="436">
        <v>5</v>
      </c>
      <c r="B11" s="451" t="s">
        <v>438</v>
      </c>
      <c r="C11" s="647">
        <f t="shared" si="1"/>
        <v>35889342.660000004</v>
      </c>
      <c r="D11" s="628">
        <v>35129118.75</v>
      </c>
      <c r="E11" s="628">
        <v>510628.74</v>
      </c>
      <c r="F11" s="650">
        <v>249595.17</v>
      </c>
      <c r="G11" s="650">
        <v>0</v>
      </c>
      <c r="H11" s="647">
        <f t="shared" si="0"/>
        <v>375073.58999999997</v>
      </c>
      <c r="I11" s="650">
        <v>142242.07</v>
      </c>
      <c r="J11" s="650">
        <v>46066.49</v>
      </c>
      <c r="K11" s="650">
        <v>186765.03</v>
      </c>
      <c r="L11" s="650">
        <v>0</v>
      </c>
    </row>
    <row r="12" spans="1:12">
      <c r="A12" s="436">
        <v>6</v>
      </c>
      <c r="B12" s="451" t="s">
        <v>439</v>
      </c>
      <c r="C12" s="647">
        <f t="shared" si="1"/>
        <v>11390936.779999999</v>
      </c>
      <c r="D12" s="628">
        <v>10891245.34</v>
      </c>
      <c r="E12" s="628">
        <v>387238.54</v>
      </c>
      <c r="F12" s="650">
        <v>112452.9</v>
      </c>
      <c r="G12" s="650">
        <v>0</v>
      </c>
      <c r="H12" s="647">
        <f t="shared" si="0"/>
        <v>231649.53999999998</v>
      </c>
      <c r="I12" s="650">
        <v>76722.33</v>
      </c>
      <c r="J12" s="650">
        <v>57453.66</v>
      </c>
      <c r="K12" s="650">
        <v>97473.55</v>
      </c>
      <c r="L12" s="650">
        <v>0</v>
      </c>
    </row>
    <row r="13" spans="1:12">
      <c r="A13" s="436">
        <v>7</v>
      </c>
      <c r="B13" s="451" t="s">
        <v>440</v>
      </c>
      <c r="C13" s="647">
        <f t="shared" si="1"/>
        <v>4616933.7299999995</v>
      </c>
      <c r="D13" s="628">
        <v>4348049.0199999996</v>
      </c>
      <c r="E13" s="628">
        <v>215865.37</v>
      </c>
      <c r="F13" s="650">
        <v>53019.34</v>
      </c>
      <c r="G13" s="650">
        <v>0</v>
      </c>
      <c r="H13" s="647">
        <f t="shared" si="0"/>
        <v>124517.53</v>
      </c>
      <c r="I13" s="650">
        <v>41901.5</v>
      </c>
      <c r="J13" s="650">
        <v>36709.550000000003</v>
      </c>
      <c r="K13" s="650">
        <v>45906.48</v>
      </c>
      <c r="L13" s="650">
        <v>0</v>
      </c>
    </row>
    <row r="14" spans="1:12">
      <c r="A14" s="436">
        <v>8</v>
      </c>
      <c r="B14" s="451" t="s">
        <v>441</v>
      </c>
      <c r="C14" s="647">
        <f t="shared" si="1"/>
        <v>163865781.10000002</v>
      </c>
      <c r="D14" s="628">
        <v>157729662.30000001</v>
      </c>
      <c r="E14" s="628">
        <v>4925506.83</v>
      </c>
      <c r="F14" s="650">
        <v>1190781.29</v>
      </c>
      <c r="G14" s="650">
        <v>19830.68</v>
      </c>
      <c r="H14" s="647">
        <f t="shared" si="0"/>
        <v>3138773.6700000004</v>
      </c>
      <c r="I14" s="650">
        <v>1288357.01</v>
      </c>
      <c r="J14" s="650">
        <v>835386.9</v>
      </c>
      <c r="K14" s="650">
        <v>1014809.14</v>
      </c>
      <c r="L14" s="650">
        <v>220.62</v>
      </c>
    </row>
    <row r="15" spans="1:12">
      <c r="A15" s="436">
        <v>9</v>
      </c>
      <c r="B15" s="451" t="s">
        <v>442</v>
      </c>
      <c r="C15" s="647">
        <f t="shared" si="1"/>
        <v>29720853.120000001</v>
      </c>
      <c r="D15" s="628">
        <v>28449828.280000001</v>
      </c>
      <c r="E15" s="628">
        <v>1060928.3500000001</v>
      </c>
      <c r="F15" s="650">
        <v>210096.49</v>
      </c>
      <c r="G15" s="650">
        <v>0</v>
      </c>
      <c r="H15" s="647">
        <f t="shared" si="0"/>
        <v>635845.72</v>
      </c>
      <c r="I15" s="650">
        <v>250726.86</v>
      </c>
      <c r="J15" s="650">
        <v>207362.62</v>
      </c>
      <c r="K15" s="650">
        <v>177756.24</v>
      </c>
      <c r="L15" s="650">
        <v>0</v>
      </c>
    </row>
    <row r="16" spans="1:12">
      <c r="A16" s="436">
        <v>10</v>
      </c>
      <c r="B16" s="451" t="s">
        <v>443</v>
      </c>
      <c r="C16" s="647">
        <f t="shared" si="1"/>
        <v>15286050.23</v>
      </c>
      <c r="D16" s="628">
        <v>14575445.460000001</v>
      </c>
      <c r="E16" s="628">
        <v>647502.36</v>
      </c>
      <c r="F16" s="650">
        <v>63102.41</v>
      </c>
      <c r="G16" s="650">
        <v>0</v>
      </c>
      <c r="H16" s="647">
        <f t="shared" si="0"/>
        <v>250631.18</v>
      </c>
      <c r="I16" s="650">
        <v>108334.04</v>
      </c>
      <c r="J16" s="650">
        <v>87587.65</v>
      </c>
      <c r="K16" s="650">
        <v>54709.49</v>
      </c>
      <c r="L16" s="650">
        <v>0</v>
      </c>
    </row>
    <row r="17" spans="1:12">
      <c r="A17" s="436">
        <v>11</v>
      </c>
      <c r="B17" s="451" t="s">
        <v>444</v>
      </c>
      <c r="C17" s="647">
        <f t="shared" si="1"/>
        <v>7317353.6800000006</v>
      </c>
      <c r="D17" s="628">
        <v>6968718.1500000004</v>
      </c>
      <c r="E17" s="628">
        <v>248855.69</v>
      </c>
      <c r="F17" s="650">
        <v>86252.04</v>
      </c>
      <c r="G17" s="650">
        <v>13527.8</v>
      </c>
      <c r="H17" s="647">
        <f t="shared" si="0"/>
        <v>196280.27</v>
      </c>
      <c r="I17" s="650">
        <v>80869.899999999994</v>
      </c>
      <c r="J17" s="650">
        <v>40863.449999999997</v>
      </c>
      <c r="K17" s="650">
        <v>74396.42</v>
      </c>
      <c r="L17" s="650">
        <v>150.5</v>
      </c>
    </row>
    <row r="18" spans="1:12">
      <c r="A18" s="436">
        <v>12</v>
      </c>
      <c r="B18" s="451" t="s">
        <v>445</v>
      </c>
      <c r="C18" s="647">
        <f t="shared" si="1"/>
        <v>126003452.63000001</v>
      </c>
      <c r="D18" s="628">
        <v>120906058.43000001</v>
      </c>
      <c r="E18" s="628">
        <v>4453923.28</v>
      </c>
      <c r="F18" s="650">
        <v>643470.92000000004</v>
      </c>
      <c r="G18" s="650">
        <v>0</v>
      </c>
      <c r="H18" s="647">
        <f t="shared" si="0"/>
        <v>2028494.79</v>
      </c>
      <c r="I18" s="650">
        <v>902300.9</v>
      </c>
      <c r="J18" s="650">
        <v>573305.89</v>
      </c>
      <c r="K18" s="650">
        <v>552888</v>
      </c>
      <c r="L18" s="650">
        <v>0</v>
      </c>
    </row>
    <row r="19" spans="1:12">
      <c r="A19" s="436">
        <v>13</v>
      </c>
      <c r="B19" s="451" t="s">
        <v>446</v>
      </c>
      <c r="C19" s="647">
        <f t="shared" si="1"/>
        <v>18517378.210000001</v>
      </c>
      <c r="D19" s="628">
        <v>17922308.32</v>
      </c>
      <c r="E19" s="628">
        <v>447173.98</v>
      </c>
      <c r="F19" s="650">
        <v>147895.91</v>
      </c>
      <c r="G19" s="650">
        <v>0</v>
      </c>
      <c r="H19" s="647">
        <f t="shared" si="0"/>
        <v>356494.42</v>
      </c>
      <c r="I19" s="650">
        <v>155201.81</v>
      </c>
      <c r="J19" s="650">
        <v>73268.61</v>
      </c>
      <c r="K19" s="650">
        <v>128024</v>
      </c>
      <c r="L19" s="650">
        <v>0</v>
      </c>
    </row>
    <row r="20" spans="1:12">
      <c r="A20" s="436">
        <v>14</v>
      </c>
      <c r="B20" s="451" t="s">
        <v>447</v>
      </c>
      <c r="C20" s="647">
        <f t="shared" si="1"/>
        <v>59275318.169999994</v>
      </c>
      <c r="D20" s="628">
        <v>54008418.979999997</v>
      </c>
      <c r="E20" s="628">
        <v>5156767.8899999997</v>
      </c>
      <c r="F20" s="650">
        <v>110131.3</v>
      </c>
      <c r="G20" s="650">
        <v>0</v>
      </c>
      <c r="H20" s="647">
        <f t="shared" si="0"/>
        <v>1125039.1099999999</v>
      </c>
      <c r="I20" s="650">
        <v>339769.44</v>
      </c>
      <c r="J20" s="650">
        <v>690246.49</v>
      </c>
      <c r="K20" s="650">
        <v>95023.18</v>
      </c>
      <c r="L20" s="650">
        <v>0</v>
      </c>
    </row>
    <row r="21" spans="1:12">
      <c r="A21" s="436">
        <v>15</v>
      </c>
      <c r="B21" s="451" t="s">
        <v>448</v>
      </c>
      <c r="C21" s="647">
        <f t="shared" si="1"/>
        <v>40853876.420000002</v>
      </c>
      <c r="D21" s="628">
        <v>36398071.369999997</v>
      </c>
      <c r="E21" s="628">
        <v>4065561.7</v>
      </c>
      <c r="F21" s="650">
        <v>371364.38</v>
      </c>
      <c r="G21" s="650">
        <v>18878.97</v>
      </c>
      <c r="H21" s="647">
        <f t="shared" si="0"/>
        <v>1141919.6200000001</v>
      </c>
      <c r="I21" s="650">
        <v>338488.76</v>
      </c>
      <c r="J21" s="650">
        <v>479178.59</v>
      </c>
      <c r="K21" s="650">
        <v>321677.64</v>
      </c>
      <c r="L21" s="650">
        <v>2574.63</v>
      </c>
    </row>
    <row r="22" spans="1:12">
      <c r="A22" s="436">
        <v>16</v>
      </c>
      <c r="B22" s="451" t="s">
        <v>449</v>
      </c>
      <c r="C22" s="647">
        <f t="shared" si="1"/>
        <v>12513090.84</v>
      </c>
      <c r="D22" s="628">
        <v>12143078.619999999</v>
      </c>
      <c r="E22" s="628">
        <v>279968.83</v>
      </c>
      <c r="F22" s="650">
        <v>90043.39</v>
      </c>
      <c r="G22" s="650">
        <v>0</v>
      </c>
      <c r="H22" s="647">
        <f t="shared" si="0"/>
        <v>220888.52</v>
      </c>
      <c r="I22" s="650">
        <v>96165.32</v>
      </c>
      <c r="J22" s="650">
        <v>46730.61</v>
      </c>
      <c r="K22" s="650">
        <v>77992.59</v>
      </c>
      <c r="L22" s="650">
        <v>0</v>
      </c>
    </row>
    <row r="23" spans="1:12">
      <c r="A23" s="436">
        <v>17</v>
      </c>
      <c r="B23" s="451" t="s">
        <v>527</v>
      </c>
      <c r="C23" s="647">
        <f t="shared" si="1"/>
        <v>876598.54</v>
      </c>
      <c r="D23" s="628">
        <v>820196.38</v>
      </c>
      <c r="E23" s="628">
        <v>44211.79</v>
      </c>
      <c r="F23" s="650">
        <v>12190.37</v>
      </c>
      <c r="G23" s="650">
        <v>0</v>
      </c>
      <c r="H23" s="647">
        <f t="shared" si="0"/>
        <v>30101.14</v>
      </c>
      <c r="I23" s="650">
        <v>8374.0400000000009</v>
      </c>
      <c r="J23" s="650">
        <v>11160.81</v>
      </c>
      <c r="K23" s="650">
        <v>10566.29</v>
      </c>
      <c r="L23" s="650">
        <v>0</v>
      </c>
    </row>
    <row r="24" spans="1:12">
      <c r="A24" s="436">
        <v>18</v>
      </c>
      <c r="B24" s="451" t="s">
        <v>450</v>
      </c>
      <c r="C24" s="647">
        <f t="shared" si="1"/>
        <v>3376419.73</v>
      </c>
      <c r="D24" s="628">
        <v>3257673.86</v>
      </c>
      <c r="E24" s="628">
        <v>106669.29</v>
      </c>
      <c r="F24" s="650">
        <v>12076.58</v>
      </c>
      <c r="G24" s="650">
        <v>0</v>
      </c>
      <c r="H24" s="647">
        <f t="shared" si="0"/>
        <v>58658.29</v>
      </c>
      <c r="I24" s="650">
        <v>33610.080000000002</v>
      </c>
      <c r="J24" s="650">
        <v>14599.46</v>
      </c>
      <c r="K24" s="650">
        <v>10448.75</v>
      </c>
      <c r="L24" s="650">
        <v>0</v>
      </c>
    </row>
    <row r="25" spans="1:12">
      <c r="A25" s="436">
        <v>19</v>
      </c>
      <c r="B25" s="451" t="s">
        <v>451</v>
      </c>
      <c r="C25" s="647">
        <f t="shared" si="1"/>
        <v>6609278.1699999999</v>
      </c>
      <c r="D25" s="628">
        <v>6417551.3399999999</v>
      </c>
      <c r="E25" s="628">
        <v>157050.41</v>
      </c>
      <c r="F25" s="650">
        <v>34676.42</v>
      </c>
      <c r="G25" s="650">
        <v>0</v>
      </c>
      <c r="H25" s="647">
        <f t="shared" si="0"/>
        <v>130936.09</v>
      </c>
      <c r="I25" s="650">
        <v>69331.81</v>
      </c>
      <c r="J25" s="650">
        <v>31605.11</v>
      </c>
      <c r="K25" s="650">
        <v>29999.17</v>
      </c>
      <c r="L25" s="650">
        <v>0</v>
      </c>
    </row>
    <row r="26" spans="1:12">
      <c r="A26" s="436">
        <v>20</v>
      </c>
      <c r="B26" s="451" t="s">
        <v>526</v>
      </c>
      <c r="C26" s="647">
        <f t="shared" si="1"/>
        <v>16418996.189999999</v>
      </c>
      <c r="D26" s="628">
        <v>16069337.109999999</v>
      </c>
      <c r="E26" s="628">
        <v>286338.93</v>
      </c>
      <c r="F26" s="650">
        <v>63320.15</v>
      </c>
      <c r="G26" s="650">
        <v>0</v>
      </c>
      <c r="H26" s="647">
        <f t="shared" si="0"/>
        <v>213546.4</v>
      </c>
      <c r="I26" s="650">
        <v>122255.38</v>
      </c>
      <c r="J26" s="650">
        <v>36454.11</v>
      </c>
      <c r="K26" s="650">
        <v>54836.91</v>
      </c>
      <c r="L26" s="650">
        <v>0</v>
      </c>
    </row>
    <row r="27" spans="1:12">
      <c r="A27" s="436">
        <v>21</v>
      </c>
      <c r="B27" s="451" t="s">
        <v>452</v>
      </c>
      <c r="C27" s="647">
        <f t="shared" si="1"/>
        <v>1993076.5799999998</v>
      </c>
      <c r="D27" s="628">
        <v>1976348.69</v>
      </c>
      <c r="E27" s="628">
        <v>16291.48</v>
      </c>
      <c r="F27" s="650">
        <v>436.41</v>
      </c>
      <c r="G27" s="650">
        <v>0</v>
      </c>
      <c r="H27" s="647">
        <f t="shared" si="0"/>
        <v>20126.45</v>
      </c>
      <c r="I27" s="650">
        <v>17506.57</v>
      </c>
      <c r="J27" s="650">
        <v>2241.61</v>
      </c>
      <c r="K27" s="650">
        <v>378.27</v>
      </c>
      <c r="L27" s="650">
        <v>0</v>
      </c>
    </row>
    <row r="28" spans="1:12">
      <c r="A28" s="436">
        <v>22</v>
      </c>
      <c r="B28" s="451" t="s">
        <v>453</v>
      </c>
      <c r="C28" s="647">
        <f t="shared" si="1"/>
        <v>693922.92</v>
      </c>
      <c r="D28" s="628">
        <v>650600.1</v>
      </c>
      <c r="E28" s="628">
        <v>32344.68</v>
      </c>
      <c r="F28" s="650">
        <v>10978.14</v>
      </c>
      <c r="G28" s="650">
        <v>0</v>
      </c>
      <c r="H28" s="647">
        <f t="shared" si="0"/>
        <v>29784.510000000002</v>
      </c>
      <c r="I28" s="650">
        <v>6429.96</v>
      </c>
      <c r="J28" s="650">
        <v>13838.95</v>
      </c>
      <c r="K28" s="650">
        <v>9515.6</v>
      </c>
      <c r="L28" s="650">
        <v>0</v>
      </c>
    </row>
    <row r="29" spans="1:12">
      <c r="A29" s="436">
        <v>23</v>
      </c>
      <c r="B29" s="451" t="s">
        <v>454</v>
      </c>
      <c r="C29" s="647">
        <f t="shared" si="1"/>
        <v>528542334.00999999</v>
      </c>
      <c r="D29" s="628">
        <v>505223767.41000003</v>
      </c>
      <c r="E29" s="628">
        <v>18224932.210000001</v>
      </c>
      <c r="F29" s="650">
        <v>5070917.1100000003</v>
      </c>
      <c r="G29" s="650">
        <v>22717.279999999999</v>
      </c>
      <c r="H29" s="647">
        <f t="shared" si="0"/>
        <v>12501489.349999998</v>
      </c>
      <c r="I29" s="650">
        <v>4664931.83</v>
      </c>
      <c r="J29" s="650">
        <v>3482660.77</v>
      </c>
      <c r="K29" s="650">
        <v>4352249.3899999997</v>
      </c>
      <c r="L29" s="650">
        <v>1647.36</v>
      </c>
    </row>
    <row r="30" spans="1:12">
      <c r="A30" s="436">
        <v>24</v>
      </c>
      <c r="B30" s="451" t="s">
        <v>525</v>
      </c>
      <c r="C30" s="647">
        <f t="shared" si="1"/>
        <v>843897832.99000013</v>
      </c>
      <c r="D30" s="628">
        <v>804939283.44000006</v>
      </c>
      <c r="E30" s="628">
        <v>30766295.73</v>
      </c>
      <c r="F30" s="650">
        <v>8165936.3600000003</v>
      </c>
      <c r="G30" s="650">
        <v>26317.46</v>
      </c>
      <c r="H30" s="647">
        <f t="shared" si="0"/>
        <v>19559313.969999999</v>
      </c>
      <c r="I30" s="650">
        <v>7212477.4400000004</v>
      </c>
      <c r="J30" s="650">
        <v>5300174.92</v>
      </c>
      <c r="K30" s="650">
        <v>7042609.8799999999</v>
      </c>
      <c r="L30" s="650">
        <v>4051.73</v>
      </c>
    </row>
    <row r="31" spans="1:12">
      <c r="A31" s="436">
        <v>25</v>
      </c>
      <c r="B31" s="451" t="s">
        <v>455</v>
      </c>
      <c r="C31" s="647">
        <f t="shared" si="1"/>
        <v>197233837.90000001</v>
      </c>
      <c r="D31" s="628">
        <v>190724185.62</v>
      </c>
      <c r="E31" s="628">
        <v>4568697.18</v>
      </c>
      <c r="F31" s="650">
        <v>1928050.93</v>
      </c>
      <c r="G31" s="650">
        <v>12904.17</v>
      </c>
      <c r="H31" s="647">
        <f t="shared" si="0"/>
        <v>4280867.2699999996</v>
      </c>
      <c r="I31" s="650">
        <v>1701103.14</v>
      </c>
      <c r="J31" s="650">
        <v>978471.86</v>
      </c>
      <c r="K31" s="650">
        <v>1601148.71</v>
      </c>
      <c r="L31" s="650">
        <v>143.56</v>
      </c>
    </row>
    <row r="32" spans="1:12">
      <c r="A32" s="436">
        <v>26</v>
      </c>
      <c r="B32" s="451" t="s">
        <v>522</v>
      </c>
      <c r="C32" s="647">
        <f t="shared" si="1"/>
        <v>59913893.589999996</v>
      </c>
      <c r="D32" s="628">
        <v>57331581.909999996</v>
      </c>
      <c r="E32" s="628">
        <v>2003823.54</v>
      </c>
      <c r="F32" s="650">
        <v>578488.14</v>
      </c>
      <c r="G32" s="650">
        <v>0</v>
      </c>
      <c r="H32" s="647">
        <f t="shared" si="0"/>
        <v>1490922.51</v>
      </c>
      <c r="I32" s="650">
        <v>628530.62</v>
      </c>
      <c r="J32" s="650">
        <v>360537.31</v>
      </c>
      <c r="K32" s="650">
        <v>501854.58</v>
      </c>
      <c r="L32" s="650">
        <v>0</v>
      </c>
    </row>
    <row r="33" spans="1:12">
      <c r="A33" s="436">
        <v>27</v>
      </c>
      <c r="B33" s="494" t="s">
        <v>64</v>
      </c>
      <c r="C33" s="647">
        <f t="shared" si="1"/>
        <v>2241362505.46</v>
      </c>
      <c r="D33" s="633">
        <f>SUM(D7:D32)</f>
        <v>2142070920.9100001</v>
      </c>
      <c r="E33" s="633">
        <f t="shared" ref="E33:G33" si="2">SUM(E7:E32)</f>
        <v>79660258.340000018</v>
      </c>
      <c r="F33" s="633">
        <f t="shared" si="2"/>
        <v>19517149.850000001</v>
      </c>
      <c r="G33" s="633">
        <f t="shared" si="2"/>
        <v>114176.36</v>
      </c>
      <c r="H33" s="647">
        <f t="shared" si="0"/>
        <v>49022801.830000006</v>
      </c>
      <c r="I33" s="651">
        <f>SUM(I7:I32)</f>
        <v>18713159.400000002</v>
      </c>
      <c r="J33" s="651">
        <f t="shared" ref="J33:L33" si="3">SUM(J7:J32)</f>
        <v>13604839.01</v>
      </c>
      <c r="K33" s="651">
        <f t="shared" si="3"/>
        <v>16696015.020000001</v>
      </c>
      <c r="L33" s="651">
        <f t="shared" si="3"/>
        <v>8788.4</v>
      </c>
    </row>
    <row r="35" spans="1:12">
      <c r="B35" s="493"/>
      <c r="C35" s="493"/>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3"/>
  <sheetViews>
    <sheetView showGridLines="0" zoomScale="80" zoomScaleNormal="80" workbookViewId="0">
      <selection activeCell="C6" sqref="C6:K11"/>
    </sheetView>
  </sheetViews>
  <sheetFormatPr defaultColWidth="8.77734375" defaultRowHeight="12"/>
  <cols>
    <col min="1" max="1" width="11.77734375" style="495" bestFit="1" customWidth="1"/>
    <col min="2" max="2" width="47.109375" style="495" customWidth="1"/>
    <col min="3" max="11" width="18.77734375" style="495" customWidth="1"/>
    <col min="12" max="16384" width="8.77734375" style="495"/>
  </cols>
  <sheetData>
    <row r="1" spans="1:11" s="447" customFormat="1" ht="13.8">
      <c r="A1" s="350" t="s">
        <v>30</v>
      </c>
      <c r="B1" s="433" t="str">
        <f>'Info '!C2</f>
        <v>JSC "CREDOBANK"</v>
      </c>
    </row>
    <row r="2" spans="1:11" s="447" customFormat="1">
      <c r="A2" s="350" t="s">
        <v>31</v>
      </c>
      <c r="B2" s="432">
        <f>'1. key ratios '!B2</f>
        <v>45473</v>
      </c>
    </row>
    <row r="3" spans="1:11" s="447" customFormat="1">
      <c r="A3" s="351" t="s">
        <v>505</v>
      </c>
    </row>
    <row r="4" spans="1:11">
      <c r="C4" s="498" t="s">
        <v>701</v>
      </c>
      <c r="D4" s="498" t="s">
        <v>700</v>
      </c>
      <c r="E4" s="498" t="s">
        <v>699</v>
      </c>
      <c r="F4" s="498" t="s">
        <v>698</v>
      </c>
      <c r="G4" s="498" t="s">
        <v>697</v>
      </c>
      <c r="H4" s="498" t="s">
        <v>696</v>
      </c>
      <c r="I4" s="498" t="s">
        <v>695</v>
      </c>
      <c r="J4" s="498" t="s">
        <v>694</v>
      </c>
      <c r="K4" s="498" t="s">
        <v>693</v>
      </c>
    </row>
    <row r="5" spans="1:11" ht="103.95" customHeight="1">
      <c r="A5" s="779" t="s">
        <v>692</v>
      </c>
      <c r="B5" s="780"/>
      <c r="C5" s="497" t="s">
        <v>506</v>
      </c>
      <c r="D5" s="497" t="s">
        <v>507</v>
      </c>
      <c r="E5" s="497" t="s">
        <v>508</v>
      </c>
      <c r="F5" s="497" t="s">
        <v>509</v>
      </c>
      <c r="G5" s="497" t="s">
        <v>510</v>
      </c>
      <c r="H5" s="497" t="s">
        <v>511</v>
      </c>
      <c r="I5" s="497" t="s">
        <v>512</v>
      </c>
      <c r="J5" s="497" t="s">
        <v>513</v>
      </c>
      <c r="K5" s="497" t="s">
        <v>514</v>
      </c>
    </row>
    <row r="6" spans="1:11">
      <c r="A6" s="436">
        <v>1</v>
      </c>
      <c r="B6" s="436" t="s">
        <v>474</v>
      </c>
      <c r="C6" s="628">
        <v>4974027.8021809971</v>
      </c>
      <c r="D6" s="628">
        <v>80030</v>
      </c>
      <c r="E6" s="628"/>
      <c r="F6" s="628"/>
      <c r="G6" s="628">
        <v>679581005.05170107</v>
      </c>
      <c r="H6" s="628"/>
      <c r="I6" s="628">
        <v>106097629.76047689</v>
      </c>
      <c r="J6" s="628">
        <v>278032280.30291188</v>
      </c>
      <c r="K6" s="628">
        <v>1277818924.6162167</v>
      </c>
    </row>
    <row r="7" spans="1:11">
      <c r="A7" s="436">
        <v>2</v>
      </c>
      <c r="B7" s="436" t="s">
        <v>515</v>
      </c>
      <c r="C7" s="628"/>
      <c r="D7" s="628"/>
      <c r="E7" s="628"/>
      <c r="F7" s="628"/>
      <c r="G7" s="628"/>
      <c r="H7" s="628"/>
      <c r="I7" s="628"/>
      <c r="J7" s="628"/>
      <c r="K7" s="628"/>
    </row>
    <row r="8" spans="1:11">
      <c r="A8" s="436">
        <v>3</v>
      </c>
      <c r="B8" s="436" t="s">
        <v>482</v>
      </c>
      <c r="C8" s="628">
        <v>1967070</v>
      </c>
      <c r="D8" s="628"/>
      <c r="E8" s="628"/>
      <c r="F8" s="628"/>
      <c r="G8" s="628">
        <v>970850</v>
      </c>
      <c r="H8" s="628"/>
      <c r="I8" s="628"/>
      <c r="J8" s="628"/>
      <c r="K8" s="628">
        <v>72818527.673736006</v>
      </c>
    </row>
    <row r="9" spans="1:11">
      <c r="A9" s="436">
        <v>4</v>
      </c>
      <c r="B9" s="456" t="s">
        <v>516</v>
      </c>
      <c r="C9" s="652"/>
      <c r="D9" s="652"/>
      <c r="E9" s="652"/>
      <c r="F9" s="652"/>
      <c r="G9" s="652">
        <v>799421.70495818148</v>
      </c>
      <c r="H9" s="652"/>
      <c r="I9" s="652">
        <v>1103058.7388014533</v>
      </c>
      <c r="J9" s="652">
        <v>2844841.9304157612</v>
      </c>
      <c r="K9" s="652">
        <v>14884003.845656805</v>
      </c>
    </row>
    <row r="10" spans="1:11">
      <c r="A10" s="436">
        <v>5</v>
      </c>
      <c r="B10" s="456" t="s">
        <v>517</v>
      </c>
      <c r="C10" s="652"/>
      <c r="D10" s="652"/>
      <c r="E10" s="652"/>
      <c r="F10" s="652"/>
      <c r="G10" s="652"/>
      <c r="H10" s="652"/>
      <c r="I10" s="652"/>
      <c r="J10" s="652"/>
      <c r="K10" s="652"/>
    </row>
    <row r="11" spans="1:11">
      <c r="A11" s="436">
        <v>6</v>
      </c>
      <c r="B11" s="456" t="s">
        <v>518</v>
      </c>
      <c r="C11" s="652"/>
      <c r="D11" s="652"/>
      <c r="E11" s="652"/>
      <c r="F11" s="652"/>
      <c r="G11" s="652"/>
      <c r="H11" s="652"/>
      <c r="I11" s="652"/>
      <c r="J11" s="652"/>
      <c r="K11" s="652"/>
    </row>
    <row r="13" spans="1:11" ht="13.8">
      <c r="B13" s="496"/>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0"/>
  <sheetViews>
    <sheetView showGridLines="0" zoomScale="80" zoomScaleNormal="80" workbookViewId="0">
      <selection activeCell="I28" sqref="I28"/>
    </sheetView>
  </sheetViews>
  <sheetFormatPr defaultColWidth="8.77734375" defaultRowHeight="14.4"/>
  <cols>
    <col min="1" max="1" width="10" style="499" bestFit="1" customWidth="1"/>
    <col min="2" max="2" width="71.77734375" style="499" customWidth="1"/>
    <col min="3" max="3" width="11.6640625" style="499" bestFit="1" customWidth="1"/>
    <col min="4" max="5" width="15.21875" style="499" bestFit="1" customWidth="1"/>
    <col min="6" max="6" width="20" style="499" bestFit="1" customWidth="1"/>
    <col min="7" max="7" width="37.6640625" style="499" bestFit="1" customWidth="1"/>
    <col min="8" max="8" width="11.6640625" style="499" bestFit="1" customWidth="1"/>
    <col min="9" max="10" width="15.21875" style="499" bestFit="1" customWidth="1"/>
    <col min="11" max="11" width="20" style="499" bestFit="1" customWidth="1"/>
    <col min="12" max="12" width="37.6640625" style="499" bestFit="1" customWidth="1"/>
    <col min="13" max="13" width="10.6640625" style="499" bestFit="1" customWidth="1"/>
    <col min="14" max="15" width="15.21875" style="499" bestFit="1" customWidth="1"/>
    <col min="16" max="16" width="20" style="499" bestFit="1" customWidth="1"/>
    <col min="17" max="17" width="37.6640625" style="499" bestFit="1" customWidth="1"/>
    <col min="18" max="18" width="18" style="499" bestFit="1" customWidth="1"/>
    <col min="19" max="19" width="45" style="499" bestFit="1" customWidth="1"/>
    <col min="20" max="20" width="45.5546875" style="499" bestFit="1" customWidth="1"/>
    <col min="21" max="21" width="47.6640625" style="499" bestFit="1" customWidth="1"/>
    <col min="22" max="22" width="41.6640625" style="499" bestFit="1" customWidth="1"/>
    <col min="23" max="16384" width="8.77734375" style="499"/>
  </cols>
  <sheetData>
    <row r="1" spans="1:22">
      <c r="A1" s="350" t="s">
        <v>30</v>
      </c>
      <c r="B1" s="433" t="str">
        <f>'Info '!C2</f>
        <v>JSC "CREDOBANK"</v>
      </c>
    </row>
    <row r="2" spans="1:22">
      <c r="A2" s="350" t="s">
        <v>31</v>
      </c>
      <c r="B2" s="432">
        <f>'1. key ratios '!B2</f>
        <v>45473</v>
      </c>
    </row>
    <row r="3" spans="1:22">
      <c r="A3" s="351" t="s">
        <v>533</v>
      </c>
      <c r="B3" s="447"/>
    </row>
    <row r="4" spans="1:22">
      <c r="A4" s="351"/>
      <c r="B4" s="447"/>
    </row>
    <row r="5" spans="1:22" ht="24" customHeight="1">
      <c r="A5" s="781" t="s">
        <v>534</v>
      </c>
      <c r="B5" s="782"/>
      <c r="C5" s="786" t="s">
        <v>702</v>
      </c>
      <c r="D5" s="786"/>
      <c r="E5" s="786"/>
      <c r="F5" s="786"/>
      <c r="G5" s="786"/>
      <c r="H5" s="786" t="s">
        <v>553</v>
      </c>
      <c r="I5" s="786"/>
      <c r="J5" s="786"/>
      <c r="K5" s="786"/>
      <c r="L5" s="786"/>
      <c r="M5" s="786" t="s">
        <v>666</v>
      </c>
      <c r="N5" s="786"/>
      <c r="O5" s="786"/>
      <c r="P5" s="786"/>
      <c r="Q5" s="786"/>
      <c r="R5" s="785" t="s">
        <v>535</v>
      </c>
      <c r="S5" s="785" t="s">
        <v>549</v>
      </c>
      <c r="T5" s="785" t="s">
        <v>550</v>
      </c>
      <c r="U5" s="785" t="s">
        <v>554</v>
      </c>
      <c r="V5" s="785" t="s">
        <v>551</v>
      </c>
    </row>
    <row r="6" spans="1:22" ht="36" customHeight="1">
      <c r="A6" s="783"/>
      <c r="B6" s="784"/>
      <c r="C6" s="508"/>
      <c r="D6" s="445" t="s">
        <v>687</v>
      </c>
      <c r="E6" s="445" t="s">
        <v>686</v>
      </c>
      <c r="F6" s="445" t="s">
        <v>685</v>
      </c>
      <c r="G6" s="445" t="s">
        <v>684</v>
      </c>
      <c r="H6" s="508"/>
      <c r="I6" s="445" t="s">
        <v>687</v>
      </c>
      <c r="J6" s="445" t="s">
        <v>686</v>
      </c>
      <c r="K6" s="445" t="s">
        <v>685</v>
      </c>
      <c r="L6" s="445" t="s">
        <v>684</v>
      </c>
      <c r="M6" s="508"/>
      <c r="N6" s="445" t="s">
        <v>687</v>
      </c>
      <c r="O6" s="445" t="s">
        <v>686</v>
      </c>
      <c r="P6" s="445" t="s">
        <v>685</v>
      </c>
      <c r="Q6" s="445" t="s">
        <v>684</v>
      </c>
      <c r="R6" s="785"/>
      <c r="S6" s="785"/>
      <c r="T6" s="785"/>
      <c r="U6" s="785"/>
      <c r="V6" s="785"/>
    </row>
    <row r="7" spans="1:22">
      <c r="A7" s="503">
        <v>1</v>
      </c>
      <c r="B7" s="507" t="s">
        <v>543</v>
      </c>
      <c r="C7" s="653">
        <f>SUM(D7:G7)</f>
        <v>27798014.043200027</v>
      </c>
      <c r="D7" s="652">
        <v>26550068.563200027</v>
      </c>
      <c r="E7" s="652">
        <v>620001.42000000016</v>
      </c>
      <c r="F7" s="652">
        <v>603217.5</v>
      </c>
      <c r="G7" s="652">
        <v>24726.560000000001</v>
      </c>
      <c r="H7" s="653">
        <f>SUM(I7:L7)</f>
        <v>28233419.092579726</v>
      </c>
      <c r="I7" s="652">
        <v>26804154.314604957</v>
      </c>
      <c r="J7" s="652">
        <v>666845.22383483651</v>
      </c>
      <c r="K7" s="652">
        <v>737294.91413993435</v>
      </c>
      <c r="L7" s="652">
        <v>25124.639999999999</v>
      </c>
      <c r="M7" s="653">
        <f>SUM(N7:Q7)</f>
        <v>1145433.0644860307</v>
      </c>
      <c r="N7" s="652">
        <v>305220.04285414016</v>
      </c>
      <c r="O7" s="652">
        <v>263005.89385584765</v>
      </c>
      <c r="P7" s="652">
        <v>575532.9807892493</v>
      </c>
      <c r="Q7" s="652">
        <v>1674.1469867934147</v>
      </c>
      <c r="R7" s="652">
        <v>15416</v>
      </c>
      <c r="S7" s="654">
        <v>0.22380664045594445</v>
      </c>
      <c r="T7" s="654">
        <v>0.3</v>
      </c>
      <c r="U7" s="654">
        <v>0.24</v>
      </c>
      <c r="V7" s="655">
        <v>37.560991000000001</v>
      </c>
    </row>
    <row r="8" spans="1:22">
      <c r="A8" s="503">
        <v>2</v>
      </c>
      <c r="B8" s="506" t="s">
        <v>542</v>
      </c>
      <c r="C8" s="653">
        <f t="shared" ref="C8:C18" si="0">SUM(D8:G8)</f>
        <v>962833733.48400581</v>
      </c>
      <c r="D8" s="652">
        <v>912057182.14750588</v>
      </c>
      <c r="E8" s="652">
        <v>41383134.10399995</v>
      </c>
      <c r="F8" s="652">
        <v>9371012.3224999886</v>
      </c>
      <c r="G8" s="652">
        <v>22404.910000000003</v>
      </c>
      <c r="H8" s="653">
        <f t="shared" ref="H8:H18" si="1">SUM(I8:L8)</f>
        <v>961893414.84463215</v>
      </c>
      <c r="I8" s="652">
        <v>906858219.19213319</v>
      </c>
      <c r="J8" s="652">
        <v>43989509.713351026</v>
      </c>
      <c r="K8" s="652">
        <v>11023281.02914796</v>
      </c>
      <c r="L8" s="652">
        <v>22404.910000000003</v>
      </c>
      <c r="M8" s="653">
        <f t="shared" ref="M8:M18" si="2">SUM(N8:Q8)</f>
        <v>26246250.830459572</v>
      </c>
      <c r="N8" s="652">
        <v>9269445.8618661296</v>
      </c>
      <c r="O8" s="652">
        <v>7486113.2012956012</v>
      </c>
      <c r="P8" s="652">
        <v>9486683.3177600633</v>
      </c>
      <c r="Q8" s="652">
        <v>4008.4495377759135</v>
      </c>
      <c r="R8" s="652">
        <v>170474</v>
      </c>
      <c r="S8" s="654">
        <v>0.2333791679412833</v>
      </c>
      <c r="T8" s="654">
        <v>0.3233791679412833</v>
      </c>
      <c r="U8" s="654">
        <v>0.23</v>
      </c>
      <c r="V8" s="655">
        <v>37.620845000000003</v>
      </c>
    </row>
    <row r="9" spans="1:22">
      <c r="A9" s="503">
        <v>3</v>
      </c>
      <c r="B9" s="506" t="s">
        <v>541</v>
      </c>
      <c r="C9" s="653">
        <f t="shared" si="0"/>
        <v>0</v>
      </c>
      <c r="D9" s="652">
        <v>0</v>
      </c>
      <c r="E9" s="652">
        <v>0</v>
      </c>
      <c r="F9" s="652">
        <v>0</v>
      </c>
      <c r="G9" s="652">
        <v>0</v>
      </c>
      <c r="H9" s="653">
        <f t="shared" si="1"/>
        <v>0</v>
      </c>
      <c r="I9" s="652">
        <v>0</v>
      </c>
      <c r="J9" s="652">
        <v>0</v>
      </c>
      <c r="K9" s="652">
        <v>0</v>
      </c>
      <c r="L9" s="652">
        <v>0</v>
      </c>
      <c r="M9" s="653">
        <f t="shared" si="2"/>
        <v>0</v>
      </c>
      <c r="N9" s="652">
        <v>0</v>
      </c>
      <c r="O9" s="652">
        <v>0</v>
      </c>
      <c r="P9" s="652">
        <v>0</v>
      </c>
      <c r="Q9" s="652">
        <v>0</v>
      </c>
      <c r="R9" s="652">
        <v>0</v>
      </c>
      <c r="S9" s="654"/>
      <c r="T9" s="654"/>
      <c r="U9" s="654"/>
      <c r="V9" s="655"/>
    </row>
    <row r="10" spans="1:22">
      <c r="A10" s="503">
        <v>4</v>
      </c>
      <c r="B10" s="506" t="s">
        <v>540</v>
      </c>
      <c r="C10" s="653">
        <f t="shared" si="0"/>
        <v>192603441.47000152</v>
      </c>
      <c r="D10" s="652">
        <v>187194060.74000153</v>
      </c>
      <c r="E10" s="652">
        <v>3408374.6099999985</v>
      </c>
      <c r="F10" s="652">
        <v>2001006.1199999987</v>
      </c>
      <c r="G10" s="652">
        <v>0</v>
      </c>
      <c r="H10" s="653">
        <f t="shared" si="1"/>
        <v>193689439.14835671</v>
      </c>
      <c r="I10" s="652">
        <v>187257582.97770756</v>
      </c>
      <c r="J10" s="652">
        <v>3694824.1249174778</v>
      </c>
      <c r="K10" s="652">
        <v>2737032.0457316604</v>
      </c>
      <c r="L10" s="652">
        <v>0</v>
      </c>
      <c r="M10" s="653">
        <f t="shared" si="2"/>
        <v>5946909.6756045818</v>
      </c>
      <c r="N10" s="652">
        <v>2599268.7866003024</v>
      </c>
      <c r="O10" s="652">
        <v>975243.94228421559</v>
      </c>
      <c r="P10" s="652">
        <v>2372396.9467200632</v>
      </c>
      <c r="Q10" s="652">
        <v>0</v>
      </c>
      <c r="R10" s="652">
        <v>242539</v>
      </c>
      <c r="S10" s="654">
        <v>0.1</v>
      </c>
      <c r="T10" s="654">
        <v>0.24631386690883539</v>
      </c>
      <c r="U10" s="654">
        <v>0.09</v>
      </c>
      <c r="V10" s="655">
        <v>12.076776000000001</v>
      </c>
    </row>
    <row r="11" spans="1:22">
      <c r="A11" s="503">
        <v>5</v>
      </c>
      <c r="B11" s="506" t="s">
        <v>539</v>
      </c>
      <c r="C11" s="653">
        <f t="shared" si="0"/>
        <v>914468.56999999983</v>
      </c>
      <c r="D11" s="652">
        <v>914468.56999999983</v>
      </c>
      <c r="E11" s="652">
        <v>0</v>
      </c>
      <c r="F11" s="652">
        <v>0</v>
      </c>
      <c r="G11" s="652">
        <v>0</v>
      </c>
      <c r="H11" s="653">
        <f t="shared" si="1"/>
        <v>931281.63230199995</v>
      </c>
      <c r="I11" s="652">
        <v>931281.63230199995</v>
      </c>
      <c r="J11" s="652">
        <v>0</v>
      </c>
      <c r="K11" s="652">
        <v>0</v>
      </c>
      <c r="L11" s="652">
        <v>0</v>
      </c>
      <c r="M11" s="653">
        <f t="shared" si="2"/>
        <v>3092.7479433239787</v>
      </c>
      <c r="N11" s="652">
        <v>3092.7479433239787</v>
      </c>
      <c r="O11" s="652">
        <v>0</v>
      </c>
      <c r="P11" s="652">
        <v>0</v>
      </c>
      <c r="Q11" s="652">
        <v>0</v>
      </c>
      <c r="R11" s="652">
        <v>14</v>
      </c>
      <c r="S11" s="654">
        <v>9.1764249857201247E-2</v>
      </c>
      <c r="T11" s="654">
        <v>0.24936107596569315</v>
      </c>
      <c r="U11" s="654">
        <v>0.11</v>
      </c>
      <c r="V11" s="655">
        <v>9.8437859999999997</v>
      </c>
    </row>
    <row r="12" spans="1:22">
      <c r="A12" s="503">
        <v>6</v>
      </c>
      <c r="B12" s="506" t="s">
        <v>538</v>
      </c>
      <c r="C12" s="653">
        <f t="shared" si="0"/>
        <v>41010438.050000221</v>
      </c>
      <c r="D12" s="652">
        <v>39365696.200000219</v>
      </c>
      <c r="E12" s="652">
        <v>881792.16000000178</v>
      </c>
      <c r="F12" s="652">
        <v>762949.69000000018</v>
      </c>
      <c r="G12" s="652">
        <v>0</v>
      </c>
      <c r="H12" s="653">
        <f t="shared" si="1"/>
        <v>41010357.303740755</v>
      </c>
      <c r="I12" s="652">
        <v>39365549.842515409</v>
      </c>
      <c r="J12" s="652">
        <v>881857.77122534916</v>
      </c>
      <c r="K12" s="652">
        <v>762949.69000000018</v>
      </c>
      <c r="L12" s="652">
        <v>0</v>
      </c>
      <c r="M12" s="653">
        <f t="shared" si="2"/>
        <v>1602126.1003168391</v>
      </c>
      <c r="N12" s="652">
        <v>564247.54911604756</v>
      </c>
      <c r="O12" s="652">
        <v>376571.16246206535</v>
      </c>
      <c r="P12" s="652">
        <v>661307.38873872615</v>
      </c>
      <c r="Q12" s="652">
        <v>0</v>
      </c>
      <c r="R12" s="652">
        <v>108364</v>
      </c>
      <c r="S12" s="654">
        <v>0.32363922176304083</v>
      </c>
      <c r="T12" s="654">
        <v>0.4</v>
      </c>
      <c r="U12" s="654">
        <v>0.33</v>
      </c>
      <c r="V12" s="655">
        <v>325.68656800000002</v>
      </c>
    </row>
    <row r="13" spans="1:22">
      <c r="A13" s="503">
        <v>7</v>
      </c>
      <c r="B13" s="506" t="s">
        <v>537</v>
      </c>
      <c r="C13" s="656">
        <f t="shared" ref="C13:G13" si="3">SUM(C14:C16)</f>
        <v>216701330.74059996</v>
      </c>
      <c r="D13" s="656">
        <f t="shared" si="3"/>
        <v>213023220.97379994</v>
      </c>
      <c r="E13" s="656">
        <f t="shared" si="3"/>
        <v>2936941.3167999997</v>
      </c>
      <c r="F13" s="656">
        <f t="shared" si="3"/>
        <v>724132.80000000063</v>
      </c>
      <c r="G13" s="656">
        <f t="shared" si="3"/>
        <v>17035.650000000001</v>
      </c>
      <c r="H13" s="653">
        <f t="shared" si="1"/>
        <v>215930376.36969858</v>
      </c>
      <c r="I13" s="656">
        <f t="shared" ref="I13:L13" si="4">SUM(I14:I16)</f>
        <v>211947048.78958777</v>
      </c>
      <c r="J13" s="656">
        <f t="shared" si="4"/>
        <v>3096820.2294322164</v>
      </c>
      <c r="K13" s="656">
        <f t="shared" si="4"/>
        <v>869444.29067859112</v>
      </c>
      <c r="L13" s="656">
        <f t="shared" si="4"/>
        <v>17063.059999999998</v>
      </c>
      <c r="M13" s="653">
        <f t="shared" si="2"/>
        <v>2575512.5149720623</v>
      </c>
      <c r="N13" s="656">
        <f t="shared" ref="N13:R13" si="5">SUM(N14:N16)</f>
        <v>1203475.0475151488</v>
      </c>
      <c r="O13" s="656">
        <f t="shared" si="5"/>
        <v>627899.68805091514</v>
      </c>
      <c r="P13" s="656">
        <f t="shared" si="5"/>
        <v>743947.94830375165</v>
      </c>
      <c r="Q13" s="656">
        <f t="shared" si="5"/>
        <v>189.83110224686513</v>
      </c>
      <c r="R13" s="656">
        <f t="shared" si="5"/>
        <v>15241</v>
      </c>
      <c r="S13" s="654">
        <v>0.186</v>
      </c>
      <c r="T13" s="657">
        <v>0.24299999999999999</v>
      </c>
      <c r="U13" s="657">
        <v>0.16600000000000001</v>
      </c>
      <c r="V13" s="658">
        <v>83.41</v>
      </c>
    </row>
    <row r="14" spans="1:22">
      <c r="A14" s="501">
        <v>7.1</v>
      </c>
      <c r="B14" s="500" t="s">
        <v>546</v>
      </c>
      <c r="C14" s="653">
        <f t="shared" si="0"/>
        <v>115392086.54850006</v>
      </c>
      <c r="D14" s="652">
        <v>114788733.39170006</v>
      </c>
      <c r="E14" s="652">
        <v>577844.03680000012</v>
      </c>
      <c r="F14" s="652">
        <v>25509.119999999999</v>
      </c>
      <c r="G14" s="652">
        <v>0</v>
      </c>
      <c r="H14" s="653">
        <f t="shared" si="1"/>
        <v>115024933.04696384</v>
      </c>
      <c r="I14" s="652">
        <v>114419304.72435726</v>
      </c>
      <c r="J14" s="652">
        <v>577021.22496545978</v>
      </c>
      <c r="K14" s="652">
        <v>28607.0976411267</v>
      </c>
      <c r="L14" s="652">
        <v>0</v>
      </c>
      <c r="M14" s="653">
        <f t="shared" si="2"/>
        <v>565596.40097276389</v>
      </c>
      <c r="N14" s="652">
        <v>354844.73091864976</v>
      </c>
      <c r="O14" s="652">
        <v>189648.29797296226</v>
      </c>
      <c r="P14" s="652">
        <v>21103.3720811518</v>
      </c>
      <c r="Q14" s="652">
        <v>0</v>
      </c>
      <c r="R14" s="652">
        <v>1537</v>
      </c>
      <c r="S14" s="654">
        <v>0.14000000000000001</v>
      </c>
      <c r="T14" s="654">
        <v>0.16686760966119177</v>
      </c>
      <c r="U14" s="654">
        <v>0.13</v>
      </c>
      <c r="V14" s="655">
        <v>121.574997</v>
      </c>
    </row>
    <row r="15" spans="1:22">
      <c r="A15" s="501">
        <v>7.2</v>
      </c>
      <c r="B15" s="500" t="s">
        <v>548</v>
      </c>
      <c r="C15" s="653">
        <f t="shared" si="0"/>
        <v>3347146.2165000001</v>
      </c>
      <c r="D15" s="652">
        <v>3264647.3565000002</v>
      </c>
      <c r="E15" s="652">
        <v>82498.859999999986</v>
      </c>
      <c r="F15" s="652">
        <v>0</v>
      </c>
      <c r="G15" s="652">
        <v>0</v>
      </c>
      <c r="H15" s="653">
        <f t="shared" si="1"/>
        <v>3339799.9760052767</v>
      </c>
      <c r="I15" s="652">
        <v>3256874.4112078222</v>
      </c>
      <c r="J15" s="652">
        <v>82925.564797454703</v>
      </c>
      <c r="K15" s="652">
        <v>0</v>
      </c>
      <c r="L15" s="652">
        <v>0</v>
      </c>
      <c r="M15" s="653">
        <f t="shared" si="2"/>
        <v>34835.082204904917</v>
      </c>
      <c r="N15" s="652">
        <v>10187.836980834905</v>
      </c>
      <c r="O15" s="652">
        <v>24647.245224070015</v>
      </c>
      <c r="P15" s="652">
        <v>0</v>
      </c>
      <c r="Q15" s="652">
        <v>0</v>
      </c>
      <c r="R15" s="652">
        <v>51</v>
      </c>
      <c r="S15" s="654">
        <v>0.14515527950310558</v>
      </c>
      <c r="T15" s="654">
        <v>0.18273291925465837</v>
      </c>
      <c r="U15" s="654">
        <v>0.12</v>
      </c>
      <c r="V15" s="655">
        <v>95.680695999999998</v>
      </c>
    </row>
    <row r="16" spans="1:22">
      <c r="A16" s="501">
        <v>7.3</v>
      </c>
      <c r="B16" s="500" t="s">
        <v>545</v>
      </c>
      <c r="C16" s="653">
        <f t="shared" si="0"/>
        <v>97962097.9755999</v>
      </c>
      <c r="D16" s="652">
        <v>94969840.225599885</v>
      </c>
      <c r="E16" s="652">
        <v>2276598.4199999995</v>
      </c>
      <c r="F16" s="652">
        <v>698623.68000000063</v>
      </c>
      <c r="G16" s="652">
        <v>17035.650000000001</v>
      </c>
      <c r="H16" s="653">
        <f t="shared" si="1"/>
        <v>97565643.346729442</v>
      </c>
      <c r="I16" s="652">
        <v>94270869.654022679</v>
      </c>
      <c r="J16" s="652">
        <v>2436873.4396693017</v>
      </c>
      <c r="K16" s="652">
        <v>840837.1930374644</v>
      </c>
      <c r="L16" s="652">
        <v>17063.059999999998</v>
      </c>
      <c r="M16" s="653">
        <f t="shared" si="2"/>
        <v>1975081.0317943939</v>
      </c>
      <c r="N16" s="652">
        <v>838442.47961566411</v>
      </c>
      <c r="O16" s="652">
        <v>413604.14485388284</v>
      </c>
      <c r="P16" s="652">
        <v>722844.57622259983</v>
      </c>
      <c r="Q16" s="652">
        <v>189.83110224686513</v>
      </c>
      <c r="R16" s="652">
        <v>13653</v>
      </c>
      <c r="S16" s="654">
        <v>0.22315139260424127</v>
      </c>
      <c r="T16" s="654">
        <v>0.30972531713107843</v>
      </c>
      <c r="U16" s="654">
        <v>0.21</v>
      </c>
      <c r="V16" s="655">
        <v>37.999456000000002</v>
      </c>
    </row>
    <row r="17" spans="1:22">
      <c r="A17" s="503">
        <v>8</v>
      </c>
      <c r="B17" s="506" t="s">
        <v>544</v>
      </c>
      <c r="C17" s="653">
        <f t="shared" si="0"/>
        <v>0</v>
      </c>
      <c r="D17" s="652">
        <v>0</v>
      </c>
      <c r="E17" s="652">
        <v>0</v>
      </c>
      <c r="F17" s="652">
        <v>0</v>
      </c>
      <c r="G17" s="652">
        <v>0</v>
      </c>
      <c r="H17" s="653">
        <f t="shared" si="1"/>
        <v>0</v>
      </c>
      <c r="I17" s="652">
        <v>0</v>
      </c>
      <c r="J17" s="652">
        <v>0</v>
      </c>
      <c r="K17" s="652">
        <v>0</v>
      </c>
      <c r="L17" s="652">
        <v>0</v>
      </c>
      <c r="M17" s="653">
        <f t="shared" si="2"/>
        <v>0</v>
      </c>
      <c r="N17" s="652">
        <v>0</v>
      </c>
      <c r="O17" s="652">
        <v>0</v>
      </c>
      <c r="P17" s="652">
        <v>0</v>
      </c>
      <c r="Q17" s="652">
        <v>0</v>
      </c>
      <c r="R17" s="652">
        <v>0</v>
      </c>
      <c r="S17" s="654"/>
      <c r="T17" s="654"/>
      <c r="U17" s="654"/>
      <c r="V17" s="655"/>
    </row>
    <row r="18" spans="1:22">
      <c r="A18" s="505">
        <v>9</v>
      </c>
      <c r="B18" s="504" t="s">
        <v>536</v>
      </c>
      <c r="C18" s="653">
        <f t="shared" si="0"/>
        <v>5845744.8832</v>
      </c>
      <c r="D18" s="659">
        <v>5796800.9831999997</v>
      </c>
      <c r="E18" s="659">
        <v>48557.75</v>
      </c>
      <c r="F18" s="659">
        <v>386.15</v>
      </c>
      <c r="G18" s="659">
        <v>0</v>
      </c>
      <c r="H18" s="653">
        <f t="shared" si="1"/>
        <v>5951414.2897531036</v>
      </c>
      <c r="I18" s="659">
        <v>5899293.8933355669</v>
      </c>
      <c r="J18" s="659">
        <v>51595.206417536683</v>
      </c>
      <c r="K18" s="659">
        <v>525.19000000000005</v>
      </c>
      <c r="L18" s="659">
        <v>0</v>
      </c>
      <c r="M18" s="653">
        <f t="shared" si="2"/>
        <v>88236.767186068333</v>
      </c>
      <c r="N18" s="659">
        <v>73624.987400382553</v>
      </c>
      <c r="O18" s="659">
        <v>14156.557073043106</v>
      </c>
      <c r="P18" s="659">
        <v>455.22271264267903</v>
      </c>
      <c r="Q18" s="659">
        <v>0</v>
      </c>
      <c r="R18" s="659">
        <v>2051</v>
      </c>
      <c r="S18" s="660">
        <v>7.0370759844416084E-2</v>
      </c>
      <c r="T18" s="660">
        <v>0.11030328368903161</v>
      </c>
      <c r="U18" s="660">
        <v>0.05</v>
      </c>
      <c r="V18" s="661">
        <v>47.464827</v>
      </c>
    </row>
    <row r="19" spans="1:22">
      <c r="A19" s="503">
        <v>10</v>
      </c>
      <c r="B19" s="502" t="s">
        <v>547</v>
      </c>
      <c r="C19" s="653">
        <f>SUM(C7:C13)+C17+C18</f>
        <v>1447707171.2410073</v>
      </c>
      <c r="D19" s="662">
        <f t="shared" ref="D19:G19" si="6">SUM(D7:D13)+D17+D18</f>
        <v>1384901498.1777077</v>
      </c>
      <c r="E19" s="662">
        <f t="shared" si="6"/>
        <v>49278801.360799953</v>
      </c>
      <c r="F19" s="662">
        <f t="shared" si="6"/>
        <v>13462704.582499988</v>
      </c>
      <c r="G19" s="662">
        <f t="shared" si="6"/>
        <v>64167.12</v>
      </c>
      <c r="H19" s="653">
        <f>SUM(H7:H13)+H17+H18</f>
        <v>1447639702.6810632</v>
      </c>
      <c r="I19" s="662">
        <f t="shared" ref="I19:L19" si="7">SUM(I7:I13)+I17+I18</f>
        <v>1379063130.6421866</v>
      </c>
      <c r="J19" s="662">
        <f t="shared" si="7"/>
        <v>52381452.269178443</v>
      </c>
      <c r="K19" s="662">
        <f t="shared" si="7"/>
        <v>16130527.159698144</v>
      </c>
      <c r="L19" s="662">
        <f t="shared" si="7"/>
        <v>64592.61</v>
      </c>
      <c r="M19" s="653">
        <f>SUM(M7:M13)+M17+M18</f>
        <v>37607561.700968474</v>
      </c>
      <c r="N19" s="662">
        <f t="shared" ref="N19:Q19" si="8">SUM(N7:N13)+N17+N18</f>
        <v>14018375.023295473</v>
      </c>
      <c r="O19" s="662">
        <f t="shared" si="8"/>
        <v>9742990.4450216871</v>
      </c>
      <c r="P19" s="662">
        <f t="shared" si="8"/>
        <v>13840323.805024497</v>
      </c>
      <c r="Q19" s="662">
        <f t="shared" si="8"/>
        <v>5872.427626816193</v>
      </c>
      <c r="R19" s="662">
        <f t="shared" ref="R19" si="9">SUM(R7:R13)+R17+R18</f>
        <v>554099</v>
      </c>
      <c r="S19" s="657">
        <v>0.20502901226746206</v>
      </c>
      <c r="T19" s="657">
        <v>0.30180861567907658</v>
      </c>
      <c r="U19" s="657">
        <v>0.20393181188185405</v>
      </c>
      <c r="V19" s="658">
        <v>49.215413519302871</v>
      </c>
    </row>
    <row r="20" spans="1:22" ht="24">
      <c r="A20" s="501">
        <v>10.1</v>
      </c>
      <c r="B20" s="500" t="s">
        <v>552</v>
      </c>
      <c r="C20" s="653">
        <f>SUM(D20:G20)</f>
        <v>1682873.1000000006</v>
      </c>
      <c r="D20" s="652">
        <v>1647983.8300000005</v>
      </c>
      <c r="E20" s="652">
        <v>33689.839999999997</v>
      </c>
      <c r="F20" s="652">
        <v>1199.43</v>
      </c>
      <c r="G20" s="652"/>
      <c r="H20" s="653">
        <f>SUM(I20:L20)</f>
        <v>1691208.014348706</v>
      </c>
      <c r="I20" s="652">
        <v>1654978.0986379059</v>
      </c>
      <c r="J20" s="652">
        <v>34369.535710800279</v>
      </c>
      <c r="K20" s="652">
        <v>1860.38</v>
      </c>
      <c r="L20" s="652"/>
      <c r="M20" s="653">
        <f>SUM(N20:Q20)</f>
        <v>26176.947349776987</v>
      </c>
      <c r="N20" s="652">
        <v>16808.470373285407</v>
      </c>
      <c r="O20" s="652">
        <v>7755.9420269567663</v>
      </c>
      <c r="P20" s="652">
        <v>1612.5349495348121</v>
      </c>
      <c r="Q20" s="652"/>
      <c r="R20" s="652">
        <v>753</v>
      </c>
      <c r="S20" s="657">
        <v>0.19839999999999999</v>
      </c>
      <c r="T20" s="657">
        <v>0.29911100000000002</v>
      </c>
      <c r="U20" s="657">
        <v>0.21959999999999999</v>
      </c>
      <c r="V20" s="655">
        <v>32.277200000000001</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N+CkukSfyopnKtIHwXG0/os4hqi35hSkZBXNha+D7Zo=</DigestValue>
    </Reference>
    <Reference Type="http://www.w3.org/2000/09/xmldsig#Object" URI="#idOfficeObject">
      <DigestMethod Algorithm="http://www.w3.org/2001/04/xmlenc#sha256"/>
      <DigestValue>MdDKQ+7fuAVirzi06lgNnihbRyr8r/Ii4xFXts9t6TY=</DigestValue>
    </Reference>
    <Reference Type="http://uri.etsi.org/01903#SignedProperties" URI="#idSignedProperties">
      <Transforms>
        <Transform Algorithm="http://www.w3.org/TR/2001/REC-xml-c14n-20010315"/>
      </Transforms>
      <DigestMethod Algorithm="http://www.w3.org/2001/04/xmlenc#sha256"/>
      <DigestValue>CV8gfuOQnAb4O3JwLFXTbTUT+U8EdFH9yjvuME8SmfA=</DigestValue>
    </Reference>
  </SignedInfo>
  <SignatureValue>omoH8rgCz1SRA2PCRNd+a/EfvqJpQHRSNVI97vSE6NmifqKqC8cekq44nxZLREKfBVaUmEX+NNnC
JsseUyfT9SwmJ7MJi8pk0jmzc38hTC+gskhaeIAB+XtUEPEAHlqs3DiHxJ6BNciJY4HmmVsaZPre
TjcBnaPiaPS9vzO8S1EkGG405S/ASQ+ruOjYOsXG4jGzllM5RzfK33z+7TOILF6DXqleZ9LNuvkX
MXqPbZao5pPZKVxGAqUiGJI6I6KQxdwZqCqFFXL99OaKBb0QEYh0BRwDw1HuuSdBP2fvVX4s0B1h
sSqmXnVsodHSsZRPpxA1BuxKIN8WXr4oy9Ecag==</SignatureValue>
  <KeyInfo>
    <X509Data>
      <X509Certificate>MIIGRDCCBSygAwIBAgIKKy7S3QADAAI3djANBgkqhkiG9w0BAQsFADBKMRIwEAYKCZImiZPyLGQBGRYCZ2UxEzARBgoJkiaJk/IsZAEZFgNuYmcxHzAdBgNVBAMTFk5CRyBDbGFzcyAyIElOVCBTdWIgQ0EwHhcNMjMwNjE2MDgwNTQ3WhcNMjUwNjE1MDgwNTQ3WjBCMRcwFQYDVQQKEw5KU0MgQ3JlZG8gQmFuazEnMCUGA1UEAxMeQkNEIC0gS29uc3RhbnRpbmUgR2hhbWJhc2hpZHplMIIBIjANBgkqhkiG9w0BAQEFAAOCAQ8AMIIBCgKCAQEA6ySQjPOg9/Hc3sXzEa+Xn08LVLkXyQ8+37IBPE5kJfn0YFTtHGxqxbzj/MZwdyV31c9SCE/kHVWpIRT7MF0kGbgoZNF0pTNYcmhOQU03ebGJ9yyDds8HgYVzoM7e2S8NSNyq2JPsKpyb72FyjHKD7VVBrUJM3WCsC2chjipvYizU9gMwxNzTPz9kT7zn4LuM6TSyrYSYB/oD+ooh0MKP7EE/4oJWz5UoVrmMbZIJc+R7MyabgDD53h7Tzpn+7SI4e65TwEBB/5zDmtuTNW/Inp7OPsoFD05atAPJFkdN1NEF7jfoNAa84UF2kOd5uU46gostlnPN/sqTyaWIX9as3QIDAQABo4IDMjCCAy4wPAYJKwYBBAGCNxUHBC8wLQYlKwYBBAGCNxUI5rJgg431RIaBmQmDuKFKg76EcQSDxJEzhIOIXQIBZAIBIzAdBgNVHSUEFjAUBggrBgEFBQcDAgYIKwYBBQUHAwQwCwYDVR0PBAQDAgeAMCcGCSsGAQQBgjcVCgQaMBgwCgYIKwYBBQUHAwIwCgYIKwYBBQUHAwQwHQYDVR0OBBYEFL/irtUv844KPAED+zVmPWx7bSHk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qwWQesdOFPXG0FBpAJfwknFIxKrgyTWXse6yDOtyHX7S7PR7ukyysbO8MMscJiumA7ImwDZ0iOddUffSQFEgiqB04NvklRhElfN4KM+QbucgqDCL2ydHQtO+S6gH5nck01KkQIrRwcy+yItrvImdGaMquD+gMcdarX2zqxHpYfotlfPCbtDyS+cUKBNqU77U5O1stwjKZ41NDwBROc+//hfDWTWI+B+0zXlr2ikHaRmIBXIQhvlmG+YbEB7SIz/EacBWA0HKlm6HeEhqaiZxn3bR1knRZ3FxSqZpOGf/TZp3ZU9PNDDdIpBDgBqDHDHRHFxigo9bMuUIJ4nTSKmA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3UN3S/jtyUiyRwwqmRyMx/6hqBMvHiAi8/tDz8bgFEc=</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MJIRMH6v0QbwIZ2crvLbVFsWHVPKbvRmYE6dtOyV+00=</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sUP6vWGbHy6t+Gtr93aBGncRInH0srfktLttp2pcLKA=</DigestValue>
      </Reference>
      <Reference URI="/xl/styles.xml?ContentType=application/vnd.openxmlformats-officedocument.spreadsheetml.styles+xml">
        <DigestMethod Algorithm="http://www.w3.org/2001/04/xmlenc#sha256"/>
        <DigestValue>ldVbPqGYxLFCrBnk/WbLbQEfFH391P1gMus9T5jXf6A=</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DMLfmOZKZukQSh2Coa3N27aOIpcLhpiIj3eLHGX3UQo=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uBCsLoCeDaoZuHLizZacnRXpOOOOxk0iSLefQ5jFwpo=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nr9RhGZsPiCHfdcke1AdLtH6o1PzL/1JT6w5zvY4Ew4=</DigestValue>
      </Reference>
      <Reference URI="/xl/worksheets/sheet10.xml?ContentType=application/vnd.openxmlformats-officedocument.spreadsheetml.worksheet+xml">
        <DigestMethod Algorithm="http://www.w3.org/2001/04/xmlenc#sha256"/>
        <DigestValue>8E3VtSPM5140uO2zB0rE8rYmubd5hsF3CU9uFV2yEWc=</DigestValue>
      </Reference>
      <Reference URI="/xl/worksheets/sheet11.xml?ContentType=application/vnd.openxmlformats-officedocument.spreadsheetml.worksheet+xml">
        <DigestMethod Algorithm="http://www.w3.org/2001/04/xmlenc#sha256"/>
        <DigestValue>lj4NzOq8VOhvopc8qP7g7gg2xA/wQZezpLFarY8nxgU=</DigestValue>
      </Reference>
      <Reference URI="/xl/worksheets/sheet12.xml?ContentType=application/vnd.openxmlformats-officedocument.spreadsheetml.worksheet+xml">
        <DigestMethod Algorithm="http://www.w3.org/2001/04/xmlenc#sha256"/>
        <DigestValue>o+cDRUxZYt/z6pDk+Hslthk5gYx5TEGLanHJI9d2ru4=</DigestValue>
      </Reference>
      <Reference URI="/xl/worksheets/sheet13.xml?ContentType=application/vnd.openxmlformats-officedocument.spreadsheetml.worksheet+xml">
        <DigestMethod Algorithm="http://www.w3.org/2001/04/xmlenc#sha256"/>
        <DigestValue>ehZDQQO05dAygnEA6nNinB2CsCh09wtJIVU0S8r0f7Y=</DigestValue>
      </Reference>
      <Reference URI="/xl/worksheets/sheet14.xml?ContentType=application/vnd.openxmlformats-officedocument.spreadsheetml.worksheet+xml">
        <DigestMethod Algorithm="http://www.w3.org/2001/04/xmlenc#sha256"/>
        <DigestValue>vZVYMM9DnyNdI70dHtmDqLpUsole+L+84lXkTD/RGOk=</DigestValue>
      </Reference>
      <Reference URI="/xl/worksheets/sheet15.xml?ContentType=application/vnd.openxmlformats-officedocument.spreadsheetml.worksheet+xml">
        <DigestMethod Algorithm="http://www.w3.org/2001/04/xmlenc#sha256"/>
        <DigestValue>sxG4tDpiUA1fZXsJuWHd0clo3zYYc5rMn3264IIGMEQ=</DigestValue>
      </Reference>
      <Reference URI="/xl/worksheets/sheet16.xml?ContentType=application/vnd.openxmlformats-officedocument.spreadsheetml.worksheet+xml">
        <DigestMethod Algorithm="http://www.w3.org/2001/04/xmlenc#sha256"/>
        <DigestValue>E0fmQKecNp1xNnRSjASlRcdkFI4ffv6uo/yH4C++QB8=</DigestValue>
      </Reference>
      <Reference URI="/xl/worksheets/sheet17.xml?ContentType=application/vnd.openxmlformats-officedocument.spreadsheetml.worksheet+xml">
        <DigestMethod Algorithm="http://www.w3.org/2001/04/xmlenc#sha256"/>
        <DigestValue>/Y84iest1Eg27Uu6VEA8J0WdRR5tvzkecagQ0l6iLgo=</DigestValue>
      </Reference>
      <Reference URI="/xl/worksheets/sheet18.xml?ContentType=application/vnd.openxmlformats-officedocument.spreadsheetml.worksheet+xml">
        <DigestMethod Algorithm="http://www.w3.org/2001/04/xmlenc#sha256"/>
        <DigestValue>by/UBjGycL8zsVG8H9vOWM362JCC7rRBDM91fVWkRtM=</DigestValue>
      </Reference>
      <Reference URI="/xl/worksheets/sheet19.xml?ContentType=application/vnd.openxmlformats-officedocument.spreadsheetml.worksheet+xml">
        <DigestMethod Algorithm="http://www.w3.org/2001/04/xmlenc#sha256"/>
        <DigestValue>6kcTnvRD91I2Mu0V64UOOoMzSBXUkT7VQ4ccGW5bp7c=</DigestValue>
      </Reference>
      <Reference URI="/xl/worksheets/sheet2.xml?ContentType=application/vnd.openxmlformats-officedocument.spreadsheetml.worksheet+xml">
        <DigestMethod Algorithm="http://www.w3.org/2001/04/xmlenc#sha256"/>
        <DigestValue>frQ5I1sY9A1qEXt2Dz1Y5MDrjB9hCJg9StzK0q+WPqg=</DigestValue>
      </Reference>
      <Reference URI="/xl/worksheets/sheet20.xml?ContentType=application/vnd.openxmlformats-officedocument.spreadsheetml.worksheet+xml">
        <DigestMethod Algorithm="http://www.w3.org/2001/04/xmlenc#sha256"/>
        <DigestValue>WHjcJsqHFihsfnXkbxmBVWMk0wB0x0MBaeCtWmMkbc8=</DigestValue>
      </Reference>
      <Reference URI="/xl/worksheets/sheet21.xml?ContentType=application/vnd.openxmlformats-officedocument.spreadsheetml.worksheet+xml">
        <DigestMethod Algorithm="http://www.w3.org/2001/04/xmlenc#sha256"/>
        <DigestValue>mRhsVWmjuX3n25/gy/WAd+FqjpR/VLBLr9QnvX1i70w=</DigestValue>
      </Reference>
      <Reference URI="/xl/worksheets/sheet22.xml?ContentType=application/vnd.openxmlformats-officedocument.spreadsheetml.worksheet+xml">
        <DigestMethod Algorithm="http://www.w3.org/2001/04/xmlenc#sha256"/>
        <DigestValue>H8UV2tUL/NB6+Jykl3prrVdkDM6vYCQLmPcCLdyDQSg=</DigestValue>
      </Reference>
      <Reference URI="/xl/worksheets/sheet23.xml?ContentType=application/vnd.openxmlformats-officedocument.spreadsheetml.worksheet+xml">
        <DigestMethod Algorithm="http://www.w3.org/2001/04/xmlenc#sha256"/>
        <DigestValue>ZOdFqYlxykxJRbJcHmlU33agpMapKZ9UYzaa0/IsPzs=</DigestValue>
      </Reference>
      <Reference URI="/xl/worksheets/sheet24.xml?ContentType=application/vnd.openxmlformats-officedocument.spreadsheetml.worksheet+xml">
        <DigestMethod Algorithm="http://www.w3.org/2001/04/xmlenc#sha256"/>
        <DigestValue>5Uq8y8tdE2JK/iY1nPpG5f5wPiAA09NoTCPd4xG62xE=</DigestValue>
      </Reference>
      <Reference URI="/xl/worksheets/sheet25.xml?ContentType=application/vnd.openxmlformats-officedocument.spreadsheetml.worksheet+xml">
        <DigestMethod Algorithm="http://www.w3.org/2001/04/xmlenc#sha256"/>
        <DigestValue>QFWRZEGs/L8uqeDTZ9ngpjECK9kS/NjFdmneZBiR0XU=</DigestValue>
      </Reference>
      <Reference URI="/xl/worksheets/sheet26.xml?ContentType=application/vnd.openxmlformats-officedocument.spreadsheetml.worksheet+xml">
        <DigestMethod Algorithm="http://www.w3.org/2001/04/xmlenc#sha256"/>
        <DigestValue>P0Q1JuGxuTG52J9VZa4ywUel5mCtkh2UKRRpPJJG3DQ=</DigestValue>
      </Reference>
      <Reference URI="/xl/worksheets/sheet27.xml?ContentType=application/vnd.openxmlformats-officedocument.spreadsheetml.worksheet+xml">
        <DigestMethod Algorithm="http://www.w3.org/2001/04/xmlenc#sha256"/>
        <DigestValue>Yz8IyOnXt/tdhPbf3uQZX93tHc+5ihWk4/0j5fgoRfE=</DigestValue>
      </Reference>
      <Reference URI="/xl/worksheets/sheet28.xml?ContentType=application/vnd.openxmlformats-officedocument.spreadsheetml.worksheet+xml">
        <DigestMethod Algorithm="http://www.w3.org/2001/04/xmlenc#sha256"/>
        <DigestValue>Zy+kL8q8deYgzTcbzpLKPCod+fJO8XEh9IziG9B4Vy0=</DigestValue>
      </Reference>
      <Reference URI="/xl/worksheets/sheet29.xml?ContentType=application/vnd.openxmlformats-officedocument.spreadsheetml.worksheet+xml">
        <DigestMethod Algorithm="http://www.w3.org/2001/04/xmlenc#sha256"/>
        <DigestValue>eU+/FpkuVq0YoIQP6VwK1oCsLeeT2pC9bBbwf8MoibA=</DigestValue>
      </Reference>
      <Reference URI="/xl/worksheets/sheet3.xml?ContentType=application/vnd.openxmlformats-officedocument.spreadsheetml.worksheet+xml">
        <DigestMethod Algorithm="http://www.w3.org/2001/04/xmlenc#sha256"/>
        <DigestValue>81XkQhS0+TtIbTi+Pu8Z5yJZMWCR0IDDE5S5R1Nol5A=</DigestValue>
      </Reference>
      <Reference URI="/xl/worksheets/sheet4.xml?ContentType=application/vnd.openxmlformats-officedocument.spreadsheetml.worksheet+xml">
        <DigestMethod Algorithm="http://www.w3.org/2001/04/xmlenc#sha256"/>
        <DigestValue>PskhPVtTiuYjOxuXKUdigszOWxJhL/VHgVACvWKLNhA=</DigestValue>
      </Reference>
      <Reference URI="/xl/worksheets/sheet5.xml?ContentType=application/vnd.openxmlformats-officedocument.spreadsheetml.worksheet+xml">
        <DigestMethod Algorithm="http://www.w3.org/2001/04/xmlenc#sha256"/>
        <DigestValue>WCKzyjTMk8Vi3oJZX/KsXeZ0r2KRRXDbpKT9/7qOymQ=</DigestValue>
      </Reference>
      <Reference URI="/xl/worksheets/sheet6.xml?ContentType=application/vnd.openxmlformats-officedocument.spreadsheetml.worksheet+xml">
        <DigestMethod Algorithm="http://www.w3.org/2001/04/xmlenc#sha256"/>
        <DigestValue>QkAnAFSGJCeJwRsGuGEK8KsRRkVtgkr+WWAWyVUq0Zw=</DigestValue>
      </Reference>
      <Reference URI="/xl/worksheets/sheet7.xml?ContentType=application/vnd.openxmlformats-officedocument.spreadsheetml.worksheet+xml">
        <DigestMethod Algorithm="http://www.w3.org/2001/04/xmlenc#sha256"/>
        <DigestValue>T5VJAbelE/X3dzlZDrRx1hk37qy5ogVsUpO3ByJdoaI=</DigestValue>
      </Reference>
      <Reference URI="/xl/worksheets/sheet8.xml?ContentType=application/vnd.openxmlformats-officedocument.spreadsheetml.worksheet+xml">
        <DigestMethod Algorithm="http://www.w3.org/2001/04/xmlenc#sha256"/>
        <DigestValue>S3hUGON0f9zBQrBy+RphZtXCBId1+/p+ds4GS4E9DOk=</DigestValue>
      </Reference>
      <Reference URI="/xl/worksheets/sheet9.xml?ContentType=application/vnd.openxmlformats-officedocument.spreadsheetml.worksheet+xml">
        <DigestMethod Algorithm="http://www.w3.org/2001/04/xmlenc#sha256"/>
        <DigestValue>KCNXX1QPj19oojad5iujp+HUKt9DZ4Z8wyuWgIr0lZw=</DigestValue>
      </Reference>
    </Manifest>
    <SignatureProperties>
      <SignatureProperty Id="idSignatureTime" Target="#idPackageSignature">
        <mdssi:SignatureTime xmlns:mdssi="http://schemas.openxmlformats.org/package/2006/digital-signature">
          <mdssi:Format>YYYY-MM-DDThh:mm:ssTZD</mdssi:Format>
          <mdssi:Value>2024-07-29T14:17:12Z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aaaa</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2024-07-29T14:17:12Z</xd:SigningTime>
          <xd:SigningCertificate>
            <xd:Cert>
              <xd:CertDigest>
                <DigestMethod Algorithm="http://www.w3.org/2001/04/xmlenc#sha256"/>
                <DigestValue>1hSUnl0NOjl6jE3hV5+Dc2J11ZVMOhetdT0CqbpWONA=</DigestValue>
              </xd:CertDigest>
              <xd:IssuerSerial>
                <X509IssuerName>CN=NBG Class 2 INT Sub CA, DC=nbg, DC=ge</X509IssuerName>
                <X509SerialNumber>203925503291516086531958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Qualifiers>
              <xd:CommitmentTypeQualifier>aaaa</xd:CommitmentTypeQualifier>
            </xd:CommitmentTypeQualifiers>
          </xd:CommitmentTypeIndication>
        </xd:SignedDataObject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pTCCAo2gAwIBAgIQfdD+LvNow5tAi4nyJH3s+jANBgkqhkiG9w0BAQsFADBHMRIwEAYKCZImiZPyLGQBGRYCZ2UxEzARBgoJkiaJk/IsZAEZFgNuYmcxHDAaBgNVBAMTE05CRyBDbGFzcyAxIFJvb3QgQ0EwHhcNMTAxMTI0MjIzOTM0WhcNMzkwNTI4MTg0ODU5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gYwwgYkwEwYJKwYBBAGCNxQCBAYeBABDAEEwCwYDVR0PBAQDAgGGMA8GA1UdEwEB/wQFMAMBAf8wHQYDVR0OBBYEFOgmLAqD1tfA6P6uCHr3RRNHKfIZMBAGCSsGAQQBgjcVAQQDAgEBMCMGCSsGAQQBgjcVAgQWBBSwQhdv15cMFACCFzx99DRC99OzmTANBgkqhkiG9w0BAQsFAAOCAQEAh2X9DK1cog6ybrZ7TrA73EK7L1elW0CrLsXDuKvKZy71tWPD+MtX1TRjOFno997TgHbSaPFGZWART0g+yyBJ8rI1yNMBANWtgryOvsLap+7Cm1MDIpX3As/isOr17Z3n/HmtTsbm4/4eTpK9Ilh4GbC0Ax+co0/Hq6R/vsxY/TwSCNnfkF2AjYgs+jR+eLWEcu5+qHuy0E+YjTkH6zRIHvDXFNoJvb4beh9H3c+FEClEB3F0xZNsb5NP2ikduU7+K2d2vyLUFN8HDzOCV0Xz1T50lAyHmOJUDEtaYJn5lCXJaK5J+TqABrtwhkCrp/TVS+nFzCDx6N24BfvtR1A47w==</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7e5X62yPXJiT9/cXv1v2ZK2cBuuqEneAT2TopCtL/Rk=</DigestValue>
    </Reference>
    <Reference Type="http://www.w3.org/2000/09/xmldsig#Object" URI="#idOfficeObject">
      <DigestMethod Algorithm="http://www.w3.org/2001/04/xmlenc#sha256"/>
      <DigestValue>N0FToV7NLkPUJoV1EHdyrxpnNEAzWRwFTOVsZW3SFL8=</DigestValue>
    </Reference>
    <Reference Type="http://uri.etsi.org/01903#SignedProperties" URI="#idSignedProperties">
      <Transforms>
        <Transform Algorithm="http://www.w3.org/TR/2001/REC-xml-c14n-20010315"/>
      </Transforms>
      <DigestMethod Algorithm="http://www.w3.org/2001/04/xmlenc#sha256"/>
      <DigestValue>H8k3Mg1x8cKb8pm2mEkNPtRP2sV0LdCbvbXWB8aDA9A=</DigestValue>
    </Reference>
  </SignedInfo>
  <SignatureValue>jofb+9EEw40vlmlWzjMTfGmj+heD+aNFe1e8+59yOi4LexEjguJSfYkxLPhse0B8vHIHbN7sm4oh
hds2tQn2X8+OmlZl1syvfWfK+LofGr1FuNAr1WQrb/H41AVsPl5BkxUnA+cXzgKDUXPMR9ojMFy7
b+igRYqWQ4FwpOeO+aoXW6kFp8iDr06NmeUaYfa1AaPa775Bwt6jltSmwGc/ltrmEv5fWnNW8uWz
9aBF+MAu5O4ixay8APjSBaG3k4VgYEYkongo8vkxPCaMkl7uUfwbwcJEsvImez1YdHaa7S4hk+oV
YBlME8OELJbBwm6810oBIh+0Q5JaV+ujadzvVw==</SignatureValue>
  <KeyInfo>
    <X509Data>
      <X509Certificate>MIIGPjCCBSagAwIBAgIKHZPGBwADAAI4wTANBgkqhkiG9w0BAQsFADBKMRIwEAYKCZImiZPyLGQBGRYCZ2UxEzARBgoJkiaJk/IsZAEZFgNuYmcxHzAdBgNVBAMTFk5CRyBDbGFzcyAyIElOVCBTdWIgQ0EwHhcNMjMwNzA1MTAzOTU0WhcNMjUwNzA0MTAzOTU0WjA8MRcwFQYDVQQKEw5KU0MgQ3JlZG8gQmFuazEhMB8GA1UEAxMYQkNEIC0gRXJla2xlIFphdGlhc2h2aWxpMIIBIjANBgkqhkiG9w0BAQEFAAOCAQ8AMIIBCgKCAQEA7bW9DMX0iR7EsqQh8o9bvXr+aEeGQUtJMsEIJWF0lP9zeqiRwv2angsCuy2ME7xPbjJFDEVTITO6/38aRqyaSOb1TdfSqzLgahOa3jgsXhSQlHozTrmWwmzHCWTSuIUol71hGTNGa9T7ejbvDVtgwlMpcDA0NZsi4qZ/oHdiJOTfZ7oz3oHxZABAXYTJZ0ZZ2BXUI+4Kc5f+kJzK+9UhM9Tsy2ooqi+QK4wlHw67pyARFbRd3XV8/i9T/MyANYm0QM0a+t3RH9wRS1bLeBRBA8NoHiX9bap7unfJp6ZliqliavAW94bzNLN4cQ+00HdVArGg/oGjWf7lCY9387WtJwIDAQABo4IDMjCCAy4wPAYJKwYBBAGCNxUHBC8wLQYlKwYBBAGCNxUI5rJgg431RIaBmQmDuKFKg76EcQSDxJEzhIOIXQIBZAIBIzAdBgNVHSUEFjAUBggrBgEFBQcDAgYIKwYBBQUHAwQwCwYDVR0PBAQDAgeAMCcGCSsGAQQBgjcVCgQaMBgwCgYIKwYBBQUHAwIwCgYIKwYBBQUHAwQwHQYDVR0OBBYEFHSZPQMxSyXM6nGWbGTe4BJpWb+j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dPUuhza/HiypApCKI1cfD7a+gExMdmv2a/4NS0lQi07qAlHGcXd5Y76MGOj4UCe98Ge9/hFoe0V9jgaGOdv/1Y5F88jdCaQLVcVhFlCk7lfBcQCmjTg7DDv9CjuQyhhG4pmLtm8EiJSuxpR9d+TnsgIvrQOEjpvJi3rRMl4IQ4HZJD5+Od0sZGMmLX7BhZN0WgpFwpmwIoUV1o2+ohcN5CMeYTmxPyi8jkfuyEetSHJdfyVVo5h3lz69+9q0OVz5AO2ztYi0cLnZDX11jHoJVHyTqkMtcMTeSmEZsLH/Xm0AsZSeo9JYf/bZcWaRf16/Qj7SiAd3Ozw2H1QwDtG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3UN3S/jtyUiyRwwqmRyMx/6hqBMvHiAi8/tDz8bgFEc=</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MJIRMH6v0QbwIZ2crvLbVFsWHVPKbvRmYE6dtOyV+00=</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sUP6vWGbHy6t+Gtr93aBGncRInH0srfktLttp2pcLKA=</DigestValue>
      </Reference>
      <Reference URI="/xl/styles.xml?ContentType=application/vnd.openxmlformats-officedocument.spreadsheetml.styles+xml">
        <DigestMethod Algorithm="http://www.w3.org/2001/04/xmlenc#sha256"/>
        <DigestValue>ldVbPqGYxLFCrBnk/WbLbQEfFH391P1gMus9T5jXf6A=</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DMLfmOZKZukQSh2Coa3N27aOIpcLhpiIj3eLHGX3UQo=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uBCsLoCeDaoZuHLizZacnRXpOOOOxk0iSLefQ5jFwpo=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nr9RhGZsPiCHfdcke1AdLtH6o1PzL/1JT6w5zvY4Ew4=</DigestValue>
      </Reference>
      <Reference URI="/xl/worksheets/sheet10.xml?ContentType=application/vnd.openxmlformats-officedocument.spreadsheetml.worksheet+xml">
        <DigestMethod Algorithm="http://www.w3.org/2001/04/xmlenc#sha256"/>
        <DigestValue>8E3VtSPM5140uO2zB0rE8rYmubd5hsF3CU9uFV2yEWc=</DigestValue>
      </Reference>
      <Reference URI="/xl/worksheets/sheet11.xml?ContentType=application/vnd.openxmlformats-officedocument.spreadsheetml.worksheet+xml">
        <DigestMethod Algorithm="http://www.w3.org/2001/04/xmlenc#sha256"/>
        <DigestValue>lj4NzOq8VOhvopc8qP7g7gg2xA/wQZezpLFarY8nxgU=</DigestValue>
      </Reference>
      <Reference URI="/xl/worksheets/sheet12.xml?ContentType=application/vnd.openxmlformats-officedocument.spreadsheetml.worksheet+xml">
        <DigestMethod Algorithm="http://www.w3.org/2001/04/xmlenc#sha256"/>
        <DigestValue>o+cDRUxZYt/z6pDk+Hslthk5gYx5TEGLanHJI9d2ru4=</DigestValue>
      </Reference>
      <Reference URI="/xl/worksheets/sheet13.xml?ContentType=application/vnd.openxmlformats-officedocument.spreadsheetml.worksheet+xml">
        <DigestMethod Algorithm="http://www.w3.org/2001/04/xmlenc#sha256"/>
        <DigestValue>ehZDQQO05dAygnEA6nNinB2CsCh09wtJIVU0S8r0f7Y=</DigestValue>
      </Reference>
      <Reference URI="/xl/worksheets/sheet14.xml?ContentType=application/vnd.openxmlformats-officedocument.spreadsheetml.worksheet+xml">
        <DigestMethod Algorithm="http://www.w3.org/2001/04/xmlenc#sha256"/>
        <DigestValue>vZVYMM9DnyNdI70dHtmDqLpUsole+L+84lXkTD/RGOk=</DigestValue>
      </Reference>
      <Reference URI="/xl/worksheets/sheet15.xml?ContentType=application/vnd.openxmlformats-officedocument.spreadsheetml.worksheet+xml">
        <DigestMethod Algorithm="http://www.w3.org/2001/04/xmlenc#sha256"/>
        <DigestValue>sxG4tDpiUA1fZXsJuWHd0clo3zYYc5rMn3264IIGMEQ=</DigestValue>
      </Reference>
      <Reference URI="/xl/worksheets/sheet16.xml?ContentType=application/vnd.openxmlformats-officedocument.spreadsheetml.worksheet+xml">
        <DigestMethod Algorithm="http://www.w3.org/2001/04/xmlenc#sha256"/>
        <DigestValue>E0fmQKecNp1xNnRSjASlRcdkFI4ffv6uo/yH4C++QB8=</DigestValue>
      </Reference>
      <Reference URI="/xl/worksheets/sheet17.xml?ContentType=application/vnd.openxmlformats-officedocument.spreadsheetml.worksheet+xml">
        <DigestMethod Algorithm="http://www.w3.org/2001/04/xmlenc#sha256"/>
        <DigestValue>/Y84iest1Eg27Uu6VEA8J0WdRR5tvzkecagQ0l6iLgo=</DigestValue>
      </Reference>
      <Reference URI="/xl/worksheets/sheet18.xml?ContentType=application/vnd.openxmlformats-officedocument.spreadsheetml.worksheet+xml">
        <DigestMethod Algorithm="http://www.w3.org/2001/04/xmlenc#sha256"/>
        <DigestValue>by/UBjGycL8zsVG8H9vOWM362JCC7rRBDM91fVWkRtM=</DigestValue>
      </Reference>
      <Reference URI="/xl/worksheets/sheet19.xml?ContentType=application/vnd.openxmlformats-officedocument.spreadsheetml.worksheet+xml">
        <DigestMethod Algorithm="http://www.w3.org/2001/04/xmlenc#sha256"/>
        <DigestValue>6kcTnvRD91I2Mu0V64UOOoMzSBXUkT7VQ4ccGW5bp7c=</DigestValue>
      </Reference>
      <Reference URI="/xl/worksheets/sheet2.xml?ContentType=application/vnd.openxmlformats-officedocument.spreadsheetml.worksheet+xml">
        <DigestMethod Algorithm="http://www.w3.org/2001/04/xmlenc#sha256"/>
        <DigestValue>frQ5I1sY9A1qEXt2Dz1Y5MDrjB9hCJg9StzK0q+WPqg=</DigestValue>
      </Reference>
      <Reference URI="/xl/worksheets/sheet20.xml?ContentType=application/vnd.openxmlformats-officedocument.spreadsheetml.worksheet+xml">
        <DigestMethod Algorithm="http://www.w3.org/2001/04/xmlenc#sha256"/>
        <DigestValue>WHjcJsqHFihsfnXkbxmBVWMk0wB0x0MBaeCtWmMkbc8=</DigestValue>
      </Reference>
      <Reference URI="/xl/worksheets/sheet21.xml?ContentType=application/vnd.openxmlformats-officedocument.spreadsheetml.worksheet+xml">
        <DigestMethod Algorithm="http://www.w3.org/2001/04/xmlenc#sha256"/>
        <DigestValue>mRhsVWmjuX3n25/gy/WAd+FqjpR/VLBLr9QnvX1i70w=</DigestValue>
      </Reference>
      <Reference URI="/xl/worksheets/sheet22.xml?ContentType=application/vnd.openxmlformats-officedocument.spreadsheetml.worksheet+xml">
        <DigestMethod Algorithm="http://www.w3.org/2001/04/xmlenc#sha256"/>
        <DigestValue>H8UV2tUL/NB6+Jykl3prrVdkDM6vYCQLmPcCLdyDQSg=</DigestValue>
      </Reference>
      <Reference URI="/xl/worksheets/sheet23.xml?ContentType=application/vnd.openxmlformats-officedocument.spreadsheetml.worksheet+xml">
        <DigestMethod Algorithm="http://www.w3.org/2001/04/xmlenc#sha256"/>
        <DigestValue>ZOdFqYlxykxJRbJcHmlU33agpMapKZ9UYzaa0/IsPzs=</DigestValue>
      </Reference>
      <Reference URI="/xl/worksheets/sheet24.xml?ContentType=application/vnd.openxmlformats-officedocument.spreadsheetml.worksheet+xml">
        <DigestMethod Algorithm="http://www.w3.org/2001/04/xmlenc#sha256"/>
        <DigestValue>5Uq8y8tdE2JK/iY1nPpG5f5wPiAA09NoTCPd4xG62xE=</DigestValue>
      </Reference>
      <Reference URI="/xl/worksheets/sheet25.xml?ContentType=application/vnd.openxmlformats-officedocument.spreadsheetml.worksheet+xml">
        <DigestMethod Algorithm="http://www.w3.org/2001/04/xmlenc#sha256"/>
        <DigestValue>QFWRZEGs/L8uqeDTZ9ngpjECK9kS/NjFdmneZBiR0XU=</DigestValue>
      </Reference>
      <Reference URI="/xl/worksheets/sheet26.xml?ContentType=application/vnd.openxmlformats-officedocument.spreadsheetml.worksheet+xml">
        <DigestMethod Algorithm="http://www.w3.org/2001/04/xmlenc#sha256"/>
        <DigestValue>P0Q1JuGxuTG52J9VZa4ywUel5mCtkh2UKRRpPJJG3DQ=</DigestValue>
      </Reference>
      <Reference URI="/xl/worksheets/sheet27.xml?ContentType=application/vnd.openxmlformats-officedocument.spreadsheetml.worksheet+xml">
        <DigestMethod Algorithm="http://www.w3.org/2001/04/xmlenc#sha256"/>
        <DigestValue>Yz8IyOnXt/tdhPbf3uQZX93tHc+5ihWk4/0j5fgoRfE=</DigestValue>
      </Reference>
      <Reference URI="/xl/worksheets/sheet28.xml?ContentType=application/vnd.openxmlformats-officedocument.spreadsheetml.worksheet+xml">
        <DigestMethod Algorithm="http://www.w3.org/2001/04/xmlenc#sha256"/>
        <DigestValue>Zy+kL8q8deYgzTcbzpLKPCod+fJO8XEh9IziG9B4Vy0=</DigestValue>
      </Reference>
      <Reference URI="/xl/worksheets/sheet29.xml?ContentType=application/vnd.openxmlformats-officedocument.spreadsheetml.worksheet+xml">
        <DigestMethod Algorithm="http://www.w3.org/2001/04/xmlenc#sha256"/>
        <DigestValue>eU+/FpkuVq0YoIQP6VwK1oCsLeeT2pC9bBbwf8MoibA=</DigestValue>
      </Reference>
      <Reference URI="/xl/worksheets/sheet3.xml?ContentType=application/vnd.openxmlformats-officedocument.spreadsheetml.worksheet+xml">
        <DigestMethod Algorithm="http://www.w3.org/2001/04/xmlenc#sha256"/>
        <DigestValue>81XkQhS0+TtIbTi+Pu8Z5yJZMWCR0IDDE5S5R1Nol5A=</DigestValue>
      </Reference>
      <Reference URI="/xl/worksheets/sheet4.xml?ContentType=application/vnd.openxmlformats-officedocument.spreadsheetml.worksheet+xml">
        <DigestMethod Algorithm="http://www.w3.org/2001/04/xmlenc#sha256"/>
        <DigestValue>PskhPVtTiuYjOxuXKUdigszOWxJhL/VHgVACvWKLNhA=</DigestValue>
      </Reference>
      <Reference URI="/xl/worksheets/sheet5.xml?ContentType=application/vnd.openxmlformats-officedocument.spreadsheetml.worksheet+xml">
        <DigestMethod Algorithm="http://www.w3.org/2001/04/xmlenc#sha256"/>
        <DigestValue>WCKzyjTMk8Vi3oJZX/KsXeZ0r2KRRXDbpKT9/7qOymQ=</DigestValue>
      </Reference>
      <Reference URI="/xl/worksheets/sheet6.xml?ContentType=application/vnd.openxmlformats-officedocument.spreadsheetml.worksheet+xml">
        <DigestMethod Algorithm="http://www.w3.org/2001/04/xmlenc#sha256"/>
        <DigestValue>QkAnAFSGJCeJwRsGuGEK8KsRRkVtgkr+WWAWyVUq0Zw=</DigestValue>
      </Reference>
      <Reference URI="/xl/worksheets/sheet7.xml?ContentType=application/vnd.openxmlformats-officedocument.spreadsheetml.worksheet+xml">
        <DigestMethod Algorithm="http://www.w3.org/2001/04/xmlenc#sha256"/>
        <DigestValue>T5VJAbelE/X3dzlZDrRx1hk37qy5ogVsUpO3ByJdoaI=</DigestValue>
      </Reference>
      <Reference URI="/xl/worksheets/sheet8.xml?ContentType=application/vnd.openxmlformats-officedocument.spreadsheetml.worksheet+xml">
        <DigestMethod Algorithm="http://www.w3.org/2001/04/xmlenc#sha256"/>
        <DigestValue>S3hUGON0f9zBQrBy+RphZtXCBId1+/p+ds4GS4E9DOk=</DigestValue>
      </Reference>
      <Reference URI="/xl/worksheets/sheet9.xml?ContentType=application/vnd.openxmlformats-officedocument.spreadsheetml.worksheet+xml">
        <DigestMethod Algorithm="http://www.w3.org/2001/04/xmlenc#sha256"/>
        <DigestValue>KCNXX1QPj19oojad5iujp+HUKt9DZ4Z8wyuWgIr0lZw=</DigestValue>
      </Reference>
    </Manifest>
    <SignatureProperties>
      <SignatureProperty Id="idSignatureTime" Target="#idPackageSignature">
        <mdssi:SignatureTime xmlns:mdssi="http://schemas.openxmlformats.org/package/2006/digital-signature">
          <mdssi:Format>YYYY-MM-DDThh:mm:ssTZD</mdssi:Format>
          <mdssi:Value>2024-07-29T15:45:45Z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nbg reporting</SignatureComments>
          <WindowsVersion>10.0</WindowsVersion>
          <OfficeVersion>16.0.17726/26</OfficeVersion>
          <ApplicationVersion>16.0.17726</ApplicationVersion>
          <Monitors>1</Monitors>
          <HorizontalResolution>3840</HorizontalResolution>
          <VerticalResolution>2160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2024-07-29T15:45:45Z</xd:SigningTime>
          <xd:SigningCertificate>
            <xd:Cert>
              <xd:CertDigest>
                <DigestMethod Algorithm="http://www.w3.org/2001/04/xmlenc#sha256"/>
                <DigestValue>9CqlcYZU+h+a6OEYsaDhcKSas65fQf4/qf+iXcOEqSc=</DigestValue>
              </xd:CertDigest>
              <xd:IssuerSerial>
                <X509IssuerName>CN=NBG Class 2 INT Sub CA, DC=nbg, DC=ge</X509IssuerName>
                <X509SerialNumber>139674568756012247038145</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Qualifiers>
              <xd:CommitmentTypeQualifier>nbg reporting</xd:CommitmentTypeQualifier>
            </xd:CommitmentTypeQualifiers>
          </xd:CommitmentTypeIndication>
        </xd:SignedDataObject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B429E614-268B-4FA3-8744-4F6A371709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2024-07-29T14:14:18Z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