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9995F99B-704B-402B-9FB3-42225F9AE490}" xr6:coauthVersionLast="47" xr6:coauthVersionMax="47" xr10:uidLastSave="{00000000-0000-0000-0000-000000000000}"/>
  <bookViews>
    <workbookView xWindow="-108" yWindow="-108" windowWidth="23256" windowHeight="12576" tabRatio="919" firstSheet="19" activeTab="28"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0" i="120" l="1"/>
  <c r="H20" i="120"/>
  <c r="C20" i="120"/>
  <c r="L19" i="120"/>
  <c r="J19" i="120"/>
  <c r="G19" i="120"/>
  <c r="D19" i="120"/>
  <c r="M18" i="120"/>
  <c r="H18" i="120"/>
  <c r="C18" i="120"/>
  <c r="M17" i="120"/>
  <c r="M19" i="120" s="1"/>
  <c r="H17" i="120"/>
  <c r="H19" i="120" s="1"/>
  <c r="C17" i="120"/>
  <c r="M16" i="120"/>
  <c r="H16" i="120"/>
  <c r="C16" i="120"/>
  <c r="M15" i="120"/>
  <c r="H15" i="120"/>
  <c r="C15" i="120"/>
  <c r="M14" i="120"/>
  <c r="H14" i="120"/>
  <c r="C14" i="120"/>
  <c r="R13" i="120"/>
  <c r="R19" i="120" s="1"/>
  <c r="Q13" i="120"/>
  <c r="Q19" i="120" s="1"/>
  <c r="P13" i="120"/>
  <c r="P19" i="120" s="1"/>
  <c r="O13" i="120"/>
  <c r="O19" i="120" s="1"/>
  <c r="N13" i="120"/>
  <c r="M13" i="120" s="1"/>
  <c r="L13" i="120"/>
  <c r="K13" i="120"/>
  <c r="H13" i="120" s="1"/>
  <c r="J13" i="120"/>
  <c r="I13" i="120"/>
  <c r="I19" i="120" s="1"/>
  <c r="G13" i="120"/>
  <c r="F13" i="120"/>
  <c r="F19" i="120" s="1"/>
  <c r="E13" i="120"/>
  <c r="E19" i="120" s="1"/>
  <c r="D13" i="120"/>
  <c r="C13" i="120" s="1"/>
  <c r="M12" i="120"/>
  <c r="H12" i="120"/>
  <c r="C12" i="120"/>
  <c r="M11" i="120"/>
  <c r="H11" i="120"/>
  <c r="C11" i="120"/>
  <c r="M10" i="120"/>
  <c r="H10" i="120"/>
  <c r="C10" i="120"/>
  <c r="M9" i="120"/>
  <c r="H9" i="120"/>
  <c r="C9" i="120"/>
  <c r="M8" i="120"/>
  <c r="H8" i="120"/>
  <c r="C8" i="120"/>
  <c r="M7" i="120"/>
  <c r="H7" i="120"/>
  <c r="C7" i="120"/>
  <c r="L33" i="118"/>
  <c r="K33" i="118"/>
  <c r="J33" i="118"/>
  <c r="I33" i="118"/>
  <c r="H33" i="118" s="1"/>
  <c r="G33" i="118"/>
  <c r="F33" i="118"/>
  <c r="E33" i="118"/>
  <c r="D33" i="118"/>
  <c r="C33" i="118"/>
  <c r="H32" i="118"/>
  <c r="C32" i="118"/>
  <c r="H31" i="118"/>
  <c r="C31" i="118"/>
  <c r="H30" i="118"/>
  <c r="C30" i="118"/>
  <c r="H29" i="118"/>
  <c r="C29" i="118"/>
  <c r="H28" i="118"/>
  <c r="C28" i="118"/>
  <c r="H27" i="118"/>
  <c r="C27" i="118"/>
  <c r="H26" i="118"/>
  <c r="C26" i="118"/>
  <c r="H25" i="118"/>
  <c r="C25" i="118"/>
  <c r="H24" i="118"/>
  <c r="C24" i="118"/>
  <c r="H23" i="118"/>
  <c r="C23" i="118"/>
  <c r="H22" i="118"/>
  <c r="C22" i="118"/>
  <c r="H21" i="118"/>
  <c r="C21" i="118"/>
  <c r="H20" i="118"/>
  <c r="C20" i="118"/>
  <c r="H19" i="118"/>
  <c r="C19" i="118"/>
  <c r="H18" i="118"/>
  <c r="C18" i="118"/>
  <c r="H17" i="118"/>
  <c r="C17" i="118"/>
  <c r="H16" i="118"/>
  <c r="C16" i="118"/>
  <c r="H15" i="118"/>
  <c r="C15" i="118"/>
  <c r="H14" i="118"/>
  <c r="C14" i="118"/>
  <c r="H13" i="118"/>
  <c r="C13" i="118"/>
  <c r="H12" i="118"/>
  <c r="C12" i="118"/>
  <c r="H11" i="118"/>
  <c r="C11" i="118"/>
  <c r="H10" i="118"/>
  <c r="C10" i="118"/>
  <c r="H9" i="118"/>
  <c r="C9" i="118"/>
  <c r="H8" i="118"/>
  <c r="C8" i="118"/>
  <c r="H7" i="118"/>
  <c r="C7" i="118"/>
  <c r="C21" i="117"/>
  <c r="C20" i="117"/>
  <c r="C19" i="117"/>
  <c r="C18" i="117"/>
  <c r="C17" i="117"/>
  <c r="C15" i="117"/>
  <c r="C14" i="117"/>
  <c r="C13" i="117"/>
  <c r="C12" i="117"/>
  <c r="C11" i="117"/>
  <c r="C10" i="117" s="1"/>
  <c r="AA10" i="117"/>
  <c r="Z10" i="117"/>
  <c r="Y10" i="117"/>
  <c r="X10" i="117"/>
  <c r="U10" i="117"/>
  <c r="T10" i="117"/>
  <c r="S10" i="117"/>
  <c r="R10" i="117"/>
  <c r="Q10" i="117"/>
  <c r="P10" i="117"/>
  <c r="O10" i="117"/>
  <c r="N10" i="117"/>
  <c r="M10" i="117"/>
  <c r="L10" i="117"/>
  <c r="K10" i="117"/>
  <c r="J10" i="117"/>
  <c r="I10" i="117"/>
  <c r="H10" i="117"/>
  <c r="G10" i="117"/>
  <c r="F10" i="117"/>
  <c r="E10" i="117"/>
  <c r="D10" i="117"/>
  <c r="C9" i="117"/>
  <c r="C8" i="117"/>
  <c r="AA15" i="116"/>
  <c r="Z15" i="116"/>
  <c r="Y15" i="116"/>
  <c r="X15" i="116"/>
  <c r="W15" i="116"/>
  <c r="V15" i="116"/>
  <c r="U15" i="116"/>
  <c r="T15" i="116"/>
  <c r="S15" i="116"/>
  <c r="R15" i="116"/>
  <c r="Q15" i="116"/>
  <c r="P15" i="116"/>
  <c r="O15" i="116"/>
  <c r="N15" i="116"/>
  <c r="M15" i="116"/>
  <c r="L15" i="116"/>
  <c r="K15" i="116"/>
  <c r="J15" i="116"/>
  <c r="I15" i="116"/>
  <c r="H15" i="116"/>
  <c r="G15" i="116"/>
  <c r="F15" i="116"/>
  <c r="E15" i="116"/>
  <c r="AA8" i="116"/>
  <c r="Z8" i="116"/>
  <c r="Y8" i="116"/>
  <c r="X8" i="116"/>
  <c r="W8" i="116"/>
  <c r="V8" i="116"/>
  <c r="U8" i="116"/>
  <c r="T8" i="116"/>
  <c r="S8" i="116"/>
  <c r="R8" i="116"/>
  <c r="Q8" i="116"/>
  <c r="P8" i="116"/>
  <c r="O8" i="116"/>
  <c r="N8" i="116"/>
  <c r="M8" i="116"/>
  <c r="L8" i="116"/>
  <c r="K8" i="116"/>
  <c r="J8" i="116"/>
  <c r="I8" i="116"/>
  <c r="H8" i="116"/>
  <c r="G8" i="116"/>
  <c r="F8" i="116"/>
  <c r="E8" i="116"/>
  <c r="C27" i="116"/>
  <c r="C22" i="116" s="1"/>
  <c r="C21" i="116"/>
  <c r="C20" i="116"/>
  <c r="C19" i="116"/>
  <c r="C18" i="116"/>
  <c r="C17" i="116"/>
  <c r="C16" i="116"/>
  <c r="D15" i="116"/>
  <c r="C15" i="116" s="1"/>
  <c r="C14" i="116"/>
  <c r="C13" i="116"/>
  <c r="C8" i="116" s="1"/>
  <c r="D8" i="116"/>
  <c r="C10" i="115"/>
  <c r="C18" i="115" s="1"/>
  <c r="C10" i="114"/>
  <c r="C7" i="114"/>
  <c r="D22" i="112"/>
  <c r="C22" i="112"/>
  <c r="G21" i="112"/>
  <c r="F21" i="112"/>
  <c r="E21" i="112"/>
  <c r="D21" i="112"/>
  <c r="C21" i="112"/>
  <c r="G34" i="97"/>
  <c r="G36" i="97"/>
  <c r="F36" i="97"/>
  <c r="C36" i="97"/>
  <c r="G35" i="97"/>
  <c r="G31" i="97"/>
  <c r="G30" i="97"/>
  <c r="G29" i="97"/>
  <c r="G26" i="97"/>
  <c r="C15" i="114" l="1"/>
  <c r="C19" i="120"/>
  <c r="K19" i="120"/>
  <c r="N19" i="120"/>
  <c r="G16" i="97"/>
  <c r="G15" i="97"/>
  <c r="G13" i="97"/>
  <c r="C13" i="97"/>
  <c r="C12" i="97"/>
  <c r="G12" i="97" s="1"/>
  <c r="G10" i="97"/>
  <c r="G9" i="97"/>
  <c r="G8" i="97"/>
  <c r="C8" i="95"/>
  <c r="J24" i="93"/>
  <c r="I24" i="93"/>
  <c r="K24" i="93" s="1"/>
  <c r="G24" i="93"/>
  <c r="F24" i="93"/>
  <c r="H24" i="93" s="1"/>
  <c r="J23" i="93"/>
  <c r="J25" i="93" s="1"/>
  <c r="I23" i="93"/>
  <c r="K23" i="93" s="1"/>
  <c r="K25" i="93" s="1"/>
  <c r="G23" i="93"/>
  <c r="G25" i="93" s="1"/>
  <c r="F23" i="93"/>
  <c r="H23" i="93" s="1"/>
  <c r="H25" i="93" s="1"/>
  <c r="K8" i="93"/>
  <c r="H8" i="93"/>
  <c r="J21" i="93"/>
  <c r="I21" i="93"/>
  <c r="G21" i="93"/>
  <c r="F21" i="93"/>
  <c r="D21" i="93"/>
  <c r="C21" i="93"/>
  <c r="K19" i="93"/>
  <c r="K21" i="93" s="1"/>
  <c r="H19" i="93"/>
  <c r="H21" i="93" s="1"/>
  <c r="E19" i="93"/>
  <c r="E21" i="93" s="1"/>
  <c r="J16" i="93"/>
  <c r="I16" i="93"/>
  <c r="G16" i="93"/>
  <c r="F16" i="93"/>
  <c r="D16" i="93"/>
  <c r="C16" i="93"/>
  <c r="K15" i="93"/>
  <c r="H15" i="93"/>
  <c r="E15" i="93"/>
  <c r="K14" i="93"/>
  <c r="H14" i="93"/>
  <c r="E14" i="93"/>
  <c r="K13" i="93"/>
  <c r="H13" i="93"/>
  <c r="E13" i="93"/>
  <c r="K12" i="93"/>
  <c r="H12" i="93"/>
  <c r="E12" i="93"/>
  <c r="K11" i="93"/>
  <c r="H11" i="93"/>
  <c r="E11" i="93"/>
  <c r="K10" i="93"/>
  <c r="K16" i="93" s="1"/>
  <c r="H10" i="93"/>
  <c r="H16" i="93" s="1"/>
  <c r="E10" i="93"/>
  <c r="E16" i="93" s="1"/>
  <c r="H9" i="91"/>
  <c r="H10" i="91"/>
  <c r="H11" i="91"/>
  <c r="H12" i="91"/>
  <c r="H13" i="91"/>
  <c r="H14" i="91"/>
  <c r="H15" i="91"/>
  <c r="H16" i="91"/>
  <c r="H17" i="91"/>
  <c r="H18" i="91"/>
  <c r="H19" i="91"/>
  <c r="H20" i="91"/>
  <c r="H21" i="91"/>
  <c r="H8" i="91"/>
  <c r="E36" i="88"/>
  <c r="E35" i="88"/>
  <c r="E34" i="88"/>
  <c r="E33" i="88"/>
  <c r="E32" i="88"/>
  <c r="E31" i="88"/>
  <c r="E30" i="88"/>
  <c r="E29" i="88"/>
  <c r="E28" i="88"/>
  <c r="E27" i="88"/>
  <c r="E26" i="88"/>
  <c r="E25" i="88"/>
  <c r="E24" i="88"/>
  <c r="E23" i="88"/>
  <c r="E22" i="88"/>
  <c r="E21" i="88"/>
  <c r="E20" i="88"/>
  <c r="E19" i="88"/>
  <c r="E18" i="88"/>
  <c r="E17" i="88"/>
  <c r="E16" i="88"/>
  <c r="E15" i="88"/>
  <c r="E14" i="88"/>
  <c r="E13" i="88"/>
  <c r="E12" i="88"/>
  <c r="E11" i="88"/>
  <c r="E10" i="88"/>
  <c r="E9" i="88"/>
  <c r="E8" i="88"/>
  <c r="F25" i="93" l="1"/>
  <c r="I25" i="93"/>
  <c r="G17" i="110"/>
  <c r="F17" i="110"/>
  <c r="G69" i="108" l="1"/>
  <c r="F69" i="108"/>
  <c r="C22" i="111" l="1"/>
  <c r="H7" i="112" l="1"/>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D7" i="114" l="1"/>
  <c r="D10" i="114"/>
  <c r="D15" i="114" s="1"/>
  <c r="H7" i="113"/>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C34" i="113"/>
  <c r="H34" i="113" s="1"/>
  <c r="D34" i="113"/>
  <c r="E34" i="113"/>
  <c r="F34" i="113"/>
  <c r="G34" i="113"/>
  <c r="H8" i="112"/>
  <c r="H9" i="112"/>
  <c r="H10" i="112"/>
  <c r="H11" i="112"/>
  <c r="H12" i="112"/>
  <c r="H13" i="112"/>
  <c r="H14" i="112"/>
  <c r="H21" i="112" s="1"/>
  <c r="H15" i="112"/>
  <c r="H16" i="112"/>
  <c r="H17" i="112"/>
  <c r="H18" i="112"/>
  <c r="H19" i="112"/>
  <c r="H20" i="112"/>
  <c r="H22" i="112"/>
  <c r="H23" i="112"/>
  <c r="H8" i="111"/>
  <c r="H9" i="111"/>
  <c r="H10" i="111"/>
  <c r="H11" i="111"/>
  <c r="H12" i="111"/>
  <c r="H13" i="111"/>
  <c r="H14" i="111"/>
  <c r="H15" i="111"/>
  <c r="H16" i="111"/>
  <c r="H17" i="111"/>
  <c r="H18" i="111"/>
  <c r="H19" i="111"/>
  <c r="H20" i="111"/>
  <c r="H21" i="111"/>
  <c r="D22" i="111"/>
  <c r="E22" i="111"/>
  <c r="F22" i="111"/>
  <c r="G22" i="111"/>
  <c r="H22" i="111" l="1"/>
  <c r="C67" i="69"/>
  <c r="C62" i="69"/>
  <c r="C58" i="69"/>
  <c r="C46" i="69"/>
  <c r="C40" i="69"/>
  <c r="C52" i="69" s="1"/>
  <c r="C29" i="69"/>
  <c r="C26" i="69"/>
  <c r="C23" i="69"/>
  <c r="C18" i="69"/>
  <c r="C14" i="69"/>
  <c r="C6" i="69"/>
  <c r="C35" i="69" s="1"/>
  <c r="E37" i="88"/>
  <c r="C37" i="88"/>
  <c r="D8" i="88"/>
  <c r="D37" i="88" s="1"/>
  <c r="D16" i="88"/>
  <c r="D20" i="88"/>
  <c r="D25" i="88"/>
  <c r="D28" i="88"/>
  <c r="D31" i="88"/>
  <c r="C31" i="88"/>
  <c r="C28" i="88"/>
  <c r="C25" i="88"/>
  <c r="C20" i="88"/>
  <c r="C16" i="88"/>
  <c r="C8" i="88"/>
  <c r="C68" i="69" l="1"/>
  <c r="H43" i="110"/>
  <c r="E43" i="110"/>
  <c r="H42" i="110"/>
  <c r="E42" i="110"/>
  <c r="H41" i="110"/>
  <c r="E41" i="110"/>
  <c r="H40" i="110"/>
  <c r="E40" i="110"/>
  <c r="H39" i="110"/>
  <c r="E39" i="110"/>
  <c r="G38" i="110"/>
  <c r="F38" i="110"/>
  <c r="D38" i="110"/>
  <c r="C38" i="110"/>
  <c r="E38" i="110" s="1"/>
  <c r="H37" i="110"/>
  <c r="E37" i="110"/>
  <c r="H36" i="110"/>
  <c r="E36" i="110"/>
  <c r="H35" i="110"/>
  <c r="E35" i="110"/>
  <c r="H34" i="110"/>
  <c r="E34" i="110"/>
  <c r="H33" i="110"/>
  <c r="E33" i="110"/>
  <c r="H32" i="110"/>
  <c r="E32" i="110"/>
  <c r="H31" i="110"/>
  <c r="E31" i="110"/>
  <c r="G30" i="110"/>
  <c r="F30" i="110"/>
  <c r="D30" i="110"/>
  <c r="C30" i="110"/>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D17" i="110"/>
  <c r="D14" i="110" s="1"/>
  <c r="C17" i="110"/>
  <c r="C14" i="110" s="1"/>
  <c r="H16" i="110"/>
  <c r="E16" i="110"/>
  <c r="H15" i="110"/>
  <c r="E15" i="110"/>
  <c r="G14" i="110"/>
  <c r="F14" i="110"/>
  <c r="H14" i="110" s="1"/>
  <c r="H13" i="110"/>
  <c r="E13" i="110"/>
  <c r="H12" i="110"/>
  <c r="E12" i="110"/>
  <c r="G11" i="110"/>
  <c r="H11" i="110" s="1"/>
  <c r="F11" i="110"/>
  <c r="D11" i="110"/>
  <c r="C11" i="110"/>
  <c r="E11" i="110" s="1"/>
  <c r="H10" i="110"/>
  <c r="E10" i="110"/>
  <c r="H9" i="110"/>
  <c r="E9" i="110"/>
  <c r="G8" i="110"/>
  <c r="F8" i="110"/>
  <c r="D8" i="110"/>
  <c r="C8" i="110"/>
  <c r="H7" i="110"/>
  <c r="E7" i="110"/>
  <c r="H6" i="110"/>
  <c r="E6" i="110"/>
  <c r="H44" i="109"/>
  <c r="E44" i="109"/>
  <c r="H42" i="109"/>
  <c r="E42" i="109"/>
  <c r="H41" i="109"/>
  <c r="E41" i="109"/>
  <c r="H40" i="109"/>
  <c r="E40" i="109"/>
  <c r="H39" i="109"/>
  <c r="E39" i="109"/>
  <c r="H38" i="109"/>
  <c r="E38" i="109"/>
  <c r="G37" i="109"/>
  <c r="F37" i="109"/>
  <c r="H37" i="109" s="1"/>
  <c r="D37" i="109"/>
  <c r="C37" i="109"/>
  <c r="E37" i="109" s="1"/>
  <c r="H36" i="109"/>
  <c r="E36" i="109"/>
  <c r="H35" i="109"/>
  <c r="E35" i="109"/>
  <c r="H34" i="109"/>
  <c r="G34" i="109"/>
  <c r="F34" i="109"/>
  <c r="D34" i="109"/>
  <c r="C34" i="109"/>
  <c r="E34" i="109" s="1"/>
  <c r="H33" i="109"/>
  <c r="E33" i="109"/>
  <c r="H32" i="109"/>
  <c r="E32" i="109"/>
  <c r="H31" i="109"/>
  <c r="E31" i="109"/>
  <c r="H30" i="109"/>
  <c r="E30" i="109"/>
  <c r="G29" i="109"/>
  <c r="F29" i="109"/>
  <c r="H29" i="109" s="1"/>
  <c r="D29" i="109"/>
  <c r="C29" i="109"/>
  <c r="E29" i="109" s="1"/>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G13" i="109"/>
  <c r="F13" i="109"/>
  <c r="D13" i="109"/>
  <c r="C13" i="109"/>
  <c r="H12" i="109"/>
  <c r="E12" i="109"/>
  <c r="H11" i="109"/>
  <c r="E11" i="109"/>
  <c r="H10" i="109"/>
  <c r="E10" i="109"/>
  <c r="H9" i="109"/>
  <c r="E9" i="109"/>
  <c r="H8" i="109"/>
  <c r="E8" i="109"/>
  <c r="H7" i="109"/>
  <c r="E7" i="109"/>
  <c r="G6" i="109"/>
  <c r="F6" i="109"/>
  <c r="D6" i="109"/>
  <c r="C6" i="109"/>
  <c r="C43" i="109" s="1"/>
  <c r="G68" i="108"/>
  <c r="F68" i="108"/>
  <c r="H67" i="108"/>
  <c r="E67" i="108"/>
  <c r="H66" i="108"/>
  <c r="E66" i="108"/>
  <c r="H65" i="108"/>
  <c r="E65" i="108"/>
  <c r="H64" i="108"/>
  <c r="E64" i="108"/>
  <c r="H63" i="108"/>
  <c r="D63" i="108"/>
  <c r="C63" i="108"/>
  <c r="E63" i="108" s="1"/>
  <c r="H62" i="108"/>
  <c r="E62" i="108"/>
  <c r="H61" i="108"/>
  <c r="E61" i="108"/>
  <c r="H60" i="108"/>
  <c r="E60" i="108"/>
  <c r="H59" i="108"/>
  <c r="E59" i="108"/>
  <c r="D59" i="108"/>
  <c r="C59" i="108"/>
  <c r="H58" i="108"/>
  <c r="E58" i="108"/>
  <c r="H57" i="108"/>
  <c r="E57" i="108"/>
  <c r="H56" i="108"/>
  <c r="E56" i="108"/>
  <c r="H55" i="108"/>
  <c r="E55" i="108"/>
  <c r="H52" i="108"/>
  <c r="E52" i="108"/>
  <c r="H51" i="108"/>
  <c r="E51" i="108"/>
  <c r="H50" i="108"/>
  <c r="E50" i="108"/>
  <c r="H49" i="108"/>
  <c r="E49" i="108"/>
  <c r="H48" i="108"/>
  <c r="E48" i="108"/>
  <c r="G47" i="108"/>
  <c r="F47" i="108"/>
  <c r="H47" i="108" s="1"/>
  <c r="D47" i="108"/>
  <c r="C47" i="108"/>
  <c r="E47" i="108" s="1"/>
  <c r="H46" i="108"/>
  <c r="E46" i="108"/>
  <c r="H45" i="108"/>
  <c r="E45" i="108"/>
  <c r="H44" i="108"/>
  <c r="E44" i="108"/>
  <c r="H43" i="108"/>
  <c r="E43" i="108"/>
  <c r="H42" i="108"/>
  <c r="E42" i="108"/>
  <c r="G41" i="108"/>
  <c r="G53" i="108" s="1"/>
  <c r="F41" i="108"/>
  <c r="D41" i="108"/>
  <c r="D53" i="108" s="1"/>
  <c r="C41" i="108"/>
  <c r="C53" i="108" s="1"/>
  <c r="H40" i="108"/>
  <c r="E40" i="108"/>
  <c r="H39" i="108"/>
  <c r="E39" i="108"/>
  <c r="H38" i="108"/>
  <c r="E38" i="108"/>
  <c r="H35" i="108"/>
  <c r="E35" i="108"/>
  <c r="H34" i="108"/>
  <c r="E34" i="108"/>
  <c r="H33" i="108"/>
  <c r="E33" i="108"/>
  <c r="H32" i="108"/>
  <c r="E32" i="108"/>
  <c r="H31" i="108"/>
  <c r="E31" i="108"/>
  <c r="G30" i="108"/>
  <c r="F30" i="108"/>
  <c r="D30" i="108"/>
  <c r="C30" i="108"/>
  <c r="E30" i="108" s="1"/>
  <c r="H29" i="108"/>
  <c r="E29" i="108"/>
  <c r="H28" i="108"/>
  <c r="E28" i="108"/>
  <c r="G27" i="108"/>
  <c r="F27" i="108"/>
  <c r="H27" i="108" s="1"/>
  <c r="D27" i="108"/>
  <c r="C27" i="108"/>
  <c r="E27" i="108" s="1"/>
  <c r="H26" i="108"/>
  <c r="E26" i="108"/>
  <c r="H25" i="108"/>
  <c r="E25" i="108"/>
  <c r="G24" i="108"/>
  <c r="F24" i="108"/>
  <c r="D24" i="108"/>
  <c r="C24" i="108"/>
  <c r="H23" i="108"/>
  <c r="E23" i="108"/>
  <c r="H22" i="108"/>
  <c r="E22" i="108"/>
  <c r="H21" i="108"/>
  <c r="E21" i="108"/>
  <c r="H20" i="108"/>
  <c r="E20" i="108"/>
  <c r="G19" i="108"/>
  <c r="F19" i="108"/>
  <c r="H19" i="108" s="1"/>
  <c r="D19" i="108"/>
  <c r="C19" i="108"/>
  <c r="E19" i="108" s="1"/>
  <c r="H18" i="108"/>
  <c r="E18" i="108"/>
  <c r="H17" i="108"/>
  <c r="E17" i="108"/>
  <c r="H16" i="108"/>
  <c r="E16" i="108"/>
  <c r="G15" i="108"/>
  <c r="F15" i="108"/>
  <c r="H15" i="108" s="1"/>
  <c r="D15" i="108"/>
  <c r="C15" i="108"/>
  <c r="E15" i="108" s="1"/>
  <c r="H14" i="108"/>
  <c r="E14" i="108"/>
  <c r="H13" i="108"/>
  <c r="E13" i="108"/>
  <c r="H12" i="108"/>
  <c r="E12" i="108"/>
  <c r="H11" i="108"/>
  <c r="E11" i="108"/>
  <c r="H10" i="108"/>
  <c r="E10" i="108"/>
  <c r="H9" i="108"/>
  <c r="E9" i="108"/>
  <c r="H8" i="108"/>
  <c r="E8" i="108"/>
  <c r="G7" i="108"/>
  <c r="G36" i="108" s="1"/>
  <c r="F7" i="108"/>
  <c r="H7" i="108" s="1"/>
  <c r="D7" i="108"/>
  <c r="C7" i="108"/>
  <c r="E30" i="110" l="1"/>
  <c r="H8" i="110"/>
  <c r="E8" i="110"/>
  <c r="E13" i="109"/>
  <c r="H41" i="108"/>
  <c r="E24" i="108"/>
  <c r="H69" i="108"/>
  <c r="H24" i="108"/>
  <c r="C68" i="108"/>
  <c r="C69" i="108" s="1"/>
  <c r="E6" i="109"/>
  <c r="D68" i="108"/>
  <c r="D69" i="108" s="1"/>
  <c r="F43" i="109"/>
  <c r="F45" i="109" s="1"/>
  <c r="H45" i="109" s="1"/>
  <c r="H30" i="110"/>
  <c r="D36" i="108"/>
  <c r="G43" i="109"/>
  <c r="G45" i="109" s="1"/>
  <c r="F36" i="108"/>
  <c r="H36" i="108" s="1"/>
  <c r="C36" i="108"/>
  <c r="E36" i="108" s="1"/>
  <c r="E7" i="108"/>
  <c r="H30" i="108"/>
  <c r="H13" i="109"/>
  <c r="E14" i="110"/>
  <c r="H38" i="110"/>
  <c r="E17" i="110"/>
  <c r="C45" i="109"/>
  <c r="H6" i="109"/>
  <c r="D43" i="109"/>
  <c r="D45" i="109" s="1"/>
  <c r="E53" i="108"/>
  <c r="H68" i="108"/>
  <c r="E41" i="108"/>
  <c r="F53" i="108"/>
  <c r="H53" i="108" s="1"/>
  <c r="H43" i="109" l="1"/>
  <c r="E68" i="108"/>
  <c r="E43" i="109"/>
  <c r="E45" i="109"/>
  <c r="E69" i="108"/>
  <c r="B1" i="97" l="1"/>
  <c r="G33" i="97"/>
  <c r="G37" i="97" s="1"/>
  <c r="F33" i="97"/>
  <c r="E33" i="97"/>
  <c r="D33" i="97"/>
  <c r="C33" i="97"/>
  <c r="G24" i="97"/>
  <c r="F24" i="97"/>
  <c r="E24" i="97"/>
  <c r="D24" i="97"/>
  <c r="C24" i="97"/>
  <c r="G18" i="97"/>
  <c r="F18" i="97"/>
  <c r="E18" i="97"/>
  <c r="D18" i="97"/>
  <c r="C18" i="97"/>
  <c r="G14" i="97"/>
  <c r="F14" i="97"/>
  <c r="E14" i="97"/>
  <c r="D14" i="97"/>
  <c r="C14" i="97"/>
  <c r="G11" i="97"/>
  <c r="F11" i="97"/>
  <c r="E11" i="97"/>
  <c r="D11" i="97"/>
  <c r="C11" i="97"/>
  <c r="F8" i="97"/>
  <c r="E8" i="97"/>
  <c r="D8" i="97"/>
  <c r="C8" i="97"/>
  <c r="G21" i="97" l="1"/>
  <c r="G39" i="97" s="1"/>
  <c r="B1" i="95"/>
  <c r="B1" i="92"/>
  <c r="B1" i="93"/>
  <c r="B1" i="64"/>
  <c r="B1" i="90"/>
  <c r="B1" i="69"/>
  <c r="B1" i="94"/>
  <c r="B1" i="89"/>
  <c r="B1" i="73"/>
  <c r="B1" i="88"/>
  <c r="B1" i="52"/>
  <c r="B1" i="86"/>
  <c r="G5" i="86"/>
  <c r="F5" i="86"/>
  <c r="E5" i="86"/>
  <c r="D5" i="86"/>
  <c r="G5" i="84"/>
  <c r="L5" i="84" s="1"/>
  <c r="F5" i="84"/>
  <c r="K5" i="84" s="1"/>
  <c r="E5" i="84"/>
  <c r="J5" i="84" s="1"/>
  <c r="D5" i="84"/>
  <c r="I5" i="84" s="1"/>
  <c r="C5" i="84"/>
  <c r="E6" i="86" l="1"/>
  <c r="E13" i="86" s="1"/>
  <c r="F6" i="86"/>
  <c r="F13" i="86" s="1"/>
  <c r="G6" i="86"/>
  <c r="G13" i="86" s="1"/>
  <c r="C21" i="94" l="1"/>
  <c r="C20" i="94"/>
  <c r="C19" i="94"/>
  <c r="B1" i="91" l="1"/>
  <c r="B1" i="84"/>
  <c r="C30" i="95" l="1"/>
  <c r="C26" i="95"/>
  <c r="C18" i="95"/>
  <c r="C36" i="95" l="1"/>
  <c r="C38" i="95" s="1"/>
  <c r="D6" i="86"/>
  <c r="D13" i="86" s="1"/>
  <c r="C6" i="86" l="1"/>
  <c r="C13" i="86" s="1"/>
  <c r="D21" i="94" l="1"/>
  <c r="D7" i="94"/>
  <c r="D9" i="94"/>
  <c r="D11" i="94"/>
  <c r="D12" i="94"/>
  <c r="D16" i="94"/>
  <c r="D17" i="94"/>
  <c r="D19" i="94"/>
  <c r="D13" i="94"/>
  <c r="D20" i="94"/>
  <c r="D8" i="94"/>
  <c r="D15" i="94"/>
  <c r="N20" i="92"/>
  <c r="N19" i="92"/>
  <c r="E19" i="92"/>
  <c r="N18" i="92"/>
  <c r="E18" i="92"/>
  <c r="N17" i="92"/>
  <c r="E17" i="92"/>
  <c r="N16" i="92"/>
  <c r="E16" i="92"/>
  <c r="E14" i="92" s="1"/>
  <c r="N15" i="92"/>
  <c r="N14" i="92" s="1"/>
  <c r="E15" i="92"/>
  <c r="M14" i="92"/>
  <c r="L14" i="92"/>
  <c r="K14" i="92"/>
  <c r="J14" i="92"/>
  <c r="I14" i="92"/>
  <c r="H14" i="92"/>
  <c r="G14" i="92"/>
  <c r="F14" i="92"/>
  <c r="C14" i="92"/>
  <c r="N13" i="92"/>
  <c r="N12" i="92"/>
  <c r="E12" i="92"/>
  <c r="N11" i="92"/>
  <c r="E11" i="92"/>
  <c r="N10" i="92"/>
  <c r="E10" i="92"/>
  <c r="N9" i="92"/>
  <c r="E9" i="92"/>
  <c r="N8" i="92"/>
  <c r="E8" i="92"/>
  <c r="E7" i="92" s="1"/>
  <c r="M7" i="92"/>
  <c r="M21" i="92" s="1"/>
  <c r="L7" i="92"/>
  <c r="L21" i="92" s="1"/>
  <c r="K7" i="92"/>
  <c r="K21" i="92" s="1"/>
  <c r="J7" i="92"/>
  <c r="J21" i="92" s="1"/>
  <c r="I7" i="92"/>
  <c r="H7" i="92"/>
  <c r="H21" i="92" s="1"/>
  <c r="G7" i="92"/>
  <c r="G21" i="92" s="1"/>
  <c r="F7" i="92"/>
  <c r="F21" i="92" s="1"/>
  <c r="C7" i="92"/>
  <c r="E21" i="92" l="1"/>
  <c r="C21" i="92"/>
  <c r="I21" i="92"/>
  <c r="N7" i="92"/>
  <c r="N21" i="92" s="1"/>
  <c r="S21" i="90"/>
  <c r="S20" i="90"/>
  <c r="S19" i="90"/>
  <c r="S18" i="90"/>
  <c r="S17" i="90"/>
  <c r="S16" i="90"/>
  <c r="S15" i="90"/>
  <c r="S14" i="90"/>
  <c r="S13" i="90"/>
  <c r="S12" i="90"/>
  <c r="S11" i="90"/>
  <c r="S10" i="90"/>
  <c r="S9" i="90"/>
  <c r="S8" i="90"/>
  <c r="T21" i="64" l="1"/>
  <c r="U21" i="64"/>
  <c r="S21" i="64"/>
  <c r="C21" i="64"/>
  <c r="G22" i="91"/>
  <c r="F22" i="91"/>
  <c r="E22" i="91"/>
  <c r="D22" i="91"/>
  <c r="C22" i="91"/>
  <c r="H22" i="91" l="1"/>
  <c r="K22" i="90"/>
  <c r="L22" i="90"/>
  <c r="M22" i="90"/>
  <c r="N22" i="90"/>
  <c r="O22" i="90"/>
  <c r="P22" i="90"/>
  <c r="Q22" i="90"/>
  <c r="R22" i="90"/>
  <c r="S22" i="90"/>
  <c r="C5" i="73" l="1"/>
  <c r="C22" i="90" l="1"/>
  <c r="C12" i="89"/>
  <c r="C6" i="89"/>
  <c r="D22" i="90" l="1"/>
  <c r="E22" i="90"/>
  <c r="F22" i="90"/>
  <c r="G22" i="90"/>
  <c r="H22" i="90"/>
  <c r="I22" i="90"/>
  <c r="J22" i="90"/>
  <c r="C29" i="89"/>
  <c r="C32" i="89"/>
  <c r="C31" i="89" s="1"/>
  <c r="C36" i="89"/>
  <c r="C44" i="89"/>
  <c r="C48" i="89"/>
  <c r="C42" i="89" l="1"/>
  <c r="C8" i="73"/>
  <c r="C13" i="73" s="1"/>
  <c r="C53" i="89"/>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<sst xmlns="http://schemas.openxmlformats.org/spreadsheetml/2006/main" count="1207" uniqueCount="753">
  <si>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</si>
  <si>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</si>
  <si>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</si>
  <si>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</si>
  <si>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</si>
  <si>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</si>
  <si>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</si>
  <si>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</si>
  <si>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</si>
  <si>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</si>
  <si>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</si>
  <si>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</si>
  <si>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</si>
  <si>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</si>
  <si>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</si>
  <si>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</si>
  <si>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</si>
  <si>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</si>
  <si>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</si>
  <si>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</si>
  <si>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</si>
  <si>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</si>
  <si>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</si>
  <si>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</si>
  <si>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</si>
  <si>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</si>
  <si>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</si>
  <si>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</si>
  <si>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</si>
  <si>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</si>
  <si>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</si>
  <si>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</si>
  <si>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</si>
  <si>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</si>
  <si>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</si>
  <si>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</si>
  <si>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</si>
  <si>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</si>
  <si>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</si>
  <si>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</si>
  <si>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</si>
  <si>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</si>
  <si>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</si>
  <si>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</si>
  <si>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</si>
  <si>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</si>
  <si>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</si>
  <si>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</si>
  <si>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</si>
  <si>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</si>
  <si>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</si>
  <si>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</si>
  <si>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</si>
  <si>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</si>
  <si>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</si>
  <si>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</si>
  <si>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</si>
  <si>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</si>
  <si>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</si>
  <si>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</si>
  <si>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</si>
  <si>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</si>
  <si>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</si>
  <si>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</si>
  <si>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</si>
  <si>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</si>
  <si>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</si>
  <si>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</si>
  <si>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</si>
  <si>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</si>
  <si>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</si>
  <si>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</si>
  <si>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</si>
  <si>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</si>
  <si>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</si>
  <si>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</si>
  <si>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</si>
  <si>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</si>
  <si>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</si>
  <si>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</si>
  <si>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</si>
  <si>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</si>
  <si>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</si>
  <si>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</si>
  <si>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</si>
  <si>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</si>
  <si>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</si>
  <si>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</si>
  <si>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</si>
  <si>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</si>
  <si>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</si>
  <si>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</si>
  <si>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</si>
  <si>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</si>
  <si>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</si>
  <si>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</si>
  <si>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</si>
  <si>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</si>
  <si>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</si>
  <si>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</si>
  <si>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</si>
  <si>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</si>
  <si>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</si>
  <si>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</si>
  <si>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</si>
  <si>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</si>
  <si>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</si>
  <si>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</si>
  <si>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</si>
  <si>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</si>
  <si>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</si>
  <si>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</si>
  <si>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</si>
  <si>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</si>
  <si>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</si>
  <si>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</si>
  <si>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</si>
  <si>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</si>
  <si>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</si>
  <si>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</si>
  <si>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</si>
  <si>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</si>
  <si>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</si>
  <si>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</si>
  <si>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</si>
  <si>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</si>
  <si>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</si>
  <si>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</si>
  <si>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</si>
  <si>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</si>
  <si>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</si>
  <si>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</si>
  <si>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</si>
  <si>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</si>
  <si>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</si>
  <si>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</si>
  <si>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</si>
  <si>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</si>
  <si>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</si>
  <si>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</si>
  <si>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</si>
  <si>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</si>
  <si>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</si>
  <si>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</si>
  <si>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</si>
  <si>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</si>
  <si>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</si>
  <si>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</si>
  <si>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</si>
  <si>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</si>
  <si>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</si>
  <si>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</si>
  <si>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</si>
  <si>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</si>
  <si>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</si>
  <si>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</si>
  <si>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</si>
  <si>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</si>
  <si>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</si>
  <si>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</si>
  <si>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</si>
  <si>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</si>
  <si>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</si>
  <si>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</si>
  <si>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</si>
  <si>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</si>
  <si>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</si>
  <si>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</si>
  <si>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</si>
  <si>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</si>
  <si>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</si>
  <si>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</si>
  <si>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</si>
  <si>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</si>
  <si>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</si>
  <si>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</si>
  <si>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</si>
  <si>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</si>
  <si>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</si>
  <si>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</si>
  <si>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</si>
  <si>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</si>
  <si>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</si>
  <si>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</si>
  <si>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</si>
  <si>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</si>
  <si>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</si>
  <si>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</si>
  <si>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</si>
  <si>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</si>
  <si>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</si>
  <si>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</si>
  <si>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</si>
  <si>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</si>
  <si>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</si>
  <si>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</si>
  <si>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</si>
  <si>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</si>
  <si>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</si>
  <si>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</si>
  <si>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</si>
  <si>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</si>
  <si>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</si>
  <si>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</si>
  <si>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</si>
  <si>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</si>
  <si>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</si>
  <si>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</si>
  <si>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</si>
  <si>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</si>
  <si>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</si>
  <si>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</si>
  <si>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</si>
  <si>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</si>
  <si>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</si>
  <si>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</si>
  <si>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</si>
  <si>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</si>
  <si>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</si>
  <si>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</si>
  <si>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</si>
  <si>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</si>
  <si>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</si>
  <si>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</si>
  <si>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</si>
  <si>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</si>
  <si>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</si>
  <si>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</si>
  <si>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</si>
  <si>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</si>
  <si>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</si>
  <si>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</si>
  <si>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</si>
  <si>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</si>
  <si>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</si>
  <si>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</si>
  <si>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</si>
  <si>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</si>
  <si>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</si>
  <si>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</si>
  <si>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</si>
  <si>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</si>
  <si>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</si>
  <si>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</si>
  <si>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</si>
  <si>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</si>
  <si>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</si>
  <si>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</si>
  <si>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</si>
  <si>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</si>
  <si>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</si>
  <si>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</si>
  <si>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</si>
  <si>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</si>
  <si>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</si>
  <si>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</si>
  <si>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</si>
  <si>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</si>
  <si>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</si>
  <si>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</si>
  <si>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</si>
  <si>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</si>
  <si>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</si>
  <si>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</si>
  <si>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</si>
  <si>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</si>
  <si>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</si>
  <si>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</si>
  <si>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</si>
  <si>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</si>
  <si>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</si>
  <si>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</si>
  <si>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</si>
  <si>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</si>
  <si>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</si>
  <si>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</si>
  <si>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</si>
  <si>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</si>
  <si>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</si>
  <si>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</si>
  <si>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</si>
  <si>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</si>
  <si>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</si>
  <si>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</si>
  <si>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</si>
  <si>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</si>
  <si>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</si>
  <si>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</si>
  <si>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</si>
  <si>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</si>
  <si>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</si>
  <si>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</si>
  <si>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</si>
  <si>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</si>
  <si>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</si>
  <si>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</si>
  <si>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</si>
  <si>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</si>
  <si>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</si>
  <si>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</si>
  <si>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</si>
  <si>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</si>
  <si>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</si>
  <si>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</si>
  <si>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</si>
  <si>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</si>
  <si>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</si>
  <si>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</si>
  <si>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</si>
  <si>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</si>
  <si>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</si>
  <si>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</si>
  <si>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</si>
  <si>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</si>
  <si>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</si>
  <si>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</si>
  <si>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</si>
  <si>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</si>
  <si>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</si>
  <si>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</si>
  <si>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</si>
  <si>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</si>
  <si>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</si>
  <si>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</si>
  <si>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</si>
  <si>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</si>
  <si>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</si>
  <si>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</si>
  <si>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</si>
  <si>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</si>
  <si>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</si>
  <si>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</si>
  <si>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</si>
  <si>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</si>
  <si>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</si>
  <si>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</si>
  <si>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</si>
  <si>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</si>
  <si>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</si>
  <si>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</si>
  <si>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</si>
  <si>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</si>
  <si>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</si>
  <si>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</si>
  <si>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</si>
  <si>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</si>
  <si>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</si>
  <si>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</si>
  <si>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</si>
  <si>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</si>
  <si>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</si>
  <si>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</si>
  <si>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</si>
  <si>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</si>
  <si>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</si>
  <si>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</si>
  <si>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</si>
  <si>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</si>
  <si>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</si>
  <si>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</si>
  <si>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</si>
  <si>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</si>
  <si>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</si>
  <si>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</si>
  <si>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</si>
  <si>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</si>
  <si>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</si>
  <si>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</si>
  <si>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</si>
  <si>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</si>
  <si>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</si>
  <si>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</si>
  <si>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</si>
  <si>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</si>
  <si>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</si>
  <si>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</si>
  <si>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</si>
  <si>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</si>
  <si>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</si>
  <si>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</si>
  <si>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</si>
  <si>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</si>
  <si>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</si>
  <si>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</si>
  <si>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</si>
  <si>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</si>
  <si>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</si>
  <si>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</si>
  <si>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</si>
  <si>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</si>
  <si>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</si>
  <si>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</si>
  <si>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</si>
  <si>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</si>
  <si>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</si>
  <si>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</si>
  <si>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</si>
  <si>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</si>
  <si>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</si>
  <si>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</si>
  <si>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</si>
  <si>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</si>
  <si>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</si>
  <si>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</si>
  <si>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</si>
  <si>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</si>
  <si>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</si>
  <si>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</si>
  <si>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</si>
  <si>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</si>
  <si>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</si>
  <si>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</si>
  <si>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</si>
  <si>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</si>
  <si>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</si>
  <si>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</si>
  <si>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</si>
  <si>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</si>
  <si>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</si>
  <si>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</si>
  <si>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</si>
  <si>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</si>
  <si>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</si>
  <si>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</si>
  <si>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</si>
  <si>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</si>
  <si>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</si>
  <si>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</si>
  <si>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</si>
  <si>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</si>
  <si>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</si>
  <si>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</si>
  <si>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</si>
  <si>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</si>
  <si>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</si>
  <si>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</si>
  <si>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</si>
  <si>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</si>
  <si>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</si>
  <si>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</si>
  <si>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</si>
  <si>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</si>
  <si>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</si>
  <si>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</si>
  <si>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</si>
  <si>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</si>
  <si>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</si>
  <si>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</si>
  <si>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</si>
  <si>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</si>
  <si>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</si>
  <si>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</si>
  <si>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</si>
  <si>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</si>
  <si>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</si>
  <si>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</si>
  <si>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</si>
  <si>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</si>
  <si>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</si>
  <si>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</si>
  <si>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</si>
  <si>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</si>
  <si>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</si>
  <si>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</si>
  <si>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</si>
  <si>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</si>
  <si>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</si>
  <si>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</si>
  <si>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</si>
  <si>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</si>
  <si>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</si>
  <si>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</si>
  <si>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</si>
  <si>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</si>
  <si>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</si>
  <si>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</si>
  <si>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</si>
  <si>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</si>
  <si>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</si>
  <si>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</si>
  <si>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</si>
  <si>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</si>
  <si>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</si>
  <si>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</si>
  <si>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</si>
  <si>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</si>
  <si>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</si>
  <si>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</si>
  <si>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</si>
  <si>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</si>
  <si>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</si>
  <si>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</si>
  <si>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</si>
  <si>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</si>
  <si>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</si>
  <si>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</si>
  <si>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</si>
  <si>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</si>
  <si>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</si>
  <si>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</si>
  <si>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</si>
  <si>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</si>
  <si>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</si>
  <si>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</si>
  <si>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</si>
  <si>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</si>
  <si>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</si>
  <si>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</si>
  <si>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</si>
  <si>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</si>
  <si>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</si>
  <si>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</si>
  <si>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</si>
  <si>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</si>
  <si>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</si>
  <si>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</si>
  <si>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</si>
  <si>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</si>
  <si>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</si>
  <si>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</si>
  <si>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</si>
  <si>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</si>
  <si>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</si>
  <si>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</si>
  <si>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</si>
  <si>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</si>
  <si>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</si>
  <si>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</si>
  <si>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</si>
  <si>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</si>
  <si>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</si>
  <si>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</si>
  <si>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</si>
  <si>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</si>
  <si>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</si>
  <si>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</si>
  <si>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</si>
  <si>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</si>
  <si>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</si>
  <si>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</si>
  <si>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</si>
  <si>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</si>
  <si>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</si>
  <si>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</si>
  <si>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</si>
  <si>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</si>
  <si>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</si>
  <si>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</si>
  <si>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</si>
  <si>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</si>
  <si>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</si>
  <si>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</si>
  <si>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</si>
  <si>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</si>
  <si>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</si>
  <si>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</si>
  <si>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</si>
  <si>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</si>
  <si>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</si>
  <si>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</si>
  <si>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</si>
  <si>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</si>
  <si>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</si>
  <si>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</si>
  <si>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</si>
  <si>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</si>
  <si>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</si>
  <si>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</si>
  <si>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</si>
  <si>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</si>
  <si>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</si>
  <si>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</si>
  <si>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</si>
  <si>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</si>
  <si>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</si>
  <si>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</si>
  <si>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</si>
  <si>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</si>
  <si>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</si>
  <si>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</si>
  <si>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</si>
  <si>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</si>
  <si>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</si>
  <si>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</si>
  <si>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</si>
  <si>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</si>
  <si>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</si>
  <si>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</si>
  <si>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</si>
  <si>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</si>
  <si>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</si>
  <si>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</si>
  <si>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</si>
  <si>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</si>
  <si>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</si>
  <si>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</si>
  <si>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</si>
  <si>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</si>
  <si>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</si>
  <si>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</si>
  <si>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</si>
  <si>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</si>
  <si>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</si>
  <si>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</si>
  <si>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</si>
  <si>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</si>
  <si>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</si>
  <si>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</si>
  <si>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</si>
  <si>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</si>
  <si>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</si>
  <si>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</si>
  <si>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</si>
  <si>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</si>
  <si>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</si>
  <si>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</si>
  <si>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</si>
  <si>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</si>
  <si>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</si>
  <si>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</si>
  <si>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</si>
  <si>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</si>
  <si>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</si>
  <si>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</si>
  <si>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</si>
  <si>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</si>
  <si>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</si>
  <si>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</si>
  <si>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</si>
  <si>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</si>
  <si>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</si>
  <si>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</si>
  <si>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</si>
  <si>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</si>
  <si>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</si>
  <si>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</si>
  <si>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</si>
  <si>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</si>
  <si>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</si>
  <si>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</si>
  <si>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</si>
  <si>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</si>
  <si>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</si>
  <si>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</si>
  <si>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</si>
  <si>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</si>
  <si>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</si>
  <si>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</si>
  <si>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</si>
  <si>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</si>
  <si>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</si>
  <si>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</si>
  <si>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</si>
  <si>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</si>
  <si>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</si>
  <si>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</si>
  <si>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</si>
  <si>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</si>
  <si>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</si>
  <si>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</si>
  <si>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</si>
  <si>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</si>
  <si>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</si>
  <si>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</si>
  <si>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</si>
  <si>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</si>
  <si>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</si>
  <si>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</si>
  <si>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</si>
  <si>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</si>
  <si>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</si>
  <si>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</si>
  <si>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</si>
  <si>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</si>
  <si>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</si>
  <si>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</si>
  <si>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</si>
  <si>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</si>
  <si>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</si>
  <si>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</si>
  <si>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</si>
  <si>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</si>
  <si>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</si>
  <si>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</si>
  <si>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</si>
  <si>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</si>
  <si>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</si>
  <si>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</si>
  <si>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</si>
  <si>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</si>
  <si>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</si>
  <si>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</si>
  <si>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</si>
  <si>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</si>
  <si>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</si>
  <si>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</si>
  <si>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</si>
  <si>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</si>
  <si>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</si>
  <si>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</si>
  <si>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</si>
  <si>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</si>
  <si>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</si>
  <si>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</si>
  <si>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</si>
  <si>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</si>
  <si>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</si>
  <si>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</si>
  <si>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</si>
  <si>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</si>
  <si>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</si>
  <si>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</si>
  <si>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</si>
  <si>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"CREDOBANK"</t>
  </si>
  <si>
    <t>Thomas Engelhardt</t>
  </si>
  <si>
    <t>Zaal Pirtskhelava</t>
  </si>
  <si>
    <t>www.credo.ge</t>
  </si>
  <si>
    <t>Thomas Engelhardt (Germany)</t>
  </si>
  <si>
    <t>Non-independent chair</t>
  </si>
  <si>
    <t>Farah, Katia Chams (Netherlands)</t>
  </si>
  <si>
    <t>Non-independent member</t>
  </si>
  <si>
    <t>Paul-Catalin Panciu (Romania)</t>
  </si>
  <si>
    <t>Johannes Mainhardt (Germany)</t>
  </si>
  <si>
    <t>Andrew Pospielovsky (Great Britain)</t>
  </si>
  <si>
    <t>Independent member</t>
  </si>
  <si>
    <t>Olga Tomash (Ukraine)</t>
  </si>
  <si>
    <t>Senior Independent member</t>
  </si>
  <si>
    <t>Erekle Zatiashvili</t>
  </si>
  <si>
    <t>Zaza Tkeshelashvili</t>
  </si>
  <si>
    <t>Nikoloz Kutateladze</t>
  </si>
  <si>
    <t>Alexander Kumsiashvili</t>
  </si>
  <si>
    <t>George Nadareishvili</t>
  </si>
  <si>
    <t>Chief Executive Officer</t>
  </si>
  <si>
    <t>CFO</t>
  </si>
  <si>
    <t>Chief Credit Officer</t>
  </si>
  <si>
    <t>Chief Commercial Officer</t>
  </si>
  <si>
    <t>CIO</t>
  </si>
  <si>
    <t>CRO</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</si>
  <si>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</si>
  <si>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</si>
  <si>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</si>
  <si>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</si>
  <si>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responsAbility Global Microfinance Fund (Luxembourg) - 8.79%</t>
  </si>
  <si>
    <t>responsAbility SICAV (Lux) -  responsAbility SICAV (Lux) Microfinance Leaders Fund  - 1.87%</t>
  </si>
  <si>
    <t>Societe de Promotion et de Participation pour la Cooperation Economique (Proparco)</t>
  </si>
  <si>
    <t>British International Investment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</si>
  <si>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</si>
  <si>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</si>
  <si>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</si>
  <si>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</si>
  <si>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</si>
  <si>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Active Citizenship Trust (USA)</t>
  </si>
  <si>
    <t>Agence Francaise de developpement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</si>
</sst>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s>
  <fonts count="13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sz val="10"/>
      <name val="Geo_Arial"/>
      <family val="2"/>
    </font>
    <font>
      <b/>
      <sz val="9"/>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s>
  <borders count="13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9"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2" applyNumberFormat="0" applyFill="0" applyAlignment="0" applyProtection="0"/>
    <xf numFmtId="169" fontId="38" fillId="0" borderId="42" applyNumberFormat="0" applyFill="0" applyAlignment="0" applyProtection="0"/>
    <xf numFmtId="0"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69" fontId="39" fillId="0" borderId="43" applyNumberFormat="0" applyFill="0" applyAlignment="0" applyProtection="0"/>
    <xf numFmtId="0"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69"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9"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0" fontId="49" fillId="43" borderId="39"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6"/>
    <xf numFmtId="169" fontId="9" fillId="0" borderId="46"/>
    <xf numFmtId="168"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9"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9"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9"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8" fillId="0" borderId="50"/>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4" fillId="0" borderId="0"/>
  </cellStyleXfs>
  <cellXfs count="816">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Border="1" applyAlignment="1" applyProtection="1">
      <alignment vertical="center" wrapText="1"/>
      <protection locked="0"/>
    </xf>
    <xf numFmtId="193" fontId="84" fillId="0" borderId="3" xfId="0" applyNumberFormat="1" applyFont="1" applyBorder="1" applyAlignment="1" applyProtection="1">
      <alignment vertical="center" wrapText="1"/>
      <protection locked="0"/>
    </xf>
    <xf numFmtId="193" fontId="84" fillId="0" borderId="19" xfId="0" applyNumberFormat="1" applyFont="1" applyBorder="1" applyAlignment="1" applyProtection="1">
      <alignment vertical="center" wrapText="1"/>
      <protection locked="0"/>
    </xf>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19" xfId="0" applyNumberFormat="1" applyFont="1" applyFill="1" applyBorder="1" applyAlignment="1" applyProtection="1">
      <alignment vertical="center"/>
      <protection locked="0"/>
    </xf>
    <xf numFmtId="0" fontId="2" fillId="0" borderId="0" xfId="0" applyFont="1" applyAlignment="1">
      <alignment horizontal="right"/>
    </xf>
    <xf numFmtId="0" fontId="89"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8" xfId="0" applyFont="1" applyBorder="1" applyAlignment="1">
      <alignment horizontal="center" vertical="center" wrapText="1"/>
    </xf>
    <xf numFmtId="0" fontId="84" fillId="0" borderId="3" xfId="0" applyFont="1" applyBorder="1" applyAlignment="1">
      <alignment vertical="center" wrapText="1"/>
    </xf>
    <xf numFmtId="0" fontId="84" fillId="0" borderId="21" xfId="0" applyFont="1" applyBorder="1" applyAlignment="1">
      <alignment horizontal="center" vertical="center" wrapText="1"/>
    </xf>
    <xf numFmtId="0" fontId="86" fillId="0" borderId="22"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xf numFmtId="0" fontId="2" fillId="0" borderId="20" xfId="0" applyFont="1" applyBorder="1"/>
    <xf numFmtId="0" fontId="2" fillId="0" borderId="20" xfId="0" applyFont="1" applyBorder="1" applyAlignment="1">
      <alignment wrapText="1"/>
    </xf>
    <xf numFmtId="0" fontId="2" fillId="0" borderId="21" xfId="0" applyFont="1" applyBorder="1"/>
    <xf numFmtId="0" fontId="2" fillId="0" borderId="24" xfId="0" applyFont="1" applyBorder="1" applyAlignment="1">
      <alignment wrapText="1"/>
    </xf>
    <xf numFmtId="0" fontId="84" fillId="0" borderId="38" xfId="0" applyFont="1" applyBorder="1"/>
    <xf numFmtId="0" fontId="46" fillId="0" borderId="0" xfId="11" applyFont="1" applyAlignment="1">
      <alignment horizontal="right"/>
    </xf>
    <xf numFmtId="0" fontId="45" fillId="0" borderId="16" xfId="11" applyFont="1" applyBorder="1" applyAlignment="1">
      <alignment horizontal="center" vertical="center"/>
    </xf>
    <xf numFmtId="0" fontId="45" fillId="0" borderId="17" xfId="11" applyFont="1" applyBorder="1" applyAlignment="1">
      <alignment horizontal="center" vertical="center"/>
    </xf>
    <xf numFmtId="0" fontId="2" fillId="0" borderId="0" xfId="11" applyAlignment="1">
      <alignment vertical="center"/>
    </xf>
    <xf numFmtId="0" fontId="84" fillId="0" borderId="0" xfId="0" applyFont="1" applyAlignment="1">
      <alignment vertical="center"/>
    </xf>
    <xf numFmtId="0" fontId="84" fillId="0" borderId="18"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5"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7" xfId="2" applyNumberFormat="1" applyFont="1" applyFill="1" applyBorder="1" applyAlignment="1" applyProtection="1">
      <alignment horizontal="center" vertical="center"/>
      <protection locked="0"/>
    </xf>
    <xf numFmtId="0" fontId="2" fillId="0" borderId="18"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19"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19"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19"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19"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8"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19"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193" fontId="2" fillId="36" borderId="23"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59" xfId="0" applyFont="1" applyBorder="1" applyAlignment="1">
      <alignment horizontal="center" vertical="center" wrapText="1"/>
    </xf>
    <xf numFmtId="0" fontId="84" fillId="0" borderId="6" xfId="0" applyFont="1" applyBorder="1" applyAlignment="1">
      <alignment horizontal="center" vertical="center" wrapText="1"/>
    </xf>
    <xf numFmtId="167" fontId="84" fillId="0" borderId="60" xfId="0" applyNumberFormat="1" applyFont="1" applyBorder="1" applyAlignment="1">
      <alignment horizontal="center"/>
    </xf>
    <xf numFmtId="167" fontId="85" fillId="0" borderId="0" xfId="0" applyNumberFormat="1" applyFont="1" applyAlignment="1">
      <alignment horizontal="center"/>
    </xf>
    <xf numFmtId="167" fontId="84" fillId="0" borderId="58" xfId="0" applyNumberFormat="1" applyFont="1" applyBorder="1" applyAlignment="1">
      <alignment horizontal="center"/>
    </xf>
    <xf numFmtId="167" fontId="92" fillId="0" borderId="0" xfId="0" applyNumberFormat="1" applyFont="1" applyAlignment="1">
      <alignment horizontal="center"/>
    </xf>
    <xf numFmtId="167" fontId="84" fillId="0" borderId="61" xfId="0" applyNumberFormat="1" applyFont="1" applyBorder="1" applyAlignment="1">
      <alignment horizontal="center"/>
    </xf>
    <xf numFmtId="167" fontId="90" fillId="0" borderId="0" xfId="0" applyNumberFormat="1" applyFont="1" applyAlignment="1">
      <alignment horizontal="center"/>
    </xf>
    <xf numFmtId="193" fontId="88" fillId="0" borderId="12" xfId="0" applyNumberFormat="1" applyFont="1" applyBorder="1" applyAlignment="1">
      <alignment vertical="center"/>
    </xf>
    <xf numFmtId="167" fontId="84" fillId="0" borderId="62" xfId="0" applyNumberFormat="1" applyFont="1" applyBorder="1" applyAlignment="1">
      <alignment horizontal="center"/>
    </xf>
    <xf numFmtId="0" fontId="84" fillId="0" borderId="18" xfId="0" applyFont="1" applyBorder="1" applyAlignment="1">
      <alignment vertical="center"/>
    </xf>
    <xf numFmtId="193" fontId="84" fillId="0" borderId="3" xfId="0" applyNumberFormat="1" applyFont="1" applyBorder="1"/>
    <xf numFmtId="0" fontId="2" fillId="3" borderId="21" xfId="9" applyFont="1" applyFill="1" applyBorder="1" applyAlignment="1" applyProtection="1">
      <alignment horizontal="left" vertical="center"/>
      <protection locked="0"/>
    </xf>
    <xf numFmtId="0" fontId="45" fillId="3" borderId="22" xfId="16" applyFont="1" applyFill="1" applyBorder="1" applyProtection="1">
      <protection locked="0"/>
    </xf>
    <xf numFmtId="193" fontId="84" fillId="36" borderId="22" xfId="0" applyNumberFormat="1" applyFont="1" applyFill="1" applyBorder="1"/>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4" fontId="2" fillId="3" borderId="18"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9" xfId="1" applyNumberFormat="1" applyFont="1" applyFill="1" applyBorder="1" applyAlignment="1" applyProtection="1">
      <alignment horizontal="center" vertical="center" wrapText="1"/>
      <protection locked="0"/>
    </xf>
    <xf numFmtId="0" fontId="2" fillId="3" borderId="18" xfId="5" applyFill="1" applyBorder="1" applyAlignment="1" applyProtection="1">
      <alignment horizontal="right" vertical="center"/>
      <protection locked="0"/>
    </xf>
    <xf numFmtId="193" fontId="84" fillId="0" borderId="18" xfId="0" applyNumberFormat="1" applyFont="1" applyBorder="1"/>
    <xf numFmtId="193" fontId="84" fillId="0" borderId="19" xfId="0" applyNumberFormat="1" applyFont="1" applyBorder="1"/>
    <xf numFmtId="193" fontId="84" fillId="36" borderId="52" xfId="0" applyNumberFormat="1" applyFont="1" applyFill="1" applyBorder="1"/>
    <xf numFmtId="0" fontId="45" fillId="3" borderId="23" xfId="16" applyFont="1" applyFill="1" applyBorder="1" applyProtection="1">
      <protection locked="0"/>
    </xf>
    <xf numFmtId="193" fontId="84" fillId="36" borderId="21" xfId="0" applyNumberFormat="1" applyFont="1" applyFill="1" applyBorder="1"/>
    <xf numFmtId="193" fontId="84" fillId="36" borderId="23" xfId="0" applyNumberFormat="1" applyFont="1" applyFill="1" applyBorder="1"/>
    <xf numFmtId="193" fontId="84" fillId="36" borderId="53" xfId="0" applyNumberFormat="1" applyFont="1" applyFill="1" applyBorder="1"/>
    <xf numFmtId="0" fontId="84" fillId="0" borderId="16" xfId="0" applyFont="1" applyBorder="1"/>
    <xf numFmtId="0" fontId="89" fillId="0" borderId="0" xfId="0" applyFont="1" applyAlignment="1">
      <alignment wrapText="1"/>
    </xf>
    <xf numFmtId="0" fontId="84" fillId="0" borderId="18" xfId="0" applyFont="1" applyBorder="1"/>
    <xf numFmtId="0" fontId="84" fillId="0" borderId="3" xfId="0" applyFont="1" applyBorder="1"/>
    <xf numFmtId="0" fontId="84" fillId="0" borderId="63" xfId="0" applyFont="1" applyBorder="1" applyAlignment="1">
      <alignment wrapText="1"/>
    </xf>
    <xf numFmtId="0" fontId="84" fillId="0" borderId="21" xfId="0" applyFont="1" applyBorder="1"/>
    <xf numFmtId="0" fontId="86" fillId="0" borderId="22" xfId="0" applyFont="1" applyBorder="1"/>
    <xf numFmtId="193" fontId="45" fillId="36" borderId="22" xfId="16" applyNumberFormat="1" applyFont="1" applyFill="1" applyBorder="1" applyProtection="1">
      <protection locked="0"/>
    </xf>
    <xf numFmtId="0" fontId="84" fillId="0" borderId="54" xfId="0" applyFont="1" applyBorder="1" applyAlignment="1">
      <alignment horizontal="center"/>
    </xf>
    <xf numFmtId="0" fontId="84" fillId="0" borderId="55"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9" fillId="0" borderId="0" xfId="0" applyFont="1" applyAlignment="1">
      <alignment horizontal="center"/>
    </xf>
    <xf numFmtId="0" fontId="2" fillId="3" borderId="18"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19" xfId="5" applyNumberForma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22" xfId="16" applyNumberFormat="1" applyFont="1" applyFill="1" applyBorder="1" applyProtection="1">
      <protection locked="0"/>
    </xf>
    <xf numFmtId="193" fontId="45" fillId="36" borderId="22" xfId="1" applyNumberFormat="1" applyFont="1" applyFill="1" applyBorder="1" applyAlignment="1" applyProtection="1">
      <protection locked="0"/>
    </xf>
    <xf numFmtId="193" fontId="2" fillId="3" borderId="22" xfId="5" applyNumberFormat="1" applyFill="1" applyBorder="1" applyProtection="1">
      <protection locked="0"/>
    </xf>
    <xf numFmtId="164" fontId="45" fillId="36" borderId="23" xfId="1" applyNumberFormat="1" applyFont="1" applyFill="1" applyBorder="1" applyAlignment="1" applyProtection="1">
      <protection locked="0"/>
    </xf>
    <xf numFmtId="193" fontId="84" fillId="0" borderId="0" xfId="0" applyNumberFormat="1" applyFont="1"/>
    <xf numFmtId="0" fontId="45" fillId="0" borderId="25" xfId="0" applyFont="1" applyBorder="1" applyAlignment="1">
      <alignment vertical="center" wrapText="1"/>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2" xfId="0" applyFont="1" applyBorder="1" applyAlignment="1">
      <alignment vertical="center" wrapText="1"/>
    </xf>
    <xf numFmtId="0" fontId="2" fillId="0" borderId="15" xfId="11" applyBorder="1" applyAlignment="1">
      <alignment vertical="center"/>
    </xf>
    <xf numFmtId="0" fontId="2" fillId="0" borderId="16" xfId="11" applyBorder="1" applyAlignment="1">
      <alignment vertical="center"/>
    </xf>
    <xf numFmtId="193" fontId="86" fillId="36" borderId="22"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193" fontId="84" fillId="36" borderId="17" xfId="0" applyNumberFormat="1" applyFont="1" applyFill="1" applyBorder="1" applyAlignment="1">
      <alignment horizontal="center" vertical="center"/>
    </xf>
    <xf numFmtId="193" fontId="84" fillId="0" borderId="19" xfId="0" applyNumberFormat="1" applyFont="1" applyBorder="1" applyAlignment="1">
      <alignment wrapText="1"/>
    </xf>
    <xf numFmtId="193" fontId="84" fillId="36" borderId="19" xfId="0" applyNumberFormat="1" applyFont="1" applyFill="1" applyBorder="1" applyAlignment="1">
      <alignment horizontal="center" vertical="center" wrapText="1"/>
    </xf>
    <xf numFmtId="193" fontId="84" fillId="36" borderId="23" xfId="0" applyNumberFormat="1" applyFont="1" applyFill="1" applyBorder="1" applyAlignment="1">
      <alignment horizontal="center" vertical="center" wrapText="1"/>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84" fillId="0" borderId="16"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4" xfId="0" applyFont="1" applyBorder="1"/>
    <xf numFmtId="0" fontId="3" fillId="0" borderId="55"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8" fillId="0" borderId="0" xfId="0" applyFont="1"/>
    <xf numFmtId="0" fontId="3" fillId="0" borderId="63" xfId="0" applyFont="1" applyBorder="1"/>
    <xf numFmtId="193" fontId="84" fillId="0" borderId="20" xfId="0" applyNumberFormat="1" applyFont="1" applyBorder="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Border="1" applyAlignment="1">
      <alignment horizontal="center" vertical="center" wrapText="1"/>
    </xf>
    <xf numFmtId="193" fontId="3" fillId="0" borderId="3" xfId="0" applyNumberFormat="1" applyFont="1" applyBorder="1"/>
    <xf numFmtId="193" fontId="3" fillId="0" borderId="8" xfId="0" applyNumberFormat="1" applyFont="1" applyBorder="1"/>
    <xf numFmtId="193" fontId="3" fillId="36" borderId="22" xfId="0" applyNumberFormat="1" applyFont="1" applyFill="1" applyBorder="1"/>
    <xf numFmtId="9" fontId="3" fillId="0" borderId="19" xfId="20962" applyFont="1" applyBorder="1"/>
    <xf numFmtId="9" fontId="3" fillId="36" borderId="23" xfId="20962" applyFont="1" applyFill="1" applyBorder="1"/>
    <xf numFmtId="0" fontId="86" fillId="0" borderId="0" xfId="0" applyFont="1" applyAlignment="1">
      <alignment horizontal="center" wrapText="1"/>
    </xf>
    <xf numFmtId="167" fontId="84" fillId="0" borderId="3" xfId="0" applyNumberFormat="1" applyFont="1" applyBorder="1"/>
    <xf numFmtId="167" fontId="84" fillId="36" borderId="22" xfId="0" applyNumberFormat="1" applyFont="1" applyFill="1" applyBorder="1"/>
    <xf numFmtId="0" fontId="84" fillId="0" borderId="68" xfId="0" applyFont="1" applyBorder="1" applyAlignment="1">
      <alignment vertical="center" wrapText="1"/>
    </xf>
    <xf numFmtId="193"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6" xfId="0" applyFont="1" applyFill="1" applyBorder="1" applyAlignment="1">
      <alignment wrapText="1"/>
    </xf>
    <xf numFmtId="193" fontId="2" fillId="0" borderId="3" xfId="0" applyNumberFormat="1" applyFont="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100" fillId="3" borderId="78" xfId="0" applyFont="1" applyFill="1" applyBorder="1" applyAlignment="1">
      <alignment horizontal="left"/>
    </xf>
    <xf numFmtId="0" fontId="100" fillId="3" borderId="79" xfId="0" applyFont="1" applyFill="1" applyBorder="1" applyAlignment="1">
      <alignment horizontal="left"/>
    </xf>
    <xf numFmtId="0" fontId="4" fillId="3" borderId="82" xfId="0" applyFont="1" applyFill="1" applyBorder="1" applyAlignment="1">
      <alignment vertical="center"/>
    </xf>
    <xf numFmtId="0" fontId="3" fillId="3" borderId="83" xfId="0" applyFont="1" applyFill="1" applyBorder="1" applyAlignment="1">
      <alignment vertical="center"/>
    </xf>
    <xf numFmtId="0" fontId="3" fillId="3" borderId="84" xfId="0" applyFont="1" applyFill="1" applyBorder="1" applyAlignment="1">
      <alignment vertical="center"/>
    </xf>
    <xf numFmtId="0" fontId="3" fillId="0" borderId="67"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18" xfId="0" applyFont="1" applyBorder="1" applyAlignment="1">
      <alignment horizontal="center" vertical="center"/>
    </xf>
    <xf numFmtId="0" fontId="3" fillId="0" borderId="80" xfId="0" applyFont="1" applyBorder="1" applyAlignment="1">
      <alignment vertical="center"/>
    </xf>
    <xf numFmtId="0" fontId="3" fillId="0" borderId="81" xfId="0" applyFont="1" applyBorder="1" applyAlignment="1">
      <alignment vertical="center"/>
    </xf>
    <xf numFmtId="0" fontId="4" fillId="0" borderId="80" xfId="0" applyFont="1" applyBorder="1" applyAlignment="1">
      <alignment vertical="center"/>
    </xf>
    <xf numFmtId="0" fontId="3" fillId="0" borderId="21" xfId="0" applyFont="1" applyBorder="1" applyAlignment="1">
      <alignment horizontal="center" vertical="center"/>
    </xf>
    <xf numFmtId="0" fontId="4" fillId="0" borderId="22" xfId="0" applyFont="1" applyBorder="1" applyAlignment="1">
      <alignment vertical="center"/>
    </xf>
    <xf numFmtId="0" fontId="3" fillId="3" borderId="63" xfId="0" applyFont="1" applyFill="1" applyBorder="1" applyAlignment="1">
      <alignment horizontal="center" vertical="center"/>
    </xf>
    <xf numFmtId="0" fontId="3" fillId="3" borderId="0" xfId="0" applyFont="1" applyFill="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169" fontId="9" fillId="37" borderId="55" xfId="20" applyBorder="1"/>
    <xf numFmtId="0" fontId="3" fillId="0" borderId="86" xfId="0" applyFont="1" applyBorder="1" applyAlignment="1">
      <alignment horizontal="center" vertical="center"/>
    </xf>
    <xf numFmtId="0" fontId="3" fillId="0" borderId="87" xfId="0" applyFont="1" applyBorder="1" applyAlignment="1">
      <alignment vertical="center"/>
    </xf>
    <xf numFmtId="169" fontId="9" fillId="37" borderId="24" xfId="20" applyBorder="1"/>
    <xf numFmtId="169" fontId="9" fillId="37" borderId="88" xfId="20" applyBorder="1"/>
    <xf numFmtId="169" fontId="9" fillId="37" borderId="25" xfId="20" applyBorder="1"/>
    <xf numFmtId="0" fontId="3" fillId="0" borderId="90" xfId="0" applyFont="1" applyBorder="1" applyAlignment="1">
      <alignment horizontal="center" vertical="center"/>
    </xf>
    <xf numFmtId="0" fontId="3" fillId="0" borderId="91" xfId="0" applyFont="1" applyBorder="1" applyAlignment="1">
      <alignment vertical="center"/>
    </xf>
    <xf numFmtId="169" fontId="9" fillId="37" borderId="30" xfId="20" applyBorder="1"/>
    <xf numFmtId="0" fontId="4" fillId="0" borderId="0" xfId="0" applyFont="1" applyAlignment="1">
      <alignment horizontal="center"/>
    </xf>
    <xf numFmtId="0" fontId="86" fillId="0" borderId="80" xfId="0" applyFont="1" applyBorder="1" applyAlignment="1">
      <alignment horizontal="center" vertical="center" wrapText="1"/>
    </xf>
    <xf numFmtId="0" fontId="86" fillId="0" borderId="81" xfId="0" applyFont="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81" xfId="0" applyFont="1" applyFill="1" applyBorder="1" applyAlignment="1">
      <alignment horizontal="left" vertical="center" wrapText="1"/>
    </xf>
    <xf numFmtId="0" fontId="3" fillId="0" borderId="18" xfId="0" applyFont="1" applyBorder="1" applyAlignment="1">
      <alignment horizontal="right" vertical="center" wrapText="1"/>
    </xf>
    <xf numFmtId="0" fontId="101" fillId="0" borderId="18" xfId="0" applyFont="1" applyBorder="1" applyAlignment="1">
      <alignment horizontal="right" vertical="center" wrapText="1"/>
    </xf>
    <xf numFmtId="0" fontId="4" fillId="0" borderId="18"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21" xfId="5" applyNumberFormat="1" applyFont="1" applyBorder="1" applyAlignment="1" applyProtection="1">
      <alignment horizontal="left" vertical="center"/>
      <protection locked="0"/>
    </xf>
    <xf numFmtId="0" fontId="103" fillId="0" borderId="22" xfId="9" applyFont="1" applyBorder="1" applyAlignment="1" applyProtection="1">
      <alignment horizontal="left" vertical="center" wrapText="1"/>
      <protection locked="0"/>
    </xf>
    <xf numFmtId="0" fontId="84" fillId="0" borderId="80" xfId="0" applyFont="1" applyBorder="1" applyAlignment="1">
      <alignment vertical="center" wrapText="1"/>
    </xf>
    <xf numFmtId="14" fontId="2" fillId="3" borderId="80" xfId="8" quotePrefix="1" applyNumberFormat="1" applyFont="1" applyFill="1" applyBorder="1" applyAlignment="1" applyProtection="1">
      <alignment horizontal="left"/>
      <protection locked="0"/>
    </xf>
    <xf numFmtId="3" fontId="104" fillId="36" borderId="81" xfId="0" applyNumberFormat="1" applyFont="1" applyFill="1" applyBorder="1" applyAlignment="1">
      <alignment vertical="center" wrapText="1"/>
    </xf>
    <xf numFmtId="3" fontId="104" fillId="36" borderId="22" xfId="0" applyNumberFormat="1" applyFont="1" applyFill="1" applyBorder="1" applyAlignment="1">
      <alignment vertical="center" wrapText="1"/>
    </xf>
    <xf numFmtId="3" fontId="104" fillId="36" borderId="23" xfId="0" applyNumberFormat="1" applyFont="1" applyFill="1" applyBorder="1" applyAlignment="1">
      <alignment vertical="center" wrapText="1"/>
    </xf>
    <xf numFmtId="0" fontId="6" fillId="0" borderId="80" xfId="17" applyFill="1" applyBorder="1" applyAlignment="1" applyProtection="1"/>
    <xf numFmtId="49" fontId="84" fillId="0" borderId="80"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97" xfId="20964" applyFont="1" applyFill="1" applyBorder="1">
      <alignment vertical="center"/>
    </xf>
    <xf numFmtId="0" fontId="45" fillId="76" borderId="98" xfId="20964" applyFont="1" applyFill="1" applyBorder="1">
      <alignment vertical="center"/>
    </xf>
    <xf numFmtId="0" fontId="45" fillId="76" borderId="95" xfId="20964" applyFont="1" applyFill="1" applyBorder="1">
      <alignment vertical="center"/>
    </xf>
    <xf numFmtId="0" fontId="106" fillId="70" borderId="94" xfId="20964" applyFont="1" applyFill="1" applyBorder="1" applyAlignment="1">
      <alignment horizontal="center" vertical="center"/>
    </xf>
    <xf numFmtId="0" fontId="106" fillId="70" borderId="95" xfId="20964" applyFont="1" applyFill="1" applyBorder="1" applyAlignment="1">
      <alignment horizontal="left" vertical="center" wrapText="1"/>
    </xf>
    <xf numFmtId="164" fontId="106" fillId="0" borderId="96" xfId="7" applyNumberFormat="1" applyFont="1" applyFill="1" applyBorder="1" applyAlignment="1" applyProtection="1">
      <alignment horizontal="right" vertical="center"/>
      <protection locked="0"/>
    </xf>
    <xf numFmtId="0" fontId="105" fillId="77" borderId="96" xfId="20964" applyFont="1" applyFill="1" applyBorder="1" applyAlignment="1">
      <alignment horizontal="center" vertical="center"/>
    </xf>
    <xf numFmtId="0" fontId="105" fillId="77" borderId="98" xfId="20964" applyFont="1" applyFill="1" applyBorder="1" applyAlignment="1">
      <alignment vertical="top" wrapText="1"/>
    </xf>
    <xf numFmtId="164" fontId="45" fillId="76" borderId="95" xfId="7" applyNumberFormat="1" applyFont="1" applyFill="1" applyBorder="1" applyAlignment="1">
      <alignment horizontal="right" vertical="center"/>
    </xf>
    <xf numFmtId="0" fontId="107" fillId="70" borderId="94" xfId="20964" applyFont="1" applyFill="1" applyBorder="1" applyAlignment="1">
      <alignment horizontal="center" vertical="center"/>
    </xf>
    <xf numFmtId="0" fontId="106" fillId="70" borderId="98" xfId="20964" applyFont="1" applyFill="1" applyBorder="1" applyAlignment="1">
      <alignment vertical="center" wrapText="1"/>
    </xf>
    <xf numFmtId="0" fontId="106" fillId="70" borderId="95" xfId="20964" applyFont="1" applyFill="1" applyBorder="1" applyAlignment="1">
      <alignment horizontal="left" vertical="center"/>
    </xf>
    <xf numFmtId="0" fontId="107" fillId="3" borderId="94" xfId="20964" applyFont="1" applyFill="1" applyBorder="1" applyAlignment="1">
      <alignment horizontal="center" vertical="center"/>
    </xf>
    <xf numFmtId="0" fontId="106" fillId="3" borderId="95" xfId="20964" applyFont="1" applyFill="1" applyBorder="1" applyAlignment="1">
      <alignment horizontal="left" vertical="center"/>
    </xf>
    <xf numFmtId="0" fontId="107" fillId="0" borderId="94" xfId="20964" applyFont="1" applyBorder="1" applyAlignment="1">
      <alignment horizontal="center" vertical="center"/>
    </xf>
    <xf numFmtId="0" fontId="106" fillId="0" borderId="95" xfId="20964" applyFont="1" applyBorder="1" applyAlignment="1">
      <alignment horizontal="left" vertical="center"/>
    </xf>
    <xf numFmtId="0" fontId="108" fillId="77" borderId="96" xfId="20964" applyFont="1" applyFill="1" applyBorder="1" applyAlignment="1">
      <alignment horizontal="center" vertical="center"/>
    </xf>
    <xf numFmtId="0" fontId="105" fillId="77" borderId="98" xfId="20964" applyFont="1" applyFill="1" applyBorder="1">
      <alignment vertical="center"/>
    </xf>
    <xf numFmtId="164" fontId="106" fillId="77" borderId="96" xfId="7" applyNumberFormat="1" applyFont="1" applyFill="1" applyBorder="1" applyAlignment="1" applyProtection="1">
      <alignment horizontal="right" vertical="center"/>
      <protection locked="0"/>
    </xf>
    <xf numFmtId="0" fontId="105" fillId="76" borderId="97" xfId="20964" applyFont="1" applyFill="1" applyBorder="1">
      <alignment vertical="center"/>
    </xf>
    <xf numFmtId="0" fontId="105" fillId="76" borderId="98" xfId="20964" applyFont="1" applyFill="1" applyBorder="1">
      <alignment vertical="center"/>
    </xf>
    <xf numFmtId="164" fontId="105" fillId="76" borderId="95" xfId="7" applyNumberFormat="1" applyFont="1" applyFill="1" applyBorder="1" applyAlignment="1">
      <alignment horizontal="right" vertical="center"/>
    </xf>
    <xf numFmtId="0" fontId="110" fillId="3" borderId="94" xfId="20964" applyFont="1" applyFill="1" applyBorder="1" applyAlignment="1">
      <alignment horizontal="center" vertical="center"/>
    </xf>
    <xf numFmtId="0" fontId="111" fillId="77" borderId="96" xfId="20964" applyFont="1" applyFill="1" applyBorder="1" applyAlignment="1">
      <alignment horizontal="center" vertical="center"/>
    </xf>
    <xf numFmtId="0" fontId="45" fillId="77" borderId="98" xfId="20964" applyFont="1" applyFill="1" applyBorder="1">
      <alignment vertical="center"/>
    </xf>
    <xf numFmtId="0" fontId="110" fillId="70" borderId="94" xfId="20964" applyFont="1" applyFill="1" applyBorder="1" applyAlignment="1">
      <alignment horizontal="center" vertical="center"/>
    </xf>
    <xf numFmtId="164" fontId="106" fillId="3" borderId="96" xfId="7" applyNumberFormat="1" applyFont="1" applyFill="1" applyBorder="1" applyAlignment="1" applyProtection="1">
      <alignment horizontal="right" vertical="center"/>
      <protection locked="0"/>
    </xf>
    <xf numFmtId="0" fontId="111" fillId="3" borderId="96" xfId="20964" applyFont="1" applyFill="1" applyBorder="1" applyAlignment="1">
      <alignment horizontal="center" vertical="center"/>
    </xf>
    <xf numFmtId="0" fontId="45" fillId="3" borderId="98" xfId="20964" applyFont="1" applyFill="1" applyBorder="1">
      <alignment vertical="center"/>
    </xf>
    <xf numFmtId="0" fontId="107" fillId="70" borderId="96" xfId="20964" applyFont="1" applyFill="1" applyBorder="1" applyAlignment="1">
      <alignment horizontal="center" vertical="center"/>
    </xf>
    <xf numFmtId="0" fontId="19" fillId="70" borderId="96" xfId="20964" applyFont="1" applyFill="1" applyBorder="1" applyAlignment="1">
      <alignment horizontal="center" vertical="center"/>
    </xf>
    <xf numFmtId="0" fontId="101" fillId="0" borderId="96" xfId="0" applyFont="1" applyBorder="1" applyAlignment="1">
      <alignment horizontal="left" vertical="center" wrapText="1"/>
    </xf>
    <xf numFmtId="10" fontId="97" fillId="0" borderId="96" xfId="20962" applyNumberFormat="1" applyFont="1" applyFill="1" applyBorder="1" applyAlignment="1">
      <alignment horizontal="left" vertical="center" wrapText="1"/>
    </xf>
    <xf numFmtId="10" fontId="3" fillId="0" borderId="96" xfId="20962" applyNumberFormat="1" applyFont="1" applyFill="1" applyBorder="1" applyAlignment="1">
      <alignment horizontal="left" vertical="center" wrapText="1"/>
    </xf>
    <xf numFmtId="10" fontId="4" fillId="36" borderId="96" xfId="0" applyNumberFormat="1" applyFont="1" applyFill="1" applyBorder="1" applyAlignment="1">
      <alignment horizontal="left" vertical="center" wrapText="1"/>
    </xf>
    <xf numFmtId="10" fontId="101" fillId="0" borderId="96" xfId="20962" applyNumberFormat="1" applyFont="1" applyFill="1" applyBorder="1" applyAlignment="1">
      <alignment horizontal="left" vertical="center" wrapText="1"/>
    </xf>
    <xf numFmtId="10" fontId="4" fillId="36" borderId="96" xfId="20962" applyNumberFormat="1" applyFont="1" applyFill="1" applyBorder="1" applyAlignment="1">
      <alignment horizontal="left" vertical="center" wrapText="1"/>
    </xf>
    <xf numFmtId="10" fontId="4" fillId="36" borderId="96" xfId="0" applyNumberFormat="1" applyFont="1" applyFill="1" applyBorder="1" applyAlignment="1">
      <alignment horizontal="center" vertical="center" wrapText="1"/>
    </xf>
    <xf numFmtId="10" fontId="103" fillId="0" borderId="22" xfId="20962" applyNumberFormat="1" applyFont="1" applyFill="1" applyBorder="1" applyAlignment="1" applyProtection="1">
      <alignment horizontal="left" vertical="center"/>
    </xf>
    <xf numFmtId="0" fontId="4" fillId="36" borderId="96" xfId="0" applyFont="1" applyFill="1" applyBorder="1" applyAlignment="1">
      <alignment horizontal="left" vertical="center" wrapText="1"/>
    </xf>
    <xf numFmtId="0" fontId="3" fillId="0" borderId="96" xfId="0" applyFont="1" applyBorder="1" applyAlignment="1">
      <alignment horizontal="left" vertical="center" wrapText="1"/>
    </xf>
    <xf numFmtId="10" fontId="4" fillId="36" borderId="81" xfId="0" applyNumberFormat="1" applyFont="1" applyFill="1" applyBorder="1" applyAlignment="1">
      <alignment horizontal="left" vertical="center" wrapText="1"/>
    </xf>
    <xf numFmtId="10" fontId="4" fillId="36" borderId="81" xfId="20962" applyNumberFormat="1" applyFont="1" applyFill="1" applyBorder="1" applyAlignment="1">
      <alignment horizontal="left" vertical="center" wrapText="1"/>
    </xf>
    <xf numFmtId="0" fontId="4" fillId="36" borderId="81" xfId="0" applyFont="1" applyFill="1" applyBorder="1" applyAlignment="1">
      <alignment horizontal="center" vertical="center" wrapText="1"/>
    </xf>
    <xf numFmtId="0" fontId="4" fillId="36" borderId="82" xfId="0" applyFont="1" applyFill="1" applyBorder="1" applyAlignment="1">
      <alignment vertical="center" wrapText="1"/>
    </xf>
    <xf numFmtId="0" fontId="4" fillId="36" borderId="95" xfId="0" applyFont="1" applyFill="1" applyBorder="1" applyAlignment="1">
      <alignment vertical="center" wrapText="1"/>
    </xf>
    <xf numFmtId="0" fontId="4" fillId="36" borderId="69" xfId="0" applyFont="1" applyFill="1" applyBorder="1" applyAlignment="1">
      <alignment vertical="center" wrapText="1"/>
    </xf>
    <xf numFmtId="0" fontId="4" fillId="36" borderId="29" xfId="0" applyFont="1" applyFill="1" applyBorder="1" applyAlignment="1">
      <alignment vertical="center" wrapText="1"/>
    </xf>
    <xf numFmtId="0" fontId="84" fillId="0" borderId="96" xfId="0" applyFont="1" applyBorder="1"/>
    <xf numFmtId="0" fontId="6" fillId="0" borderId="96" xfId="17" applyFill="1" applyBorder="1" applyAlignment="1" applyProtection="1">
      <alignment horizontal="left" vertical="center"/>
    </xf>
    <xf numFmtId="0" fontId="6" fillId="0" borderId="96" xfId="17" applyBorder="1" applyAlignment="1" applyProtection="1"/>
    <xf numFmtId="0" fontId="6" fillId="0" borderId="96" xfId="17" applyFill="1" applyBorder="1" applyAlignment="1" applyProtection="1">
      <alignment horizontal="left" vertical="center" wrapText="1"/>
    </xf>
    <xf numFmtId="0" fontId="6" fillId="0" borderId="96"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xf numFmtId="0" fontId="45" fillId="0" borderId="19" xfId="0" applyFont="1" applyBorder="1" applyAlignment="1">
      <alignment horizontal="center" vertical="center" wrapText="1"/>
    </xf>
    <xf numFmtId="3" fontId="104" fillId="36" borderId="96" xfId="0" applyNumberFormat="1" applyFont="1" applyFill="1" applyBorder="1" applyAlignment="1">
      <alignment vertical="center" wrapText="1"/>
    </xf>
    <xf numFmtId="3" fontId="104" fillId="0" borderId="96" xfId="0" applyNumberFormat="1" applyFont="1" applyBorder="1" applyAlignment="1">
      <alignment vertical="center" wrapText="1"/>
    </xf>
    <xf numFmtId="3" fontId="104" fillId="36" borderId="97" xfId="0" applyNumberFormat="1" applyFont="1" applyFill="1" applyBorder="1" applyAlignment="1">
      <alignment vertical="center" wrapText="1"/>
    </xf>
    <xf numFmtId="3" fontId="104" fillId="0" borderId="97" xfId="0" applyNumberFormat="1" applyFont="1" applyBorder="1" applyAlignment="1">
      <alignment vertical="center" wrapText="1"/>
    </xf>
    <xf numFmtId="3" fontId="104" fillId="36" borderId="24" xfId="0" applyNumberFormat="1" applyFont="1" applyFill="1" applyBorder="1" applyAlignment="1">
      <alignment vertical="center" wrapText="1"/>
    </xf>
    <xf numFmtId="3" fontId="104" fillId="36" borderId="84" xfId="0" applyNumberFormat="1" applyFont="1" applyFill="1" applyBorder="1" applyAlignment="1">
      <alignment vertical="center" wrapText="1"/>
    </xf>
    <xf numFmtId="3" fontId="104" fillId="0" borderId="84" xfId="0" applyNumberFormat="1" applyFont="1" applyBorder="1" applyAlignment="1">
      <alignment vertical="center" wrapText="1"/>
    </xf>
    <xf numFmtId="3" fontId="104" fillId="36" borderId="38" xfId="0" applyNumberFormat="1" applyFont="1" applyFill="1" applyBorder="1" applyAlignment="1">
      <alignment vertical="center" wrapTex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14" fontId="2" fillId="0" borderId="0" xfId="0" applyNumberFormat="1" applyFont="1"/>
    <xf numFmtId="169" fontId="2" fillId="37" borderId="0" xfId="20" applyFont="1"/>
    <xf numFmtId="169" fontId="2" fillId="37" borderId="93" xfId="20" applyFont="1" applyBorder="1"/>
    <xf numFmtId="0" fontId="2" fillId="2" borderId="18" xfId="0" applyFont="1" applyFill="1" applyBorder="1" applyAlignment="1">
      <alignment horizontal="right" vertical="center"/>
    </xf>
    <xf numFmtId="0" fontId="45" fillId="0" borderId="18" xfId="0" applyFont="1" applyBorder="1" applyAlignment="1">
      <alignment horizontal="center" vertical="center" wrapText="1"/>
    </xf>
    <xf numFmtId="0" fontId="2" fillId="2" borderId="21" xfId="0" applyFont="1" applyFill="1" applyBorder="1" applyAlignment="1">
      <alignment horizontal="right" vertical="center"/>
    </xf>
    <xf numFmtId="0" fontId="4" fillId="0" borderId="0" xfId="0" applyFont="1" applyAlignment="1">
      <alignment horizontal="center" wrapText="1"/>
    </xf>
    <xf numFmtId="0" fontId="3" fillId="3" borderId="54" xfId="0" applyFont="1" applyFill="1" applyBorder="1"/>
    <xf numFmtId="0" fontId="3" fillId="3" borderId="99" xfId="0" applyFont="1" applyFill="1" applyBorder="1" applyAlignment="1">
      <alignment wrapText="1"/>
    </xf>
    <xf numFmtId="0" fontId="3" fillId="3" borderId="100" xfId="0" applyFont="1" applyFill="1" applyBorder="1"/>
    <xf numFmtId="0" fontId="4" fillId="3" borderId="75" xfId="0" applyFont="1" applyFill="1" applyBorder="1" applyAlignment="1">
      <alignment horizontal="center" wrapText="1"/>
    </xf>
    <xf numFmtId="0" fontId="3" fillId="0" borderId="96" xfId="0" applyFont="1" applyBorder="1" applyAlignment="1">
      <alignment horizontal="center"/>
    </xf>
    <xf numFmtId="0" fontId="3" fillId="3" borderId="63"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93" xfId="0" applyFont="1" applyFill="1" applyBorder="1" applyAlignment="1">
      <alignment horizontal="center" vertical="center" wrapText="1"/>
    </xf>
    <xf numFmtId="0" fontId="3" fillId="0" borderId="18" xfId="0" applyFont="1" applyBorder="1"/>
    <xf numFmtId="0" fontId="3" fillId="0" borderId="96" xfId="0" applyFont="1" applyBorder="1" applyAlignment="1">
      <alignment wrapText="1"/>
    </xf>
    <xf numFmtId="164" fontId="3" fillId="0" borderId="96" xfId="7" applyNumberFormat="1" applyFont="1" applyBorder="1"/>
    <xf numFmtId="164" fontId="3" fillId="0" borderId="81" xfId="7" applyNumberFormat="1" applyFont="1" applyBorder="1"/>
    <xf numFmtId="0" fontId="100" fillId="0" borderId="96" xfId="0" applyFont="1" applyBorder="1" applyAlignment="1">
      <alignment horizontal="left" wrapText="1" indent="2"/>
    </xf>
    <xf numFmtId="169" fontId="9" fillId="37" borderId="96" xfId="20" applyBorder="1"/>
    <xf numFmtId="164" fontId="3" fillId="0" borderId="96" xfId="7" applyNumberFormat="1" applyFont="1" applyBorder="1" applyAlignment="1">
      <alignment vertical="center"/>
    </xf>
    <xf numFmtId="0" fontId="4" fillId="0" borderId="18" xfId="0" applyFont="1" applyBorder="1"/>
    <xf numFmtId="0" fontId="4" fillId="0" borderId="96" xfId="0" applyFont="1" applyBorder="1" applyAlignment="1">
      <alignment wrapText="1"/>
    </xf>
    <xf numFmtId="164" fontId="4" fillId="0" borderId="81" xfId="7" applyNumberFormat="1" applyFont="1" applyBorder="1"/>
    <xf numFmtId="0" fontId="112" fillId="3" borderId="63" xfId="0" applyFont="1" applyFill="1" applyBorder="1" applyAlignment="1">
      <alignment horizontal="left"/>
    </xf>
    <xf numFmtId="0" fontId="112"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3" xfId="7" applyNumberFormat="1" applyFont="1" applyFill="1" applyBorder="1"/>
    <xf numFmtId="0" fontId="100" fillId="0" borderId="96"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93" xfId="0" applyFont="1" applyFill="1" applyBorder="1"/>
    <xf numFmtId="0" fontId="4" fillId="0" borderId="21" xfId="0" applyFont="1" applyBorder="1"/>
    <xf numFmtId="0" fontId="4" fillId="0" borderId="22" xfId="0" applyFont="1" applyBorder="1" applyAlignment="1">
      <alignment wrapText="1"/>
    </xf>
    <xf numFmtId="10" fontId="4" fillId="0" borderId="23" xfId="20962" applyNumberFormat="1" applyFont="1" applyBorder="1"/>
    <xf numFmtId="0" fontId="2" fillId="2" borderId="86" xfId="0" applyFont="1" applyFill="1" applyBorder="1" applyAlignment="1">
      <alignment horizontal="right" vertical="center"/>
    </xf>
    <xf numFmtId="0" fontId="2" fillId="0" borderId="94" xfId="0" applyFont="1" applyBorder="1" applyAlignment="1">
      <alignment vertical="center" wrapText="1"/>
    </xf>
    <xf numFmtId="193" fontId="2" fillId="2" borderId="94" xfId="0" applyNumberFormat="1" applyFont="1" applyFill="1" applyBorder="1" applyAlignment="1" applyProtection="1">
      <alignment vertical="center"/>
      <protection locked="0"/>
    </xf>
    <xf numFmtId="193" fontId="87" fillId="2" borderId="94" xfId="0" applyNumberFormat="1" applyFont="1" applyFill="1" applyBorder="1" applyAlignment="1" applyProtection="1">
      <alignment vertical="center"/>
      <protection locked="0"/>
    </xf>
    <xf numFmtId="193" fontId="87" fillId="2" borderId="89" xfId="0" applyNumberFormat="1" applyFont="1" applyFill="1" applyBorder="1" applyAlignment="1" applyProtection="1">
      <alignment vertical="center"/>
      <protection locked="0"/>
    </xf>
    <xf numFmtId="0" fontId="113" fillId="0" borderId="0" xfId="11" applyFont="1"/>
    <xf numFmtId="0" fontId="115" fillId="0" borderId="0" xfId="11" applyFont="1"/>
    <xf numFmtId="0" fontId="114" fillId="0" borderId="0" xfId="0" applyFont="1"/>
    <xf numFmtId="0" fontId="116" fillId="0" borderId="68" xfId="0" applyFont="1" applyBorder="1" applyAlignment="1">
      <alignment horizontal="left" vertical="center" wrapText="1"/>
    </xf>
    <xf numFmtId="0" fontId="6" fillId="0" borderId="111" xfId="17" applyBorder="1" applyAlignment="1" applyProtection="1"/>
    <xf numFmtId="0" fontId="114" fillId="0" borderId="0" xfId="0" applyFont="1" applyAlignment="1">
      <alignment horizontal="left" vertical="top" wrapText="1"/>
    </xf>
    <xf numFmtId="0" fontId="0" fillId="0" borderId="111" xfId="0" applyBorder="1"/>
    <xf numFmtId="193" fontId="2" fillId="3" borderId="81" xfId="2" applyNumberFormat="1" applyFont="1" applyFill="1" applyBorder="1" applyAlignment="1" applyProtection="1">
      <alignment vertical="top" wrapText="1"/>
      <protection locked="0"/>
    </xf>
    <xf numFmtId="0" fontId="2" fillId="0" borderId="111" xfId="0" applyFont="1" applyBorder="1" applyAlignment="1">
      <alignment horizontal="center" vertical="center" wrapText="1"/>
    </xf>
    <xf numFmtId="0" fontId="112" fillId="0" borderId="111" xfId="0" applyFont="1" applyBorder="1" applyAlignment="1">
      <alignment horizontal="center" vertical="center"/>
    </xf>
    <xf numFmtId="0" fontId="0" fillId="0" borderId="111" xfId="0" applyBorder="1" applyAlignment="1">
      <alignment horizontal="center"/>
    </xf>
    <xf numFmtId="0" fontId="125" fillId="3" borderId="111" xfId="20966" applyFont="1" applyFill="1" applyBorder="1" applyAlignment="1">
      <alignment horizontal="left" vertical="center" wrapText="1"/>
    </xf>
    <xf numFmtId="0" fontId="126" fillId="0" borderId="111" xfId="20966" applyFont="1" applyBorder="1" applyAlignment="1">
      <alignment horizontal="left" vertical="center" wrapText="1" indent="1"/>
    </xf>
    <xf numFmtId="0" fontId="127" fillId="3" borderId="121" xfId="0" applyFont="1" applyFill="1" applyBorder="1" applyAlignment="1">
      <alignment horizontal="left" vertical="center" wrapText="1"/>
    </xf>
    <xf numFmtId="0" fontId="126" fillId="3" borderId="111" xfId="20966" applyFont="1" applyFill="1" applyBorder="1" applyAlignment="1">
      <alignment horizontal="left" vertical="center" wrapText="1" indent="1"/>
    </xf>
    <xf numFmtId="0" fontId="125" fillId="0" borderId="121" xfId="0" applyFont="1" applyBorder="1" applyAlignment="1">
      <alignment horizontal="left" vertical="center" wrapText="1"/>
    </xf>
    <xf numFmtId="0" fontId="127" fillId="0" borderId="121" xfId="0" applyFont="1" applyBorder="1" applyAlignment="1">
      <alignment horizontal="left" vertical="center" wrapText="1"/>
    </xf>
    <xf numFmtId="0" fontId="127" fillId="0" borderId="121" xfId="0" applyFont="1" applyBorder="1" applyAlignment="1">
      <alignment vertical="center" wrapText="1"/>
    </xf>
    <xf numFmtId="0" fontId="0" fillId="0" borderId="111" xfId="0" applyBorder="1" applyAlignment="1">
      <alignment vertical="center"/>
    </xf>
    <xf numFmtId="0" fontId="128" fillId="0" borderId="121" xfId="0" applyFont="1" applyBorder="1" applyAlignment="1">
      <alignment horizontal="left" vertical="center" wrapText="1" indent="1"/>
    </xf>
    <xf numFmtId="0" fontId="128" fillId="3" borderId="121" xfId="0" applyFont="1" applyFill="1" applyBorder="1" applyAlignment="1">
      <alignment horizontal="left" vertical="center" wrapText="1" indent="1"/>
    </xf>
    <xf numFmtId="0" fontId="127" fillId="3" borderId="122" xfId="0" applyFont="1" applyFill="1" applyBorder="1" applyAlignment="1">
      <alignment horizontal="left" vertical="center" wrapText="1"/>
    </xf>
    <xf numFmtId="0" fontId="128" fillId="0" borderId="111" xfId="20966" applyFont="1" applyBorder="1" applyAlignment="1">
      <alignment horizontal="left" vertical="center" wrapText="1" indent="1"/>
    </xf>
    <xf numFmtId="0" fontId="127" fillId="0" borderId="111" xfId="0" applyFont="1" applyBorder="1" applyAlignment="1">
      <alignment horizontal="left" vertical="center" wrapText="1"/>
    </xf>
    <xf numFmtId="0" fontId="129" fillId="0" borderId="111" xfId="20966" applyFont="1" applyBorder="1" applyAlignment="1">
      <alignment horizontal="center" vertical="center" wrapText="1"/>
    </xf>
    <xf numFmtId="0" fontId="127" fillId="3" borderId="123" xfId="0" applyFont="1" applyFill="1" applyBorder="1" applyAlignment="1">
      <alignment horizontal="left" vertical="center" wrapText="1"/>
    </xf>
    <xf numFmtId="0" fontId="0" fillId="0" borderId="124" xfId="0" applyBorder="1" applyAlignment="1">
      <alignment horizontal="center"/>
    </xf>
    <xf numFmtId="0" fontId="126" fillId="3" borderId="124" xfId="20966" applyFont="1" applyFill="1" applyBorder="1" applyAlignment="1">
      <alignment horizontal="left" vertical="center" wrapText="1" indent="1"/>
    </xf>
    <xf numFmtId="0" fontId="126" fillId="3" borderId="121" xfId="0" applyFont="1" applyFill="1" applyBorder="1" applyAlignment="1">
      <alignment horizontal="left" vertical="center" wrapText="1" indent="1"/>
    </xf>
    <xf numFmtId="0" fontId="126" fillId="0" borderId="124" xfId="20966" applyFont="1" applyBorder="1" applyAlignment="1">
      <alignment horizontal="left" vertical="center" wrapText="1" indent="1"/>
    </xf>
    <xf numFmtId="0" fontId="126" fillId="0" borderId="121" xfId="0" applyFont="1" applyBorder="1" applyAlignment="1">
      <alignment horizontal="left" vertical="center" wrapText="1" indent="1"/>
    </xf>
    <xf numFmtId="0" fontId="126" fillId="0" borderId="122" xfId="0" applyFont="1" applyBorder="1" applyAlignment="1">
      <alignment horizontal="left" vertical="center" wrapText="1" indent="1"/>
    </xf>
    <xf numFmtId="0" fontId="127" fillId="0" borderId="124" xfId="20966" applyFont="1" applyBorder="1" applyAlignment="1">
      <alignment horizontal="left" vertical="center" wrapText="1"/>
    </xf>
    <xf numFmtId="0" fontId="127" fillId="0" borderId="124" xfId="0" applyFont="1" applyBorder="1" applyAlignment="1">
      <alignment vertical="center" wrapText="1"/>
    </xf>
    <xf numFmtId="0" fontId="129" fillId="0" borderId="124" xfId="20966" applyFont="1" applyBorder="1" applyAlignment="1">
      <alignment horizontal="center" vertical="center" wrapText="1"/>
    </xf>
    <xf numFmtId="0" fontId="127" fillId="3" borderId="124" xfId="20966" applyFont="1" applyFill="1" applyBorder="1" applyAlignment="1">
      <alignment horizontal="left" vertical="center" wrapText="1"/>
    </xf>
    <xf numFmtId="0" fontId="130" fillId="0" borderId="0" xfId="0" applyFont="1" applyAlignment="1">
      <alignment horizontal="justify"/>
    </xf>
    <xf numFmtId="0" fontId="127" fillId="0" borderId="124"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4" xfId="0" applyFont="1" applyBorder="1" applyAlignment="1">
      <alignment horizontal="center" vertical="center" wrapText="1"/>
    </xf>
    <xf numFmtId="0" fontId="0" fillId="0" borderId="124" xfId="0" applyBorder="1" applyAlignment="1">
      <alignment horizontal="center" vertical="center"/>
    </xf>
    <xf numFmtId="0" fontId="127" fillId="0" borderId="129" xfId="0" applyFont="1" applyBorder="1" applyAlignment="1">
      <alignment horizontal="justify" vertical="center" wrapText="1"/>
    </xf>
    <xf numFmtId="0" fontId="127" fillId="0" borderId="121" xfId="0" applyFont="1" applyBorder="1" applyAlignment="1">
      <alignment horizontal="justify" vertical="center" wrapText="1"/>
    </xf>
    <xf numFmtId="0" fontId="125" fillId="0" borderId="121" xfId="0" applyFont="1" applyBorder="1" applyAlignment="1">
      <alignment horizontal="justify" vertical="center" wrapText="1"/>
    </xf>
    <xf numFmtId="0" fontId="127" fillId="3" borderId="121" xfId="0" applyFont="1" applyFill="1" applyBorder="1" applyAlignment="1">
      <alignment horizontal="justify" vertical="center" wrapText="1"/>
    </xf>
    <xf numFmtId="0" fontId="127" fillId="0" borderId="122" xfId="0" applyFont="1" applyBorder="1" applyAlignment="1">
      <alignment horizontal="justify" vertical="center" wrapText="1"/>
    </xf>
    <xf numFmtId="0" fontId="127" fillId="0" borderId="123" xfId="0" applyFont="1" applyBorder="1" applyAlignment="1">
      <alignment horizontal="justify" vertical="center" wrapText="1"/>
    </xf>
    <xf numFmtId="0" fontId="125" fillId="0" borderId="121" xfId="0" applyFont="1" applyBorder="1" applyAlignment="1">
      <alignment vertical="center" wrapText="1"/>
    </xf>
    <xf numFmtId="0" fontId="126" fillId="0" borderId="121" xfId="0" applyFont="1" applyBorder="1" applyAlignment="1">
      <alignment horizontal="left" vertical="center" wrapText="1"/>
    </xf>
    <xf numFmtId="0" fontId="127" fillId="0" borderId="130" xfId="0" applyFont="1" applyBorder="1" applyAlignment="1">
      <alignment vertical="center" wrapText="1"/>
    </xf>
    <xf numFmtId="0" fontId="127" fillId="3" borderId="121" xfId="0" applyFont="1" applyFill="1" applyBorder="1" applyAlignment="1">
      <alignment vertical="center" wrapText="1"/>
    </xf>
    <xf numFmtId="0" fontId="105" fillId="0" borderId="127" xfId="0" applyFont="1" applyBorder="1" applyAlignment="1">
      <alignment vertical="center" wrapText="1"/>
    </xf>
    <xf numFmtId="193" fontId="95" fillId="0" borderId="124" xfId="0" applyNumberFormat="1" applyFont="1" applyBorder="1" applyAlignment="1">
      <alignment horizontal="right"/>
    </xf>
    <xf numFmtId="193" fontId="95" fillId="36" borderId="124" xfId="0" applyNumberFormat="1" applyFont="1" applyFill="1" applyBorder="1" applyAlignment="1">
      <alignment horizontal="right"/>
    </xf>
    <xf numFmtId="193" fontId="95" fillId="36" borderId="81" xfId="0" applyNumberFormat="1" applyFont="1" applyFill="1" applyBorder="1" applyAlignment="1">
      <alignment horizontal="right"/>
    </xf>
    <xf numFmtId="0" fontId="2" fillId="0" borderId="127" xfId="0" applyFont="1" applyBorder="1" applyAlignment="1">
      <alignment horizontal="left" vertical="center" wrapText="1" indent="4"/>
    </xf>
    <xf numFmtId="0" fontId="45" fillId="0" borderId="127" xfId="0" applyFont="1" applyBorder="1" applyAlignment="1">
      <alignment vertical="center" wrapText="1"/>
    </xf>
    <xf numFmtId="0" fontId="2" fillId="0" borderId="124" xfId="0" applyFont="1" applyBorder="1" applyAlignment="1" applyProtection="1">
      <alignment horizontal="left" vertical="center" indent="11"/>
      <protection locked="0"/>
    </xf>
    <xf numFmtId="0" fontId="46" fillId="0" borderId="124" xfId="0" applyFont="1" applyBorder="1" applyAlignment="1" applyProtection="1">
      <alignment horizontal="left" vertical="center" indent="17"/>
      <protection locked="0"/>
    </xf>
    <xf numFmtId="0" fontId="112" fillId="0" borderId="124" xfId="0" applyFont="1" applyBorder="1" applyAlignment="1">
      <alignment vertical="center"/>
    </xf>
    <xf numFmtId="0" fontId="96" fillId="0" borderId="124" xfId="0" applyFont="1" applyBorder="1" applyAlignment="1">
      <alignment vertical="center" wrapText="1"/>
    </xf>
    <xf numFmtId="0" fontId="97" fillId="0" borderId="127" xfId="0" applyFont="1" applyBorder="1" applyAlignment="1">
      <alignment horizontal="left" vertical="center" wrapText="1"/>
    </xf>
    <xf numFmtId="0" fontId="2" fillId="0" borderId="127" xfId="0" applyFont="1" applyBorder="1" applyAlignment="1">
      <alignment horizontal="left" vertical="center" wrapText="1"/>
    </xf>
    <xf numFmtId="193" fontId="95" fillId="0" borderId="0" xfId="0" applyNumberFormat="1" applyFont="1" applyAlignment="1">
      <alignment horizontal="right"/>
    </xf>
    <xf numFmtId="43" fontId="84" fillId="0" borderId="80" xfId="7" applyFont="1" applyFill="1" applyBorder="1" applyAlignment="1">
      <alignment horizontal="center" vertical="center"/>
    </xf>
    <xf numFmtId="43" fontId="84" fillId="0" borderId="124" xfId="7" applyFont="1" applyFill="1" applyBorder="1" applyAlignment="1">
      <alignment horizontal="center" vertical="center"/>
    </xf>
    <xf numFmtId="0" fontId="126" fillId="3" borderId="122" xfId="0" applyFont="1" applyFill="1" applyBorder="1" applyAlignment="1">
      <alignment horizontal="left" vertical="center" wrapText="1" indent="1"/>
    </xf>
    <xf numFmtId="0" fontId="126" fillId="3" borderId="124" xfId="0" applyFont="1" applyFill="1" applyBorder="1" applyAlignment="1">
      <alignment horizontal="left" vertical="center" wrapText="1" indent="1"/>
    </xf>
    <xf numFmtId="167" fontId="84" fillId="0" borderId="124" xfId="0" applyNumberFormat="1" applyFont="1" applyBorder="1" applyAlignment="1">
      <alignment horizontal="center"/>
    </xf>
    <xf numFmtId="0" fontId="84" fillId="0" borderId="124" xfId="0" applyFont="1" applyBorder="1"/>
    <xf numFmtId="0" fontId="126" fillId="0" borderId="124" xfId="0" applyFont="1" applyBorder="1" applyAlignment="1">
      <alignment horizontal="left" vertical="center" wrapText="1" indent="1"/>
    </xf>
    <xf numFmtId="0" fontId="127" fillId="3" borderId="124" xfId="0" applyFont="1" applyFill="1" applyBorder="1" applyAlignment="1">
      <alignment horizontal="left" vertical="center" wrapText="1"/>
    </xf>
    <xf numFmtId="0" fontId="128" fillId="3" borderId="124" xfId="0" applyFont="1" applyFill="1" applyBorder="1" applyAlignment="1">
      <alignment horizontal="left" vertical="center" wrapText="1" indent="1"/>
    </xf>
    <xf numFmtId="0" fontId="130" fillId="0" borderId="124" xfId="0" applyFont="1" applyBorder="1" applyAlignment="1">
      <alignment horizontal="justify"/>
    </xf>
    <xf numFmtId="167" fontId="86" fillId="0" borderId="124" xfId="0" applyNumberFormat="1" applyFont="1" applyBorder="1" applyAlignment="1">
      <alignment horizontal="center"/>
    </xf>
    <xf numFmtId="167" fontId="86" fillId="0" borderId="56" xfId="0" applyNumberFormat="1" applyFont="1" applyBorder="1" applyAlignment="1">
      <alignment horizontal="center"/>
    </xf>
    <xf numFmtId="167" fontId="88" fillId="0" borderId="58" xfId="0" applyNumberFormat="1" applyFont="1" applyBorder="1" applyAlignment="1">
      <alignment horizontal="center"/>
    </xf>
    <xf numFmtId="167" fontId="46" fillId="0" borderId="58" xfId="0" applyNumberFormat="1" applyFont="1" applyBorder="1" applyAlignment="1">
      <alignment horizontal="center"/>
    </xf>
    <xf numFmtId="193" fontId="84" fillId="0" borderId="31" xfId="0" applyNumberFormat="1" applyFont="1" applyBorder="1" applyAlignment="1">
      <alignment horizontal="center" vertical="center"/>
    </xf>
    <xf numFmtId="193" fontId="84" fillId="0" borderId="11" xfId="0" applyNumberFormat="1" applyFont="1" applyBorder="1" applyAlignment="1">
      <alignment horizontal="center" vertical="center"/>
    </xf>
    <xf numFmtId="193" fontId="88" fillId="0" borderId="11" xfId="0" applyNumberFormat="1" applyFont="1" applyBorder="1" applyAlignment="1">
      <alignment horizontal="center" vertical="center"/>
    </xf>
    <xf numFmtId="193" fontId="84" fillId="0" borderId="12" xfId="0" applyNumberFormat="1" applyFont="1" applyBorder="1" applyAlignment="1">
      <alignment horizontal="center" vertical="center"/>
    </xf>
    <xf numFmtId="193" fontId="86" fillId="0" borderId="13" xfId="0" applyNumberFormat="1" applyFont="1" applyBorder="1" applyAlignment="1">
      <alignment horizontal="center" vertical="center"/>
    </xf>
    <xf numFmtId="193" fontId="84" fillId="0" borderId="14" xfId="0" applyNumberFormat="1" applyFont="1" applyBorder="1" applyAlignment="1">
      <alignment horizontal="center" vertical="center"/>
    </xf>
    <xf numFmtId="193" fontId="84" fillId="0" borderId="124" xfId="0" applyNumberFormat="1" applyFont="1" applyBorder="1" applyAlignment="1">
      <alignment horizontal="center" vertical="center"/>
    </xf>
    <xf numFmtId="193" fontId="86" fillId="0" borderId="124" xfId="0" applyNumberFormat="1" applyFont="1" applyBorder="1" applyAlignment="1">
      <alignment horizontal="center" vertical="center"/>
    </xf>
    <xf numFmtId="0" fontId="84" fillId="0" borderId="124" xfId="0" applyFont="1" applyBorder="1" applyAlignment="1">
      <alignment horizontal="center"/>
    </xf>
    <xf numFmtId="0" fontId="117" fillId="0" borderId="124" xfId="0" applyFont="1" applyBorder="1"/>
    <xf numFmtId="49" fontId="119" fillId="0" borderId="124" xfId="5" applyNumberFormat="1" applyFont="1" applyBorder="1" applyAlignment="1" applyProtection="1">
      <alignment horizontal="right" vertical="center"/>
      <protection locked="0"/>
    </xf>
    <xf numFmtId="0" fontId="118" fillId="3" borderId="124" xfId="13" applyFont="1" applyFill="1" applyBorder="1" applyAlignment="1" applyProtection="1">
      <alignment horizontal="left" vertical="center" wrapText="1"/>
      <protection locked="0"/>
    </xf>
    <xf numFmtId="49" fontId="118" fillId="3" borderId="124" xfId="5" applyNumberFormat="1" applyFont="1" applyFill="1" applyBorder="1" applyAlignment="1" applyProtection="1">
      <alignment horizontal="right" vertical="center"/>
      <protection locked="0"/>
    </xf>
    <xf numFmtId="0" fontId="118" fillId="0" borderId="124" xfId="13" applyFont="1" applyBorder="1" applyAlignment="1" applyProtection="1">
      <alignment horizontal="left" vertical="center" wrapText="1"/>
      <protection locked="0"/>
    </xf>
    <xf numFmtId="49" fontId="118" fillId="0" borderId="124" xfId="5" applyNumberFormat="1" applyFont="1" applyBorder="1" applyAlignment="1" applyProtection="1">
      <alignment horizontal="right" vertical="center"/>
      <protection locked="0"/>
    </xf>
    <xf numFmtId="0" fontId="120" fillId="0" borderId="124" xfId="13" applyFont="1" applyBorder="1" applyAlignment="1" applyProtection="1">
      <alignment horizontal="left" vertical="center" wrapText="1"/>
      <protection locked="0"/>
    </xf>
    <xf numFmtId="0" fontId="117" fillId="0" borderId="124" xfId="0" applyFont="1" applyBorder="1" applyAlignment="1">
      <alignment horizontal="center" vertical="center" wrapText="1"/>
    </xf>
    <xf numFmtId="14" fontId="114" fillId="0" borderId="0" xfId="0" applyNumberFormat="1" applyFont="1"/>
    <xf numFmtId="43" fontId="97" fillId="0" borderId="0" xfId="7" applyFont="1"/>
    <xf numFmtId="0" fontId="114" fillId="0" borderId="0" xfId="0" applyFont="1" applyAlignment="1">
      <alignment wrapText="1"/>
    </xf>
    <xf numFmtId="166" fontId="113" fillId="36" borderId="124" xfId="20965" applyFont="1" applyFill="1" applyBorder="1"/>
    <xf numFmtId="0" fontId="113" fillId="0" borderId="124" xfId="0" applyFont="1" applyBorder="1"/>
    <xf numFmtId="0" fontId="113" fillId="0" borderId="124" xfId="0" applyFont="1" applyBorder="1" applyAlignment="1">
      <alignment horizontal="left" indent="8"/>
    </xf>
    <xf numFmtId="0" fontId="113" fillId="0" borderId="124" xfId="0" applyFont="1" applyBorder="1" applyAlignment="1">
      <alignment wrapText="1"/>
    </xf>
    <xf numFmtId="0" fontId="117" fillId="0" borderId="0" xfId="0" applyFont="1"/>
    <xf numFmtId="0" fontId="116" fillId="0" borderId="124" xfId="0" applyFont="1" applyBorder="1"/>
    <xf numFmtId="49" fontId="119" fillId="0" borderId="124" xfId="5" applyNumberFormat="1" applyFont="1" applyBorder="1" applyAlignment="1" applyProtection="1">
      <alignment horizontal="right" vertical="center" wrapText="1"/>
      <protection locked="0"/>
    </xf>
    <xf numFmtId="49" fontId="118" fillId="3" borderId="124" xfId="5" applyNumberFormat="1" applyFont="1" applyFill="1" applyBorder="1" applyAlignment="1" applyProtection="1">
      <alignment horizontal="right" vertical="center" wrapText="1"/>
      <protection locked="0"/>
    </xf>
    <xf numFmtId="49" fontId="118" fillId="0" borderId="124" xfId="5" applyNumberFormat="1" applyFont="1" applyBorder="1" applyAlignment="1" applyProtection="1">
      <alignment horizontal="right" vertical="center" wrapText="1"/>
      <protection locked="0"/>
    </xf>
    <xf numFmtId="0" fontId="113" fillId="0" borderId="124" xfId="0" applyFont="1" applyBorder="1" applyAlignment="1">
      <alignment horizontal="center" vertical="center" wrapText="1"/>
    </xf>
    <xf numFmtId="0" fontId="113" fillId="0" borderId="128" xfId="0" applyFont="1" applyBorder="1" applyAlignment="1">
      <alignment horizontal="center" vertical="center" wrapText="1"/>
    </xf>
    <xf numFmtId="0" fontId="113" fillId="0" borderId="124" xfId="0" applyFont="1" applyBorder="1" applyAlignment="1">
      <alignment horizontal="center" vertical="center"/>
    </xf>
    <xf numFmtId="0" fontId="113" fillId="0" borderId="0" xfId="0" applyFont="1"/>
    <xf numFmtId="0" fontId="113" fillId="0" borderId="0" xfId="0" applyFont="1" applyAlignment="1">
      <alignment wrapText="1"/>
    </xf>
    <xf numFmtId="14" fontId="113" fillId="0" borderId="0" xfId="0" applyNumberFormat="1" applyFont="1"/>
    <xf numFmtId="0" fontId="114" fillId="0" borderId="0" xfId="0" applyFont="1" applyAlignment="1">
      <alignment horizontal="left"/>
    </xf>
    <xf numFmtId="0" fontId="113" fillId="0" borderId="124" xfId="0" applyFont="1" applyBorder="1" applyAlignment="1">
      <alignment horizontal="left" vertical="center" wrapText="1"/>
    </xf>
    <xf numFmtId="0" fontId="116" fillId="0" borderId="124" xfId="0" applyFont="1" applyBorder="1" applyAlignment="1">
      <alignment horizontal="left" wrapText="1" indent="1"/>
    </xf>
    <xf numFmtId="0" fontId="116" fillId="0" borderId="124" xfId="0" applyFont="1" applyBorder="1" applyAlignment="1">
      <alignment horizontal="left" vertical="center" indent="1"/>
    </xf>
    <xf numFmtId="0" fontId="114" fillId="0" borderId="124" xfId="0" applyFont="1" applyBorder="1"/>
    <xf numFmtId="0" fontId="113" fillId="0" borderId="124" xfId="0" applyFont="1" applyBorder="1" applyAlignment="1">
      <alignment horizontal="left" wrapText="1" indent="1"/>
    </xf>
    <xf numFmtId="0" fontId="113" fillId="0" borderId="124" xfId="0" applyFont="1" applyBorder="1" applyAlignment="1">
      <alignment horizontal="left" indent="1"/>
    </xf>
    <xf numFmtId="0" fontId="113" fillId="0" borderId="124" xfId="0" applyFont="1" applyBorder="1" applyAlignment="1">
      <alignment horizontal="left" wrapText="1" indent="4"/>
    </xf>
    <xf numFmtId="0" fontId="113" fillId="0" borderId="124" xfId="0" applyFont="1" applyBorder="1" applyAlignment="1">
      <alignment horizontal="left" indent="3"/>
    </xf>
    <xf numFmtId="0" fontId="116" fillId="0" borderId="124" xfId="0" applyFont="1" applyBorder="1" applyAlignment="1">
      <alignment horizontal="left" indent="1"/>
    </xf>
    <xf numFmtId="0" fontId="114" fillId="78" borderId="124" xfId="0" applyFont="1" applyFill="1" applyBorder="1"/>
    <xf numFmtId="0" fontId="117" fillId="0" borderId="7" xfId="0" applyFont="1" applyBorder="1"/>
    <xf numFmtId="0" fontId="114" fillId="0" borderId="124" xfId="0" applyFont="1" applyBorder="1" applyAlignment="1">
      <alignment horizontal="left" wrapText="1" indent="2"/>
    </xf>
    <xf numFmtId="0" fontId="114" fillId="0" borderId="124" xfId="0" applyFont="1" applyBorder="1" applyAlignment="1">
      <alignment horizontal="left" wrapText="1"/>
    </xf>
    <xf numFmtId="0" fontId="116" fillId="76" borderId="124" xfId="0" applyFont="1" applyFill="1" applyBorder="1"/>
    <xf numFmtId="0" fontId="113" fillId="0" borderId="124" xfId="0" applyFont="1" applyBorder="1" applyAlignment="1">
      <alignment horizontal="center"/>
    </xf>
    <xf numFmtId="0" fontId="113" fillId="0" borderId="0" xfId="0" applyFont="1" applyAlignment="1">
      <alignment horizontal="center" vertical="center"/>
    </xf>
    <xf numFmtId="0" fontId="113" fillId="0" borderId="7" xfId="0" applyFont="1" applyBorder="1" applyAlignment="1">
      <alignment horizontal="center" vertical="center" wrapText="1"/>
    </xf>
    <xf numFmtId="0" fontId="113" fillId="0" borderId="7" xfId="0" applyFont="1" applyBorder="1" applyAlignment="1">
      <alignment wrapText="1"/>
    </xf>
    <xf numFmtId="0" fontId="113" fillId="0" borderId="0" xfId="0" applyFont="1" applyAlignment="1">
      <alignment horizontal="center" vertical="center" wrapText="1"/>
    </xf>
    <xf numFmtId="0" fontId="113" fillId="0" borderId="103" xfId="0" applyFont="1" applyBorder="1" applyAlignment="1">
      <alignment horizontal="center" vertical="center" wrapText="1"/>
    </xf>
    <xf numFmtId="0" fontId="113" fillId="0" borderId="127" xfId="0" applyFont="1" applyBorder="1" applyAlignment="1">
      <alignment horizontal="center" vertical="center" wrapText="1"/>
    </xf>
    <xf numFmtId="0" fontId="113" fillId="0" borderId="104" xfId="0" applyFont="1" applyBorder="1" applyAlignment="1">
      <alignment horizontal="center" vertical="center" wrapText="1"/>
    </xf>
    <xf numFmtId="0" fontId="113" fillId="0" borderId="23" xfId="0" applyFont="1" applyBorder="1"/>
    <xf numFmtId="0" fontId="113" fillId="0" borderId="22" xfId="0" applyFont="1" applyBorder="1"/>
    <xf numFmtId="49" fontId="113" fillId="0" borderId="21" xfId="0" applyNumberFormat="1" applyFont="1" applyBorder="1" applyAlignment="1">
      <alignment horizontal="left" wrapText="1" indent="1"/>
    </xf>
    <xf numFmtId="49" fontId="113" fillId="0" borderId="23" xfId="0" applyNumberFormat="1" applyFont="1" applyBorder="1" applyAlignment="1">
      <alignment horizontal="left" wrapText="1" indent="1"/>
    </xf>
    <xf numFmtId="0" fontId="113" fillId="0" borderId="21" xfId="0" applyFont="1" applyBorder="1" applyAlignment="1">
      <alignment horizontal="left" wrapText="1" indent="1"/>
    </xf>
    <xf numFmtId="0" fontId="113" fillId="0" borderId="81" xfId="0" applyFont="1" applyBorder="1"/>
    <xf numFmtId="49" fontId="113" fillId="0" borderId="81" xfId="0" applyNumberFormat="1" applyFont="1" applyBorder="1" applyAlignment="1">
      <alignment horizontal="left" wrapText="1" indent="1"/>
    </xf>
    <xf numFmtId="0" fontId="113" fillId="0" borderId="18" xfId="0" applyFont="1" applyBorder="1" applyAlignment="1">
      <alignment horizontal="left" wrapText="1" indent="1"/>
    </xf>
    <xf numFmtId="49" fontId="113" fillId="0" borderId="18" xfId="0" applyNumberFormat="1" applyFont="1" applyBorder="1" applyAlignment="1">
      <alignment horizontal="left" wrapText="1" indent="3"/>
    </xf>
    <xf numFmtId="49" fontId="113" fillId="0" borderId="81" xfId="0" applyNumberFormat="1" applyFont="1" applyBorder="1" applyAlignment="1">
      <alignment horizontal="left" wrapText="1" indent="3"/>
    </xf>
    <xf numFmtId="49" fontId="113" fillId="0" borderId="18" xfId="0" applyNumberFormat="1" applyFont="1" applyBorder="1" applyAlignment="1">
      <alignment horizontal="left" wrapText="1" indent="2"/>
    </xf>
    <xf numFmtId="49" fontId="113" fillId="0" borderId="81" xfId="0" applyNumberFormat="1" applyFont="1" applyBorder="1" applyAlignment="1">
      <alignment horizontal="left" wrapText="1" indent="2"/>
    </xf>
    <xf numFmtId="49" fontId="113" fillId="0" borderId="81" xfId="0" applyNumberFormat="1" applyFont="1" applyBorder="1" applyAlignment="1">
      <alignment horizontal="left" vertical="top" wrapText="1" indent="2"/>
    </xf>
    <xf numFmtId="0" fontId="113" fillId="79" borderId="81" xfId="0" applyFont="1" applyFill="1" applyBorder="1"/>
    <xf numFmtId="0" fontId="113" fillId="79" borderId="124" xfId="0" applyFont="1" applyFill="1" applyBorder="1"/>
    <xf numFmtId="0" fontId="113" fillId="79" borderId="18" xfId="0" applyFont="1" applyFill="1" applyBorder="1"/>
    <xf numFmtId="49" fontId="113" fillId="0" borderId="81" xfId="0" applyNumberFormat="1" applyFont="1" applyBorder="1" applyAlignment="1">
      <alignment horizontal="left" indent="1"/>
    </xf>
    <xf numFmtId="0" fontId="113" fillId="0" borderId="18" xfId="0" applyFont="1" applyBorder="1" applyAlignment="1">
      <alignment horizontal="left" indent="1"/>
    </xf>
    <xf numFmtId="49" fontId="113" fillId="0" borderId="18" xfId="0" applyNumberFormat="1" applyFont="1" applyBorder="1" applyAlignment="1">
      <alignment horizontal="left" indent="1"/>
    </xf>
    <xf numFmtId="49" fontId="113" fillId="0" borderId="18" xfId="0" applyNumberFormat="1" applyFont="1" applyBorder="1" applyAlignment="1">
      <alignment horizontal="left" indent="3"/>
    </xf>
    <xf numFmtId="49" fontId="113" fillId="0" borderId="81" xfId="0" applyNumberFormat="1" applyFont="1" applyBorder="1" applyAlignment="1">
      <alignment horizontal="left" indent="3"/>
    </xf>
    <xf numFmtId="0" fontId="113" fillId="0" borderId="18" xfId="0" applyFont="1" applyBorder="1" applyAlignment="1">
      <alignment horizontal="left" indent="2"/>
    </xf>
    <xf numFmtId="0" fontId="113" fillId="0" borderId="81" xfId="0" applyFont="1" applyBorder="1" applyAlignment="1">
      <alignment horizontal="left" indent="2"/>
    </xf>
    <xf numFmtId="0" fontId="113" fillId="0" borderId="81" xfId="0" applyFont="1" applyBorder="1" applyAlignment="1">
      <alignment horizontal="left" indent="1"/>
    </xf>
    <xf numFmtId="0" fontId="116" fillId="0" borderId="64" xfId="0" applyFont="1" applyBorder="1"/>
    <xf numFmtId="0" fontId="113" fillId="0" borderId="67" xfId="0" applyFont="1" applyBorder="1"/>
    <xf numFmtId="0" fontId="113" fillId="0" borderId="75" xfId="0" applyFont="1" applyBorder="1" applyAlignment="1">
      <alignment horizontal="center" vertical="center" wrapText="1"/>
    </xf>
    <xf numFmtId="0" fontId="113" fillId="0" borderId="81" xfId="0" applyFont="1" applyBorder="1" applyAlignment="1">
      <alignment horizontal="center" vertical="center" wrapText="1"/>
    </xf>
    <xf numFmtId="0" fontId="113" fillId="0" borderId="0" xfId="0" applyFont="1" applyAlignment="1">
      <alignment horizontal="left"/>
    </xf>
    <xf numFmtId="0" fontId="116" fillId="0" borderId="124" xfId="0" applyFont="1" applyBorder="1" applyAlignment="1">
      <alignment horizontal="left" vertical="center" wrapText="1"/>
    </xf>
    <xf numFmtId="0" fontId="118" fillId="0" borderId="0" xfId="0" applyFont="1"/>
    <xf numFmtId="0" fontId="95" fillId="0" borderId="0" xfId="0" applyFont="1" applyAlignment="1">
      <alignment wrapText="1"/>
    </xf>
    <xf numFmtId="0" fontId="116" fillId="0" borderId="124" xfId="0" applyFont="1" applyBorder="1" applyAlignment="1">
      <alignment horizontal="center" vertical="center" wrapText="1"/>
    </xf>
    <xf numFmtId="0" fontId="118" fillId="0" borderId="0" xfId="0" applyFont="1" applyAlignment="1">
      <alignment horizontal="center" vertical="center"/>
    </xf>
    <xf numFmtId="0" fontId="134" fillId="0" borderId="0" xfId="0" applyFont="1"/>
    <xf numFmtId="0" fontId="113" fillId="0" borderId="119" xfId="0" applyFont="1" applyBorder="1" applyAlignment="1">
      <alignment horizontal="left" vertical="center" wrapText="1" indent="1" readingOrder="1"/>
    </xf>
    <xf numFmtId="0" fontId="134" fillId="0" borderId="124" xfId="0" applyFont="1" applyBorder="1" applyAlignment="1">
      <alignment horizontal="left" indent="3"/>
    </xf>
    <xf numFmtId="0" fontId="116" fillId="0" borderId="124" xfId="0" applyFont="1" applyBorder="1" applyAlignment="1">
      <alignment vertical="center" wrapText="1" readingOrder="1"/>
    </xf>
    <xf numFmtId="0" fontId="134" fillId="0" borderId="124" xfId="0" applyFont="1" applyBorder="1" applyAlignment="1">
      <alignment horizontal="left" indent="2"/>
    </xf>
    <xf numFmtId="0" fontId="113" fillId="0" borderId="120" xfId="0" applyFont="1" applyBorder="1" applyAlignment="1">
      <alignment vertical="center" wrapText="1" readingOrder="1"/>
    </xf>
    <xf numFmtId="0" fontId="134" fillId="0" borderId="128" xfId="0" applyFont="1" applyBorder="1" applyAlignment="1">
      <alignment horizontal="left" indent="2"/>
    </xf>
    <xf numFmtId="0" fontId="113" fillId="0" borderId="119" xfId="0" applyFont="1" applyBorder="1" applyAlignment="1">
      <alignment vertical="center" wrapText="1" readingOrder="1"/>
    </xf>
    <xf numFmtId="0" fontId="113" fillId="0" borderId="118" xfId="0" applyFont="1" applyBorder="1" applyAlignment="1">
      <alignment vertical="center" wrapText="1" readingOrder="1"/>
    </xf>
    <xf numFmtId="0" fontId="134" fillId="0" borderId="7" xfId="0" applyFont="1" applyBorder="1"/>
    <xf numFmtId="0" fontId="2" fillId="0" borderId="15" xfId="0" applyFont="1" applyBorder="1" applyAlignment="1">
      <alignment horizontal="left" vertical="center" wrapText="1" indent="1"/>
    </xf>
    <xf numFmtId="169" fontId="2" fillId="37" borderId="63" xfId="20" applyFont="1" applyBorder="1"/>
    <xf numFmtId="193" fontId="84" fillId="0" borderId="18" xfId="0" applyNumberFormat="1" applyFont="1" applyBorder="1" applyAlignment="1" applyProtection="1">
      <alignment vertical="center" wrapText="1"/>
      <protection locked="0"/>
    </xf>
    <xf numFmtId="193" fontId="84" fillId="0" borderId="124" xfId="0" applyNumberFormat="1" applyFont="1" applyBorder="1" applyAlignment="1" applyProtection="1">
      <alignment vertical="center" wrapText="1"/>
      <protection locked="0"/>
    </xf>
    <xf numFmtId="193" fontId="84" fillId="0" borderId="81" xfId="0" applyNumberFormat="1" applyFont="1" applyBorder="1" applyAlignment="1" applyProtection="1">
      <alignment vertical="center" wrapText="1"/>
      <protection locked="0"/>
    </xf>
    <xf numFmtId="193" fontId="87" fillId="2" borderId="18" xfId="0" applyNumberFormat="1" applyFont="1" applyFill="1" applyBorder="1" applyAlignment="1" applyProtection="1">
      <alignment vertical="center"/>
      <protection locked="0"/>
    </xf>
    <xf numFmtId="193" fontId="87" fillId="2" borderId="124" xfId="0" applyNumberFormat="1" applyFont="1" applyFill="1" applyBorder="1" applyAlignment="1" applyProtection="1">
      <alignment vertical="center"/>
      <protection locked="0"/>
    </xf>
    <xf numFmtId="193" fontId="87" fillId="2" borderId="81" xfId="0" applyNumberFormat="1" applyFont="1" applyFill="1" applyBorder="1" applyAlignment="1" applyProtection="1">
      <alignment vertical="center"/>
      <protection locked="0"/>
    </xf>
    <xf numFmtId="193" fontId="87" fillId="2" borderId="86" xfId="0" applyNumberFormat="1" applyFont="1" applyFill="1" applyBorder="1" applyAlignment="1" applyProtection="1">
      <alignment vertical="center"/>
      <protection locked="0"/>
    </xf>
    <xf numFmtId="193" fontId="87" fillId="2" borderId="128" xfId="0" applyNumberFormat="1" applyFont="1" applyFill="1" applyBorder="1" applyAlignment="1" applyProtection="1">
      <alignment vertical="center"/>
      <protection locked="0"/>
    </xf>
    <xf numFmtId="167" fontId="136" fillId="80" borderId="57" xfId="0" applyNumberFormat="1" applyFont="1" applyFill="1" applyBorder="1" applyAlignment="1">
      <alignment horizontal="center"/>
    </xf>
    <xf numFmtId="0" fontId="2" fillId="81" borderId="0" xfId="13" applyFont="1" applyFill="1" applyAlignment="1" applyProtection="1">
      <alignment wrapText="1"/>
      <protection locked="0"/>
    </xf>
    <xf numFmtId="0" fontId="85" fillId="0" borderId="124" xfId="0" applyFont="1" applyBorder="1"/>
    <xf numFmtId="0" fontId="137" fillId="0" borderId="125" xfId="0" applyFont="1" applyBorder="1" applyAlignment="1">
      <alignment wrapText="1"/>
    </xf>
    <xf numFmtId="0" fontId="6" fillId="0" borderId="124" xfId="17" applyBorder="1" applyAlignment="1" applyProtection="1"/>
    <xf numFmtId="10" fontId="84" fillId="0" borderId="3" xfId="20962" applyNumberFormat="1" applyFont="1" applyBorder="1" applyAlignment="1" applyProtection="1">
      <alignment vertical="center" wrapText="1"/>
      <protection locked="0"/>
    </xf>
    <xf numFmtId="10" fontId="84" fillId="0" borderId="19" xfId="20962" applyNumberFormat="1" applyFont="1" applyBorder="1" applyAlignment="1" applyProtection="1">
      <alignment vertical="center" wrapText="1"/>
      <protection locked="0"/>
    </xf>
    <xf numFmtId="10" fontId="2" fillId="0" borderId="3" xfId="20962" applyNumberFormat="1" applyFont="1" applyBorder="1" applyAlignment="1" applyProtection="1">
      <alignment horizontal="right" vertical="center" wrapText="1"/>
      <protection locked="0"/>
    </xf>
    <xf numFmtId="10" fontId="84" fillId="0" borderId="18" xfId="20962" applyNumberFormat="1" applyFont="1" applyBorder="1" applyAlignment="1" applyProtection="1">
      <alignment vertical="center" wrapText="1"/>
      <protection locked="0"/>
    </xf>
    <xf numFmtId="10" fontId="84" fillId="0" borderId="124" xfId="20962" applyNumberFormat="1" applyFont="1" applyBorder="1" applyAlignment="1" applyProtection="1">
      <alignment vertical="center" wrapText="1"/>
      <protection locked="0"/>
    </xf>
    <xf numFmtId="10" fontId="84" fillId="0" borderId="81" xfId="20962" applyNumberFormat="1" applyFont="1" applyBorder="1" applyAlignment="1" applyProtection="1">
      <alignment vertical="center" wrapText="1"/>
      <protection locked="0"/>
    </xf>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87" fillId="2" borderId="19" xfId="20962" applyNumberFormat="1" applyFont="1" applyFill="1" applyBorder="1" applyAlignment="1" applyProtection="1">
      <alignment vertical="center"/>
      <protection locked="0"/>
    </xf>
    <xf numFmtId="10" fontId="87" fillId="2" borderId="18" xfId="20962" applyNumberFormat="1" applyFont="1" applyFill="1" applyBorder="1" applyAlignment="1" applyProtection="1">
      <alignment vertical="center"/>
      <protection locked="0"/>
    </xf>
    <xf numFmtId="10" fontId="87" fillId="2" borderId="124" xfId="20962" applyNumberFormat="1" applyFont="1" applyFill="1" applyBorder="1" applyAlignment="1" applyProtection="1">
      <alignment vertical="center"/>
      <protection locked="0"/>
    </xf>
    <xf numFmtId="10" fontId="87" fillId="2" borderId="81" xfId="20962" applyNumberFormat="1" applyFont="1" applyFill="1" applyBorder="1" applyAlignment="1" applyProtection="1">
      <alignment vertical="center"/>
      <protection locked="0"/>
    </xf>
    <xf numFmtId="10" fontId="45" fillId="0" borderId="3" xfId="20962" applyNumberFormat="1" applyFont="1" applyBorder="1" applyAlignment="1" applyProtection="1">
      <alignment horizontal="center" vertical="center" wrapText="1"/>
      <protection locked="0"/>
    </xf>
    <xf numFmtId="10" fontId="84" fillId="0" borderId="3" xfId="20962" applyNumberFormat="1" applyFont="1" applyBorder="1" applyAlignment="1" applyProtection="1">
      <alignment horizontal="center" vertical="center" wrapText="1"/>
      <protection locked="0"/>
    </xf>
    <xf numFmtId="10" fontId="84" fillId="0" borderId="19" xfId="20962" applyNumberFormat="1" applyFont="1" applyBorder="1" applyAlignment="1" applyProtection="1">
      <alignment horizontal="center" vertical="center" wrapText="1"/>
      <protection locked="0"/>
    </xf>
    <xf numFmtId="10" fontId="84" fillId="0" borderId="18" xfId="20962" applyNumberFormat="1" applyFont="1" applyBorder="1" applyAlignment="1" applyProtection="1">
      <alignment horizontal="center" vertical="center" wrapText="1"/>
      <protection locked="0"/>
    </xf>
    <xf numFmtId="10" fontId="84" fillId="0" borderId="124" xfId="20962" applyNumberFormat="1" applyFont="1" applyBorder="1" applyAlignment="1" applyProtection="1">
      <alignment horizontal="center" vertical="center" wrapText="1"/>
      <protection locked="0"/>
    </xf>
    <xf numFmtId="10" fontId="84" fillId="0" borderId="81" xfId="20962" applyNumberFormat="1" applyFont="1" applyBorder="1" applyAlignment="1" applyProtection="1">
      <alignment horizontal="center" vertical="center" wrapText="1"/>
      <protection locked="0"/>
    </xf>
    <xf numFmtId="10" fontId="2" fillId="2" borderId="94" xfId="20962" applyNumberFormat="1" applyFont="1" applyFill="1" applyBorder="1" applyAlignment="1" applyProtection="1">
      <alignment vertical="center"/>
      <protection locked="0"/>
    </xf>
    <xf numFmtId="10" fontId="87" fillId="2" borderId="94" xfId="20962" applyNumberFormat="1" applyFont="1" applyFill="1" applyBorder="1" applyAlignment="1" applyProtection="1">
      <alignment vertical="center"/>
      <protection locked="0"/>
    </xf>
    <xf numFmtId="10" fontId="87" fillId="2" borderId="89" xfId="20962" applyNumberFormat="1" applyFont="1" applyFill="1" applyBorder="1" applyAlignment="1" applyProtection="1">
      <alignment vertical="center"/>
      <protection locked="0"/>
    </xf>
    <xf numFmtId="10" fontId="87" fillId="2" borderId="86" xfId="20962" applyNumberFormat="1" applyFont="1" applyFill="1" applyBorder="1" applyAlignment="1" applyProtection="1">
      <alignment vertical="center"/>
      <protection locked="0"/>
    </xf>
    <xf numFmtId="10" fontId="87" fillId="2" borderId="128" xfId="20962" applyNumberFormat="1" applyFont="1" applyFill="1" applyBorder="1" applyAlignment="1" applyProtection="1">
      <alignment vertical="center"/>
      <protection locked="0"/>
    </xf>
    <xf numFmtId="10" fontId="2" fillId="2" borderId="22"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87" fillId="2" borderId="23" xfId="20962" applyNumberFormat="1" applyFont="1" applyFill="1" applyBorder="1" applyAlignment="1" applyProtection="1">
      <alignment vertical="center"/>
      <protection locked="0"/>
    </xf>
    <xf numFmtId="10" fontId="87" fillId="2" borderId="21" xfId="20962" applyNumberFormat="1" applyFont="1" applyFill="1" applyBorder="1" applyAlignment="1" applyProtection="1">
      <alignment vertical="center"/>
      <protection locked="0"/>
    </xf>
    <xf numFmtId="164" fontId="0" fillId="0" borderId="111" xfId="7" applyNumberFormat="1" applyFont="1" applyBorder="1"/>
    <xf numFmtId="164" fontId="0" fillId="36" borderId="111" xfId="7" applyNumberFormat="1" applyFont="1" applyFill="1" applyBorder="1"/>
    <xf numFmtId="164" fontId="0" fillId="36" borderId="111" xfId="7" applyNumberFormat="1" applyFont="1" applyFill="1" applyBorder="1" applyAlignment="1">
      <alignment vertical="center"/>
    </xf>
    <xf numFmtId="164" fontId="0" fillId="0" borderId="124" xfId="7" applyNumberFormat="1" applyFont="1" applyBorder="1"/>
    <xf numFmtId="164" fontId="0" fillId="36" borderId="124" xfId="7" applyNumberFormat="1" applyFont="1" applyFill="1" applyBorder="1"/>
    <xf numFmtId="0" fontId="2" fillId="0" borderId="124" xfId="0" applyFont="1" applyBorder="1" applyAlignment="1">
      <alignment wrapText="1"/>
    </xf>
    <xf numFmtId="0" fontId="2" fillId="0" borderId="125" xfId="0" applyFont="1" applyBorder="1" applyAlignment="1">
      <alignment wrapText="1"/>
    </xf>
    <xf numFmtId="0" fontId="84" fillId="0" borderId="84" xfId="0" applyFont="1" applyBorder="1"/>
    <xf numFmtId="10" fontId="84" fillId="0" borderId="20" xfId="20962" applyNumberFormat="1" applyFont="1" applyBorder="1"/>
    <xf numFmtId="10" fontId="84" fillId="0" borderId="84" xfId="20962" applyNumberFormat="1" applyFont="1" applyBorder="1"/>
    <xf numFmtId="0" fontId="2" fillId="0" borderId="86" xfId="0" applyFont="1" applyBorder="1" applyAlignment="1">
      <alignment vertical="center"/>
    </xf>
    <xf numFmtId="0" fontId="2" fillId="0" borderId="128" xfId="0" applyFont="1" applyBorder="1" applyAlignment="1">
      <alignment wrapText="1"/>
    </xf>
    <xf numFmtId="10" fontId="84" fillId="0" borderId="135" xfId="20962" applyNumberFormat="1" applyFont="1" applyBorder="1"/>
    <xf numFmtId="43" fontId="3" fillId="0" borderId="124" xfId="7" applyFont="1" applyFill="1" applyBorder="1" applyAlignment="1">
      <alignment vertical="center" wrapText="1"/>
    </xf>
    <xf numFmtId="164" fontId="3" fillId="0" borderId="81" xfId="7" applyNumberFormat="1" applyFont="1" applyBorder="1" applyAlignment="1">
      <alignment horizontal="right" vertical="center" wrapText="1"/>
    </xf>
    <xf numFmtId="164" fontId="3" fillId="0" borderId="23" xfId="7" applyNumberFormat="1" applyFont="1" applyBorder="1" applyAlignment="1">
      <alignment horizontal="right" vertical="center" wrapText="1"/>
    </xf>
    <xf numFmtId="164" fontId="84" fillId="0" borderId="124" xfId="7" applyNumberFormat="1" applyFont="1" applyBorder="1" applyAlignment="1">
      <alignment horizontal="center" vertical="center"/>
    </xf>
    <xf numFmtId="164" fontId="3" fillId="0" borderId="124" xfId="7" applyNumberFormat="1" applyFont="1" applyBorder="1" applyAlignment="1">
      <alignment vertical="center"/>
    </xf>
    <xf numFmtId="164" fontId="3" fillId="0" borderId="125" xfId="7" applyNumberFormat="1" applyFont="1" applyBorder="1" applyAlignment="1">
      <alignment vertical="center"/>
    </xf>
    <xf numFmtId="164" fontId="3" fillId="0" borderId="125" xfId="0" applyNumberFormat="1" applyFont="1" applyBorder="1" applyAlignment="1">
      <alignment vertical="center"/>
    </xf>
    <xf numFmtId="164" fontId="3" fillId="0" borderId="81" xfId="0" applyNumberFormat="1" applyFont="1" applyBorder="1" applyAlignment="1">
      <alignment vertical="center"/>
    </xf>
    <xf numFmtId="164" fontId="4" fillId="0" borderId="125" xfId="7" applyNumberFormat="1" applyFont="1" applyFill="1" applyBorder="1" applyAlignment="1">
      <alignment vertical="center"/>
    </xf>
    <xf numFmtId="0" fontId="3" fillId="3" borderId="126" xfId="0" applyFont="1" applyFill="1" applyBorder="1" applyAlignment="1">
      <alignment vertical="center"/>
    </xf>
    <xf numFmtId="0" fontId="3" fillId="0" borderId="124" xfId="0" applyFont="1" applyBorder="1" applyAlignment="1">
      <alignment vertical="center"/>
    </xf>
    <xf numFmtId="0" fontId="3" fillId="0" borderId="125" xfId="0" applyFont="1" applyBorder="1" applyAlignment="1">
      <alignment vertical="center"/>
    </xf>
    <xf numFmtId="164" fontId="4" fillId="0" borderId="22" xfId="0" applyNumberFormat="1" applyFont="1" applyBorder="1" applyAlignment="1">
      <alignment vertical="center"/>
    </xf>
    <xf numFmtId="164" fontId="3" fillId="0" borderId="85" xfId="7" applyNumberFormat="1" applyFont="1" applyBorder="1" applyAlignment="1">
      <alignment vertical="center"/>
    </xf>
    <xf numFmtId="164" fontId="3" fillId="0" borderId="85" xfId="0" applyNumberFormat="1" applyFont="1" applyBorder="1" applyAlignment="1">
      <alignment vertical="center"/>
    </xf>
    <xf numFmtId="164" fontId="3" fillId="0" borderId="64" xfId="0" applyNumberFormat="1" applyFont="1" applyBorder="1" applyAlignment="1">
      <alignment vertical="center"/>
    </xf>
    <xf numFmtId="164" fontId="3" fillId="0" borderId="26" xfId="7" applyNumberFormat="1" applyFont="1" applyFill="1" applyBorder="1" applyAlignment="1">
      <alignment vertical="center"/>
    </xf>
    <xf numFmtId="164" fontId="4" fillId="0" borderId="26" xfId="0" applyNumberFormat="1" applyFont="1" applyBorder="1" applyAlignment="1">
      <alignment vertical="center"/>
    </xf>
    <xf numFmtId="164" fontId="4" fillId="0" borderId="17" xfId="0" applyNumberFormat="1" applyFont="1" applyBorder="1" applyAlignment="1">
      <alignment vertical="center"/>
    </xf>
    <xf numFmtId="164" fontId="3" fillId="0" borderId="103" xfId="7" applyNumberFormat="1" applyFont="1" applyFill="1" applyBorder="1" applyAlignment="1">
      <alignment vertical="center"/>
    </xf>
    <xf numFmtId="9" fontId="3" fillId="0" borderId="92" xfId="20962" applyFont="1" applyFill="1" applyBorder="1" applyAlignment="1">
      <alignment vertical="center"/>
    </xf>
    <xf numFmtId="9" fontId="3" fillId="0" borderId="134" xfId="20962" applyFont="1" applyFill="1" applyBorder="1" applyAlignment="1">
      <alignment vertical="center"/>
    </xf>
    <xf numFmtId="164" fontId="106" fillId="77" borderId="124" xfId="948" applyNumberFormat="1" applyFont="1" applyFill="1" applyBorder="1" applyAlignment="1" applyProtection="1">
      <alignment horizontal="right" vertical="center"/>
    </xf>
    <xf numFmtId="10" fontId="106" fillId="0" borderId="96" xfId="20962" applyNumberFormat="1" applyFont="1" applyFill="1" applyBorder="1" applyAlignment="1" applyProtection="1">
      <alignment horizontal="right" vertical="center"/>
      <protection locked="0"/>
    </xf>
    <xf numFmtId="164" fontId="3" fillId="0" borderId="124" xfId="7" applyNumberFormat="1" applyFont="1" applyFill="1" applyBorder="1"/>
    <xf numFmtId="164" fontId="3" fillId="0" borderId="124" xfId="7" applyNumberFormat="1" applyFont="1" applyFill="1" applyBorder="1" applyAlignment="1">
      <alignment vertical="center"/>
    </xf>
    <xf numFmtId="164" fontId="3" fillId="0" borderId="124" xfId="7" applyNumberFormat="1" applyFont="1" applyFill="1" applyBorder="1" applyAlignment="1"/>
    <xf numFmtId="164" fontId="3" fillId="0" borderId="124" xfId="7" applyNumberFormat="1" applyFont="1" applyFill="1" applyBorder="1" applyAlignment="1">
      <alignment horizontal="center"/>
    </xf>
    <xf numFmtId="164" fontId="4" fillId="0" borderId="124" xfId="7" applyNumberFormat="1" applyFont="1" applyFill="1" applyBorder="1"/>
    <xf numFmtId="164" fontId="4" fillId="0" borderId="124" xfId="7" applyNumberFormat="1" applyFont="1" applyFill="1" applyBorder="1" applyAlignment="1">
      <alignment vertical="center"/>
    </xf>
    <xf numFmtId="164" fontId="3" fillId="0" borderId="124" xfId="7" applyNumberFormat="1" applyFont="1" applyBorder="1"/>
    <xf numFmtId="164" fontId="3" fillId="0" borderId="81" xfId="7" applyNumberFormat="1" applyFont="1" applyFill="1" applyBorder="1"/>
    <xf numFmtId="164" fontId="117" fillId="0" borderId="124" xfId="7" applyNumberFormat="1" applyFont="1" applyBorder="1"/>
    <xf numFmtId="164" fontId="113" fillId="0" borderId="124" xfId="7" applyNumberFormat="1" applyFont="1" applyBorder="1"/>
    <xf numFmtId="164" fontId="113" fillId="0" borderId="124" xfId="7" applyNumberFormat="1" applyFont="1" applyFill="1" applyBorder="1"/>
    <xf numFmtId="164" fontId="116" fillId="0" borderId="124" xfId="7" applyNumberFormat="1" applyFont="1" applyBorder="1"/>
    <xf numFmtId="43" fontId="113" fillId="0" borderId="124" xfId="7" applyFont="1" applyBorder="1"/>
    <xf numFmtId="164" fontId="114" fillId="0" borderId="124" xfId="7" applyNumberFormat="1" applyFont="1" applyBorder="1"/>
    <xf numFmtId="164" fontId="114" fillId="0" borderId="124" xfId="7" applyNumberFormat="1" applyFont="1" applyFill="1" applyBorder="1"/>
    <xf numFmtId="164" fontId="113" fillId="0" borderId="124" xfId="0" applyNumberFormat="1" applyFont="1" applyBorder="1" applyAlignment="1">
      <alignment horizontal="left" indent="1"/>
    </xf>
    <xf numFmtId="164" fontId="116" fillId="0" borderId="124" xfId="0" applyNumberFormat="1" applyFont="1" applyBorder="1" applyAlignment="1">
      <alignment horizontal="left" indent="1"/>
    </xf>
    <xf numFmtId="164" fontId="116" fillId="0" borderId="124" xfId="0" applyNumberFormat="1" applyFont="1" applyBorder="1"/>
    <xf numFmtId="164" fontId="113" fillId="0" borderId="124" xfId="7" applyNumberFormat="1" applyFont="1" applyBorder="1" applyAlignment="1">
      <alignment horizontal="left" indent="1"/>
    </xf>
    <xf numFmtId="164" fontId="116" fillId="0" borderId="124" xfId="7" applyNumberFormat="1" applyFont="1" applyBorder="1" applyAlignment="1">
      <alignment horizontal="left" indent="1"/>
    </xf>
    <xf numFmtId="194" fontId="113" fillId="0" borderId="124" xfId="7" applyNumberFormat="1" applyFont="1" applyFill="1" applyBorder="1"/>
    <xf numFmtId="164" fontId="116" fillId="0" borderId="67" xfId="0" applyNumberFormat="1" applyFont="1" applyBorder="1"/>
    <xf numFmtId="164" fontId="113" fillId="0" borderId="81" xfId="7" applyNumberFormat="1" applyFont="1" applyBorder="1"/>
    <xf numFmtId="164" fontId="113" fillId="0" borderId="18" xfId="7" applyNumberFormat="1" applyFont="1" applyBorder="1" applyAlignment="1">
      <alignment horizontal="left" indent="3"/>
    </xf>
    <xf numFmtId="164" fontId="116" fillId="0" borderId="18" xfId="7" applyNumberFormat="1" applyFont="1" applyBorder="1" applyAlignment="1">
      <alignment horizontal="left" indent="2"/>
    </xf>
    <xf numFmtId="164" fontId="116" fillId="0" borderId="18" xfId="7" applyNumberFormat="1" applyFont="1" applyFill="1" applyBorder="1" applyAlignment="1">
      <alignment horizontal="left" indent="2"/>
    </xf>
    <xf numFmtId="164" fontId="0" fillId="0" borderId="0" xfId="7" applyNumberFormat="1" applyFont="1" applyFill="1"/>
    <xf numFmtId="164" fontId="0" fillId="0" borderId="124" xfId="7" applyNumberFormat="1" applyFont="1" applyFill="1" applyBorder="1"/>
    <xf numFmtId="164" fontId="0" fillId="0" borderId="0" xfId="7" applyNumberFormat="1" applyFont="1"/>
    <xf numFmtId="164" fontId="113" fillId="0" borderId="124" xfId="0" applyNumberFormat="1" applyFont="1" applyBorder="1"/>
    <xf numFmtId="164" fontId="113" fillId="0" borderId="125" xfId="0" applyNumberFormat="1" applyFont="1" applyBorder="1"/>
    <xf numFmtId="164" fontId="95" fillId="0" borderId="124" xfId="7" applyNumberFormat="1" applyFont="1" applyFill="1" applyBorder="1"/>
    <xf numFmtId="164" fontId="116" fillId="0" borderId="18" xfId="7" applyNumberFormat="1" applyFont="1" applyBorder="1" applyAlignment="1">
      <alignment horizontal="left" wrapText="1" indent="3"/>
    </xf>
    <xf numFmtId="43" fontId="113" fillId="0" borderId="124" xfId="7" applyFont="1" applyFill="1" applyBorder="1"/>
    <xf numFmtId="164" fontId="113" fillId="0" borderId="124" xfId="0" applyNumberFormat="1" applyFont="1" applyBorder="1" applyAlignment="1">
      <alignment horizontal="left" vertical="center" wrapText="1"/>
    </xf>
    <xf numFmtId="164" fontId="113" fillId="0" borderId="124" xfId="7" applyNumberFormat="1" applyFont="1" applyBorder="1" applyAlignment="1">
      <alignment horizontal="center" vertical="center" textRotation="90" wrapText="1"/>
    </xf>
    <xf numFmtId="164" fontId="113" fillId="0" borderId="124" xfId="7" applyNumberFormat="1" applyFont="1" applyBorder="1" applyAlignment="1">
      <alignment horizontal="center" vertical="center" wrapText="1"/>
    </xf>
    <xf numFmtId="164" fontId="113" fillId="0" borderId="124" xfId="7" applyNumberFormat="1" applyFont="1" applyBorder="1" applyAlignment="1">
      <alignment horizontal="center" vertical="center"/>
    </xf>
    <xf numFmtId="164" fontId="116" fillId="0" borderId="124" xfId="0" applyNumberFormat="1" applyFont="1" applyBorder="1" applyAlignment="1">
      <alignment horizontal="left" vertical="center" wrapText="1"/>
    </xf>
    <xf numFmtId="164" fontId="118" fillId="0" borderId="124" xfId="7" applyNumberFormat="1" applyFont="1" applyBorder="1"/>
    <xf numFmtId="164" fontId="118" fillId="0" borderId="124" xfId="0" applyNumberFormat="1" applyFont="1" applyBorder="1"/>
    <xf numFmtId="10" fontId="118" fillId="0" borderId="124" xfId="20962" applyNumberFormat="1" applyFont="1" applyBorder="1"/>
    <xf numFmtId="164" fontId="118" fillId="0" borderId="124" xfId="7" applyNumberFormat="1" applyFont="1" applyFill="1" applyBorder="1"/>
    <xf numFmtId="164" fontId="138" fillId="0" borderId="124" xfId="7" applyNumberFormat="1" applyFont="1" applyBorder="1"/>
    <xf numFmtId="10" fontId="138" fillId="0" borderId="124" xfId="20962" applyNumberFormat="1" applyFont="1" applyBorder="1"/>
    <xf numFmtId="164" fontId="118" fillId="0" borderId="128" xfId="7" applyNumberFormat="1" applyFont="1" applyBorder="1"/>
    <xf numFmtId="164" fontId="118" fillId="0" borderId="128" xfId="7" applyNumberFormat="1" applyFont="1" applyFill="1" applyBorder="1"/>
    <xf numFmtId="10" fontId="118" fillId="0" borderId="128" xfId="20962" applyNumberFormat="1" applyFont="1" applyBorder="1"/>
    <xf numFmtId="43" fontId="138" fillId="0" borderId="124" xfId="7" applyFont="1" applyBorder="1"/>
    <xf numFmtId="10" fontId="118" fillId="0" borderId="124" xfId="20962" applyNumberFormat="1" applyFont="1" applyFill="1" applyBorder="1"/>
    <xf numFmtId="43" fontId="118" fillId="0" borderId="124" xfId="7" applyFont="1" applyFill="1" applyBorder="1"/>
    <xf numFmtId="0" fontId="94" fillId="0" borderId="66" xfId="0" applyFont="1" applyBorder="1" applyAlignment="1">
      <alignment horizontal="left" wrapText="1"/>
    </xf>
    <xf numFmtId="0" fontId="94" fillId="0" borderId="65" xfId="0" applyFont="1" applyBorder="1" applyAlignment="1">
      <alignment horizontal="left" wrapText="1"/>
    </xf>
    <xf numFmtId="0" fontId="135" fillId="0" borderId="132" xfId="0" applyFont="1" applyBorder="1" applyAlignment="1">
      <alignment horizontal="center"/>
    </xf>
    <xf numFmtId="0" fontId="135" fillId="0" borderId="30" xfId="0" applyFont="1" applyBorder="1" applyAlignment="1">
      <alignment horizontal="center"/>
    </xf>
    <xf numFmtId="0" fontId="135" fillId="0" borderId="133" xfId="0" applyFont="1" applyBorder="1" applyAlignment="1">
      <alignment horizontal="center"/>
    </xf>
    <xf numFmtId="0" fontId="94" fillId="0" borderId="132" xfId="0" applyFont="1" applyBorder="1" applyAlignment="1">
      <alignment horizontal="center" vertical="center"/>
    </xf>
    <xf numFmtId="0" fontId="94" fillId="0" borderId="30" xfId="0" applyFont="1" applyBorder="1" applyAlignment="1">
      <alignment horizontal="center" vertical="center"/>
    </xf>
    <xf numFmtId="0" fontId="94" fillId="0" borderId="133" xfId="0" applyFont="1" applyBorder="1" applyAlignment="1">
      <alignment horizontal="center" vertical="center"/>
    </xf>
    <xf numFmtId="0" fontId="0" fillId="0" borderId="125" xfId="0" applyBorder="1" applyAlignment="1">
      <alignment horizontal="center"/>
    </xf>
    <xf numFmtId="0" fontId="0" fillId="0" borderId="126" xfId="0" applyBorder="1" applyAlignment="1">
      <alignment horizontal="center"/>
    </xf>
    <xf numFmtId="0" fontId="0" fillId="0" borderId="127" xfId="0" applyBorder="1" applyAlignment="1">
      <alignment horizontal="center"/>
    </xf>
    <xf numFmtId="0" fontId="0" fillId="0" borderId="111" xfId="0" applyBorder="1" applyAlignment="1">
      <alignment horizontal="center" vertical="center"/>
    </xf>
    <xf numFmtId="0" fontId="122" fillId="0" borderId="112" xfId="0" applyFont="1" applyBorder="1" applyAlignment="1">
      <alignment horizontal="center" vertical="center"/>
    </xf>
    <xf numFmtId="0" fontId="122" fillId="0" borderId="7" xfId="0" applyFont="1" applyBorder="1" applyAlignment="1">
      <alignment horizontal="center" vertical="center"/>
    </xf>
    <xf numFmtId="0" fontId="123" fillId="0" borderId="16" xfId="0" applyFont="1" applyBorder="1" applyAlignment="1">
      <alignment horizontal="center" vertical="center"/>
    </xf>
    <xf numFmtId="0" fontId="123" fillId="0" borderId="17" xfId="0" applyFont="1" applyBorder="1" applyAlignment="1">
      <alignment horizontal="center" vertical="center"/>
    </xf>
    <xf numFmtId="0" fontId="0" fillId="0" borderId="113" xfId="0" applyBorder="1" applyAlignment="1">
      <alignment horizontal="center"/>
    </xf>
    <xf numFmtId="0" fontId="0" fillId="0" borderId="114" xfId="0" applyBorder="1" applyAlignment="1">
      <alignment horizontal="center"/>
    </xf>
    <xf numFmtId="0" fontId="0" fillId="0" borderId="115" xfId="0" applyBorder="1" applyAlignment="1">
      <alignment horizontal="center"/>
    </xf>
    <xf numFmtId="0" fontId="0" fillId="0" borderId="68" xfId="0" applyBorder="1" applyAlignment="1">
      <alignment horizontal="center" vertical="center"/>
    </xf>
    <xf numFmtId="0" fontId="0" fillId="0" borderId="75" xfId="0" applyBorder="1" applyAlignment="1">
      <alignment horizontal="center" vertical="center"/>
    </xf>
    <xf numFmtId="0" fontId="122" fillId="0" borderId="128" xfId="0" applyFont="1" applyBorder="1" applyAlignment="1">
      <alignment horizontal="center" vertical="center" wrapText="1"/>
    </xf>
    <xf numFmtId="0" fontId="122" fillId="0" borderId="7" xfId="0" applyFont="1" applyBorder="1" applyAlignment="1">
      <alignment horizontal="center" vertical="center" wrapText="1"/>
    </xf>
    <xf numFmtId="0" fontId="0" fillId="0" borderId="124" xfId="0" applyBorder="1" applyAlignment="1">
      <alignment horizontal="center" vertical="center"/>
    </xf>
    <xf numFmtId="0" fontId="0" fillId="0" borderId="124" xfId="0" applyBorder="1" applyAlignment="1">
      <alignment horizontal="center" vertical="center" wrapText="1"/>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80" xfId="0" applyFont="1" applyBorder="1" applyAlignment="1">
      <alignment horizontal="center" vertical="center" wrapText="1"/>
    </xf>
    <xf numFmtId="0" fontId="84" fillId="0" borderId="80" xfId="0" applyFont="1" applyBorder="1" applyAlignment="1">
      <alignment horizontal="center" vertical="center" wrapText="1"/>
    </xf>
    <xf numFmtId="0" fontId="45" fillId="0" borderId="80" xfId="11" applyFont="1" applyBorder="1" applyAlignment="1">
      <alignment horizontal="center" vertical="center" wrapText="1"/>
    </xf>
    <xf numFmtId="0" fontId="45" fillId="0" borderId="81" xfId="11" applyFont="1" applyBorder="1" applyAlignment="1">
      <alignment horizontal="center" vertical="center" wrapText="1"/>
    </xf>
    <xf numFmtId="0" fontId="45" fillId="0" borderId="70"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1" xfId="13" applyFont="1" applyFill="1" applyBorder="1" applyAlignment="1" applyProtection="1">
      <alignment horizontal="center" vertical="center" wrapText="1"/>
      <protection locked="0"/>
    </xf>
    <xf numFmtId="0" fontId="99" fillId="3" borderId="6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9"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164" fontId="45" fillId="0" borderId="72" xfId="1" applyNumberFormat="1" applyFont="1" applyFill="1" applyBorder="1" applyAlignment="1" applyProtection="1">
      <alignment horizontal="center" vertical="center" wrapText="1"/>
      <protection locked="0"/>
    </xf>
    <xf numFmtId="164" fontId="45" fillId="0" borderId="73" xfId="1" applyNumberFormat="1" applyFont="1" applyFill="1" applyBorder="1" applyAlignment="1" applyProtection="1">
      <alignment horizontal="center" vertical="center" wrapText="1"/>
      <protection locked="0"/>
    </xf>
    <xf numFmtId="0" fontId="3" fillId="0" borderId="71" xfId="0" applyFont="1" applyBorder="1" applyAlignment="1">
      <alignment horizontal="center" vertical="center" wrapText="1"/>
    </xf>
    <xf numFmtId="0" fontId="3" fillId="0" borderId="64" xfId="0" applyFont="1" applyBorder="1" applyAlignment="1">
      <alignment horizontal="center" vertical="center" wrapText="1"/>
    </xf>
    <xf numFmtId="0" fontId="86" fillId="0" borderId="74" xfId="0" applyFont="1" applyBorder="1" applyAlignment="1">
      <alignment horizontal="center"/>
    </xf>
    <xf numFmtId="0" fontId="86" fillId="0" borderId="75"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100" fillId="0" borderId="54" xfId="0" applyFont="1" applyBorder="1" applyAlignment="1">
      <alignment horizontal="left" vertical="center"/>
    </xf>
    <xf numFmtId="0" fontId="100" fillId="0" borderId="55" xfId="0" applyFont="1" applyBorder="1" applyAlignment="1">
      <alignment horizontal="left" vertical="center"/>
    </xf>
    <xf numFmtId="0" fontId="3" fillId="0" borderId="55"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1" xfId="0" applyFont="1" applyBorder="1" applyAlignment="1">
      <alignment horizontal="center" vertical="center" wrapText="1"/>
    </xf>
    <xf numFmtId="0" fontId="116" fillId="0" borderId="101" xfId="0" applyFont="1" applyBorder="1" applyAlignment="1">
      <alignment horizontal="left" vertical="center" wrapText="1"/>
    </xf>
    <xf numFmtId="0" fontId="116" fillId="0" borderId="102" xfId="0" applyFont="1" applyBorder="1" applyAlignment="1">
      <alignment horizontal="left" vertical="center" wrapText="1"/>
    </xf>
    <xf numFmtId="0" fontId="116" fillId="0" borderId="106" xfId="0" applyFont="1" applyBorder="1" applyAlignment="1">
      <alignment horizontal="left" vertical="center" wrapText="1"/>
    </xf>
    <xf numFmtId="0" fontId="116" fillId="0" borderId="107" xfId="0" applyFont="1" applyBorder="1" applyAlignment="1">
      <alignment horizontal="left" vertical="center" wrapText="1"/>
    </xf>
    <xf numFmtId="0" fontId="116" fillId="0" borderId="109" xfId="0" applyFont="1" applyBorder="1" applyAlignment="1">
      <alignment horizontal="left" vertical="center" wrapText="1"/>
    </xf>
    <xf numFmtId="0" fontId="116" fillId="0" borderId="110" xfId="0" applyFont="1" applyBorder="1" applyAlignment="1">
      <alignment horizontal="left" vertical="center" wrapText="1"/>
    </xf>
    <xf numFmtId="0" fontId="117" fillId="0" borderId="103" xfId="0" applyFont="1" applyBorder="1" applyAlignment="1">
      <alignment horizontal="center" vertical="center" wrapText="1"/>
    </xf>
    <xf numFmtId="0" fontId="117" fillId="0" borderId="104" xfId="0" applyFont="1" applyBorder="1" applyAlignment="1">
      <alignment horizontal="center" vertical="center" wrapText="1"/>
    </xf>
    <xf numFmtId="0" fontId="117" fillId="0" borderId="105" xfId="0" applyFont="1" applyBorder="1" applyAlignment="1">
      <alignment horizontal="center" vertical="center" wrapText="1"/>
    </xf>
    <xf numFmtId="0" fontId="117" fillId="0" borderId="85" xfId="0" applyFont="1" applyBorder="1" applyAlignment="1">
      <alignment horizontal="center" vertical="center" wrapText="1"/>
    </xf>
    <xf numFmtId="0" fontId="117" fillId="0" borderId="108" xfId="0" applyFont="1" applyBorder="1" applyAlignment="1">
      <alignment horizontal="center" vertical="center" wrapText="1"/>
    </xf>
    <xf numFmtId="0" fontId="117" fillId="0" borderId="75" xfId="0" applyFont="1" applyBorder="1" applyAlignment="1">
      <alignment horizontal="center" vertical="center" wrapText="1"/>
    </xf>
    <xf numFmtId="0" fontId="113" fillId="0" borderId="128" xfId="0" applyFont="1" applyBorder="1" applyAlignment="1">
      <alignment horizontal="center" vertical="center" wrapText="1"/>
    </xf>
    <xf numFmtId="0" fontId="113" fillId="0" borderId="7" xfId="0" applyFont="1" applyBorder="1" applyAlignment="1">
      <alignment horizontal="center" vertical="center" wrapText="1"/>
    </xf>
    <xf numFmtId="0" fontId="116" fillId="0" borderId="101" xfId="0" applyFont="1" applyBorder="1" applyAlignment="1">
      <alignment horizontal="center" vertical="center" wrapText="1"/>
    </xf>
    <xf numFmtId="0" fontId="116" fillId="0" borderId="102" xfId="0" applyFont="1" applyBorder="1" applyAlignment="1">
      <alignment horizontal="center" vertical="center" wrapText="1"/>
    </xf>
    <xf numFmtId="0" fontId="116" fillId="0" borderId="109" xfId="0" applyFont="1" applyBorder="1" applyAlignment="1">
      <alignment horizontal="center" vertical="center" wrapText="1"/>
    </xf>
    <xf numFmtId="0" fontId="116" fillId="0" borderId="110" xfId="0" applyFont="1" applyBorder="1" applyAlignment="1">
      <alignment horizontal="center" vertical="center" wrapText="1"/>
    </xf>
    <xf numFmtId="0" fontId="113" fillId="0" borderId="124" xfId="0" applyFont="1" applyBorder="1" applyAlignment="1">
      <alignment horizontal="center" vertical="center" wrapText="1"/>
    </xf>
    <xf numFmtId="0" fontId="121" fillId="0" borderId="124" xfId="0" applyFont="1" applyBorder="1" applyAlignment="1">
      <alignment horizontal="center" vertical="center"/>
    </xf>
    <xf numFmtId="0" fontId="121" fillId="0" borderId="103" xfId="0" applyFont="1" applyBorder="1" applyAlignment="1">
      <alignment horizontal="center" vertical="center"/>
    </xf>
    <xf numFmtId="0" fontId="121" fillId="0" borderId="105" xfId="0" applyFont="1" applyBorder="1" applyAlignment="1">
      <alignment horizontal="center" vertical="center"/>
    </xf>
    <xf numFmtId="0" fontId="121" fillId="0" borderId="85" xfId="0" applyFont="1" applyBorder="1" applyAlignment="1">
      <alignment horizontal="center" vertical="center"/>
    </xf>
    <xf numFmtId="0" fontId="121" fillId="0" borderId="75" xfId="0" applyFont="1" applyBorder="1" applyAlignment="1">
      <alignment horizontal="center" vertical="center"/>
    </xf>
    <xf numFmtId="0" fontId="117" fillId="0" borderId="124" xfId="0" applyFont="1" applyBorder="1" applyAlignment="1">
      <alignment horizontal="center" vertical="center" wrapText="1"/>
    </xf>
    <xf numFmtId="0" fontId="113" fillId="0" borderId="127" xfId="0" applyFont="1" applyBorder="1" applyAlignment="1">
      <alignment horizontal="center" vertical="center" wrapText="1"/>
    </xf>
    <xf numFmtId="0" fontId="116" fillId="0" borderId="103" xfId="0" applyFont="1" applyBorder="1" applyAlignment="1">
      <alignment horizontal="center" vertical="center" wrapText="1"/>
    </xf>
    <xf numFmtId="0" fontId="116" fillId="0" borderId="105" xfId="0" applyFont="1" applyBorder="1" applyAlignment="1">
      <alignment horizontal="center" vertical="center" wrapText="1"/>
    </xf>
    <xf numFmtId="0" fontId="116" fillId="0" borderId="70" xfId="0" applyFont="1" applyBorder="1" applyAlignment="1">
      <alignment horizontal="center" vertical="center" wrapText="1"/>
    </xf>
    <xf numFmtId="0" fontId="116" fillId="0" borderId="68" xfId="0" applyFont="1" applyBorder="1" applyAlignment="1">
      <alignment horizontal="center" vertical="center" wrapText="1"/>
    </xf>
    <xf numFmtId="0" fontId="116" fillId="0" borderId="85" xfId="0" applyFont="1" applyBorder="1" applyAlignment="1">
      <alignment horizontal="center" vertical="center" wrapText="1"/>
    </xf>
    <xf numFmtId="0" fontId="116" fillId="0" borderId="75" xfId="0" applyFont="1" applyBorder="1" applyAlignment="1">
      <alignment horizontal="center" vertical="center" wrapText="1"/>
    </xf>
    <xf numFmtId="0" fontId="113" fillId="0" borderId="125" xfId="0" applyFont="1" applyBorder="1" applyAlignment="1">
      <alignment horizontal="center" vertical="center" wrapText="1"/>
    </xf>
    <xf numFmtId="0" fontId="113" fillId="0" borderId="126" xfId="0" applyFont="1" applyBorder="1" applyAlignment="1">
      <alignment horizontal="center" vertical="center" wrapText="1"/>
    </xf>
    <xf numFmtId="0" fontId="116" fillId="0" borderId="76"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76" xfId="0" applyFont="1" applyBorder="1" applyAlignment="1">
      <alignment horizontal="center" vertical="center" wrapText="1"/>
    </xf>
    <xf numFmtId="0" fontId="113" fillId="0" borderId="75" xfId="0" applyFont="1" applyBorder="1" applyAlignment="1">
      <alignment horizontal="center" vertical="center" wrapText="1"/>
    </xf>
    <xf numFmtId="0" fontId="116" fillId="0" borderId="54" xfId="0" applyFont="1" applyBorder="1" applyAlignment="1">
      <alignment horizontal="left" vertical="top" wrapText="1"/>
    </xf>
    <xf numFmtId="0" fontId="116" fillId="0" borderId="77" xfId="0" applyFont="1" applyBorder="1" applyAlignment="1">
      <alignment horizontal="left" vertical="top" wrapText="1"/>
    </xf>
    <xf numFmtId="0" fontId="116" fillId="0" borderId="63" xfId="0" applyFont="1" applyBorder="1" applyAlignment="1">
      <alignment horizontal="left" vertical="top" wrapText="1"/>
    </xf>
    <xf numFmtId="0" fontId="116" fillId="0" borderId="93" xfId="0" applyFont="1" applyBorder="1" applyAlignment="1">
      <alignment horizontal="left" vertical="top" wrapText="1"/>
    </xf>
    <xf numFmtId="0" fontId="116" fillId="0" borderId="100" xfId="0" applyFont="1" applyBorder="1" applyAlignment="1">
      <alignment horizontal="left" vertical="top" wrapText="1"/>
    </xf>
    <xf numFmtId="0" fontId="116" fillId="0" borderId="131" xfId="0" applyFont="1" applyBorder="1" applyAlignment="1">
      <alignment horizontal="left" vertical="top" wrapText="1"/>
    </xf>
    <xf numFmtId="0" fontId="116" fillId="0" borderId="86" xfId="0" applyFont="1" applyBorder="1" applyAlignment="1">
      <alignment horizontal="center" vertical="center" wrapText="1"/>
    </xf>
    <xf numFmtId="0" fontId="116" fillId="0" borderId="67" xfId="0" applyFont="1" applyBorder="1" applyAlignment="1">
      <alignment horizontal="center" vertical="center" wrapText="1"/>
    </xf>
    <xf numFmtId="0" fontId="113" fillId="0" borderId="64" xfId="0" applyFont="1" applyBorder="1" applyAlignment="1">
      <alignment horizontal="center" vertical="center" wrapText="1"/>
    </xf>
    <xf numFmtId="0" fontId="113" fillId="0" borderId="69" xfId="0" applyFont="1" applyBorder="1" applyAlignment="1">
      <alignment horizontal="center" vertical="center" wrapText="1"/>
    </xf>
    <xf numFmtId="0" fontId="113" fillId="0" borderId="27" xfId="0" applyFont="1" applyBorder="1" applyAlignment="1">
      <alignment horizontal="center" vertical="center" wrapText="1"/>
    </xf>
    <xf numFmtId="0" fontId="113" fillId="0" borderId="28" xfId="0" applyFont="1" applyBorder="1" applyAlignment="1">
      <alignment horizontal="center" vertical="center" wrapText="1"/>
    </xf>
    <xf numFmtId="0" fontId="113" fillId="0" borderId="103" xfId="0" applyFont="1" applyBorder="1" applyAlignment="1">
      <alignment horizontal="center" vertical="top" wrapText="1"/>
    </xf>
    <xf numFmtId="0" fontId="113" fillId="0" borderId="104" xfId="0" applyFont="1" applyBorder="1" applyAlignment="1">
      <alignment horizontal="center" vertical="top" wrapText="1"/>
    </xf>
    <xf numFmtId="0" fontId="113" fillId="0" borderId="126" xfId="0" applyFont="1" applyBorder="1" applyAlignment="1">
      <alignment horizontal="center" vertical="top" wrapText="1"/>
    </xf>
    <xf numFmtId="0" fontId="113" fillId="0" borderId="127" xfId="0" applyFont="1" applyBorder="1" applyAlignment="1">
      <alignment horizontal="center" vertical="top" wrapText="1"/>
    </xf>
    <xf numFmtId="0" fontId="133" fillId="0" borderId="116" xfId="0" applyFont="1" applyBorder="1" applyAlignment="1">
      <alignment horizontal="left" vertical="top" wrapText="1"/>
    </xf>
    <xf numFmtId="0" fontId="133" fillId="0" borderId="117" xfId="0" applyFont="1" applyBorder="1" applyAlignment="1">
      <alignment horizontal="left" vertical="top" wrapText="1"/>
    </xf>
    <xf numFmtId="0" fontId="119" fillId="0" borderId="103" xfId="0" applyFont="1" applyBorder="1" applyAlignment="1">
      <alignment horizontal="center" vertical="center"/>
    </xf>
    <xf numFmtId="0" fontId="119" fillId="0" borderId="105" xfId="0" applyFont="1" applyBorder="1" applyAlignment="1">
      <alignment horizontal="center" vertical="center"/>
    </xf>
    <xf numFmtId="0" fontId="119" fillId="0" borderId="85" xfId="0" applyFont="1" applyBorder="1" applyAlignment="1">
      <alignment horizontal="center" vertical="center"/>
    </xf>
    <xf numFmtId="0" fontId="119" fillId="0" borderId="75" xfId="0" applyFont="1" applyBorder="1" applyAlignment="1">
      <alignment horizontal="center" vertical="center"/>
    </xf>
    <xf numFmtId="0" fontId="118" fillId="0" borderId="124" xfId="0" applyFont="1" applyBorder="1" applyAlignment="1">
      <alignment horizontal="center" vertical="center" wrapText="1"/>
    </xf>
    <xf numFmtId="0" fontId="118" fillId="0" borderId="128" xfId="0" applyFont="1" applyBorder="1" applyAlignment="1">
      <alignment horizontal="center" vertical="center" wrapText="1"/>
    </xf>
    <xf numFmtId="9" fontId="138" fillId="0" borderId="124" xfId="20962" applyNumberFormat="1" applyFont="1" applyBorder="1"/>
  </cellXfs>
  <cellStyles count="20967">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Normal="100" workbookViewId="0">
      <selection activeCell="C2" sqref="C2:C5"/>
    </sheetView>
  </sheetViews>
  <sheetFormatPr defaultColWidth="9.21875" defaultRowHeight="13.8"/>
  <cols>
    <col min="1" max="1" width="10.21875" style="4" customWidth="1"/>
    <col min="2" max="2" width="138.33203125" style="5" bestFit="1" customWidth="1"/>
    <col min="3" max="3" width="39.44140625" style="5" customWidth="1"/>
    <col min="4" max="6" width="9.21875" style="5"/>
    <col min="7" max="7" width="25" style="5" customWidth="1"/>
    <col min="8" max="16384" width="9.21875" style="5"/>
  </cols>
  <sheetData>
    <row r="1" spans="1:3">
      <c r="A1" s="110"/>
      <c r="B1" s="146" t="s">
        <v>222</v>
      </c>
      <c r="C1" s="110"/>
    </row>
    <row r="2" spans="1:3">
      <c r="A2" s="147">
        <v>1</v>
      </c>
      <c r="B2" s="263" t="s">
        <v>223</v>
      </c>
      <c r="C2" s="572" t="s">
        <v>713</v>
      </c>
    </row>
    <row r="3" spans="1:3" ht="15">
      <c r="A3" s="147">
        <v>2</v>
      </c>
      <c r="B3" s="264" t="s">
        <v>219</v>
      </c>
      <c r="C3" s="573" t="s">
        <v>714</v>
      </c>
    </row>
    <row r="4" spans="1:3">
      <c r="A4" s="147">
        <v>3</v>
      </c>
      <c r="B4" s="265" t="s">
        <v>224</v>
      </c>
      <c r="C4" s="572" t="s">
        <v>715</v>
      </c>
    </row>
    <row r="5" spans="1:3">
      <c r="A5" s="148">
        <v>4</v>
      </c>
      <c r="B5" s="266" t="s">
        <v>220</v>
      </c>
      <c r="C5" s="574" t="s">
        <v>716</v>
      </c>
    </row>
    <row r="6" spans="1:3" s="149" customFormat="1" ht="45.75" customHeight="1">
      <c r="A6" s="690" t="s">
        <v>296</v>
      </c>
      <c r="B6" s="691"/>
      <c r="C6" s="691"/>
    </row>
    <row r="7" spans="1:3">
      <c r="A7" s="150" t="s">
        <v>29</v>
      </c>
      <c r="B7" s="146" t="s">
        <v>221</v>
      </c>
    </row>
    <row r="8" spans="1:3">
      <c r="A8" s="110">
        <v>1</v>
      </c>
      <c r="B8" s="181" t="s">
        <v>20</v>
      </c>
    </row>
    <row r="9" spans="1:3">
      <c r="A9" s="110">
        <v>2</v>
      </c>
      <c r="B9" s="182" t="s">
        <v>21</v>
      </c>
    </row>
    <row r="10" spans="1:3">
      <c r="A10" s="110">
        <v>3</v>
      </c>
      <c r="B10" s="182" t="s">
        <v>22</v>
      </c>
    </row>
    <row r="11" spans="1:3">
      <c r="A11" s="110">
        <v>4</v>
      </c>
      <c r="B11" s="182" t="s">
        <v>23</v>
      </c>
    </row>
    <row r="12" spans="1:3">
      <c r="A12" s="110">
        <v>5</v>
      </c>
      <c r="B12" s="182" t="s">
        <v>24</v>
      </c>
    </row>
    <row r="13" spans="1:3">
      <c r="A13" s="110">
        <v>6</v>
      </c>
      <c r="B13" s="183" t="s">
        <v>231</v>
      </c>
    </row>
    <row r="14" spans="1:3">
      <c r="A14" s="110">
        <v>7</v>
      </c>
      <c r="B14" s="182" t="s">
        <v>225</v>
      </c>
    </row>
    <row r="15" spans="1:3">
      <c r="A15" s="110">
        <v>8</v>
      </c>
      <c r="B15" s="182" t="s">
        <v>226</v>
      </c>
    </row>
    <row r="16" spans="1:3">
      <c r="A16" s="110">
        <v>9</v>
      </c>
      <c r="B16" s="182" t="s">
        <v>25</v>
      </c>
    </row>
    <row r="17" spans="1:2">
      <c r="A17" s="262" t="s">
        <v>295</v>
      </c>
      <c r="B17" s="261" t="s">
        <v>282</v>
      </c>
    </row>
    <row r="18" spans="1:2">
      <c r="A18" s="110">
        <v>10</v>
      </c>
      <c r="B18" s="182" t="s">
        <v>26</v>
      </c>
    </row>
    <row r="19" spans="1:2">
      <c r="A19" s="110">
        <v>11</v>
      </c>
      <c r="B19" s="183" t="s">
        <v>227</v>
      </c>
    </row>
    <row r="20" spans="1:2">
      <c r="A20" s="110">
        <v>12</v>
      </c>
      <c r="B20" s="183" t="s">
        <v>27</v>
      </c>
    </row>
    <row r="21" spans="1:2">
      <c r="A21" s="316">
        <v>13</v>
      </c>
      <c r="B21" s="317" t="s">
        <v>228</v>
      </c>
    </row>
    <row r="22" spans="1:2">
      <c r="A22" s="316">
        <v>14</v>
      </c>
      <c r="B22" s="318" t="s">
        <v>253</v>
      </c>
    </row>
    <row r="23" spans="1:2">
      <c r="A23" s="316">
        <v>15</v>
      </c>
      <c r="B23" s="319" t="s">
        <v>28</v>
      </c>
    </row>
    <row r="24" spans="1:2">
      <c r="A24" s="316">
        <v>15.1</v>
      </c>
      <c r="B24" s="320" t="s">
        <v>309</v>
      </c>
    </row>
    <row r="25" spans="1:2">
      <c r="A25" s="316">
        <v>16</v>
      </c>
      <c r="B25" s="320" t="s">
        <v>373</v>
      </c>
    </row>
    <row r="26" spans="1:2">
      <c r="A26" s="316">
        <v>17</v>
      </c>
      <c r="B26" s="320" t="s">
        <v>414</v>
      </c>
    </row>
    <row r="27" spans="1:2">
      <c r="A27" s="316">
        <v>18</v>
      </c>
      <c r="B27" s="320" t="s">
        <v>703</v>
      </c>
    </row>
    <row r="28" spans="1:2">
      <c r="A28" s="316">
        <v>19</v>
      </c>
      <c r="B28" s="320" t="s">
        <v>704</v>
      </c>
    </row>
    <row r="29" spans="1:2">
      <c r="A29" s="316">
        <v>20</v>
      </c>
      <c r="B29" s="383" t="s">
        <v>705</v>
      </c>
    </row>
    <row r="30" spans="1:2">
      <c r="A30" s="316">
        <v>21</v>
      </c>
      <c r="B30" s="320" t="s">
        <v>530</v>
      </c>
    </row>
    <row r="31" spans="1:2">
      <c r="A31" s="316">
        <v>22</v>
      </c>
      <c r="B31" s="320" t="s">
        <v>706</v>
      </c>
    </row>
    <row r="32" spans="1:2">
      <c r="A32" s="316">
        <v>23</v>
      </c>
      <c r="B32" s="320" t="s">
        <v>707</v>
      </c>
    </row>
    <row r="33" spans="1:2">
      <c r="A33" s="316">
        <v>24</v>
      </c>
      <c r="B33" s="320" t="s">
        <v>708</v>
      </c>
    </row>
    <row r="34" spans="1:2">
      <c r="A34" s="316">
        <v>25</v>
      </c>
      <c r="B34" s="320" t="s">
        <v>415</v>
      </c>
    </row>
    <row r="35" spans="1:2">
      <c r="A35" s="316">
        <v>26</v>
      </c>
      <c r="B35" s="320" t="s">
        <v>552</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58293B41-B3CD-4306-8A07-9023B9101DA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C56"/>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45" sqref="C45"/>
    </sheetView>
  </sheetViews>
  <sheetFormatPr defaultColWidth="9.21875" defaultRowHeight="13.2"/>
  <cols>
    <col min="1" max="1" width="9.5546875" style="4" bestFit="1" customWidth="1"/>
    <col min="2" max="2" width="132.44140625" style="4" customWidth="1"/>
    <col min="3" max="3" width="18.44140625" style="4" customWidth="1"/>
    <col min="4" max="16384" width="9.21875" style="4"/>
  </cols>
  <sheetData>
    <row r="1" spans="1:3">
      <c r="A1" s="2" t="s">
        <v>30</v>
      </c>
      <c r="B1" s="3" t="str">
        <f>'Info '!C2</f>
        <v>JSC "CREDOBANK"</v>
      </c>
    </row>
    <row r="2" spans="1:3" s="2" customFormat="1" ht="15.75" customHeight="1">
      <c r="A2" s="2" t="s">
        <v>31</v>
      </c>
      <c r="B2" s="336">
        <f>'1. key ratios '!B2</f>
        <v>45199</v>
      </c>
    </row>
    <row r="3" spans="1:3" s="2" customFormat="1" ht="15.75" customHeight="1"/>
    <row r="4" spans="1:3" ht="13.8" thickBot="1">
      <c r="A4" s="4" t="s">
        <v>143</v>
      </c>
      <c r="B4" s="92" t="s">
        <v>142</v>
      </c>
    </row>
    <row r="5" spans="1:3">
      <c r="A5" s="50" t="s">
        <v>6</v>
      </c>
      <c r="B5" s="51"/>
      <c r="C5" s="52" t="s">
        <v>35</v>
      </c>
    </row>
    <row r="6" spans="1:3">
      <c r="A6" s="53">
        <v>1</v>
      </c>
      <c r="B6" s="54" t="s">
        <v>141</v>
      </c>
      <c r="C6" s="55">
        <f>SUM(C7:C11)</f>
        <v>292213044.12999576</v>
      </c>
    </row>
    <row r="7" spans="1:3">
      <c r="A7" s="53">
        <v>2</v>
      </c>
      <c r="B7" s="56" t="s">
        <v>140</v>
      </c>
      <c r="C7" s="57">
        <v>5207180</v>
      </c>
    </row>
    <row r="8" spans="1:3">
      <c r="A8" s="53">
        <v>3</v>
      </c>
      <c r="B8" s="58" t="s">
        <v>139</v>
      </c>
      <c r="C8" s="57">
        <v>36929894.049999997</v>
      </c>
    </row>
    <row r="9" spans="1:3">
      <c r="A9" s="53">
        <v>4</v>
      </c>
      <c r="B9" s="58" t="s">
        <v>138</v>
      </c>
      <c r="C9" s="57"/>
    </row>
    <row r="10" spans="1:3">
      <c r="A10" s="53">
        <v>5</v>
      </c>
      <c r="B10" s="58" t="s">
        <v>137</v>
      </c>
      <c r="C10" s="57"/>
    </row>
    <row r="11" spans="1:3">
      <c r="A11" s="53">
        <v>6</v>
      </c>
      <c r="B11" s="59" t="s">
        <v>136</v>
      </c>
      <c r="C11" s="57">
        <v>250075970.07999575</v>
      </c>
    </row>
    <row r="12" spans="1:3" s="29" customFormat="1">
      <c r="A12" s="53">
        <v>7</v>
      </c>
      <c r="B12" s="54" t="s">
        <v>135</v>
      </c>
      <c r="C12" s="60">
        <f>SUM(C13:C28)</f>
        <v>18631862.960000001</v>
      </c>
    </row>
    <row r="13" spans="1:3" s="29" customFormat="1">
      <c r="A13" s="53">
        <v>8</v>
      </c>
      <c r="B13" s="61" t="s">
        <v>134</v>
      </c>
      <c r="C13" s="62"/>
    </row>
    <row r="14" spans="1:3" s="29" customFormat="1" ht="26.4">
      <c r="A14" s="53">
        <v>9</v>
      </c>
      <c r="B14" s="63" t="s">
        <v>133</v>
      </c>
      <c r="C14" s="62"/>
    </row>
    <row r="15" spans="1:3" s="29" customFormat="1">
      <c r="A15" s="53">
        <v>10</v>
      </c>
      <c r="B15" s="64" t="s">
        <v>132</v>
      </c>
      <c r="C15" s="62">
        <v>18631862.960000001</v>
      </c>
    </row>
    <row r="16" spans="1:3" s="29" customFormat="1">
      <c r="A16" s="53">
        <v>11</v>
      </c>
      <c r="B16" s="65" t="s">
        <v>131</v>
      </c>
      <c r="C16" s="62"/>
    </row>
    <row r="17" spans="1:3" s="29" customFormat="1">
      <c r="A17" s="53">
        <v>12</v>
      </c>
      <c r="B17" s="64" t="s">
        <v>130</v>
      </c>
      <c r="C17" s="62"/>
    </row>
    <row r="18" spans="1:3" s="29" customFormat="1">
      <c r="A18" s="53">
        <v>13</v>
      </c>
      <c r="B18" s="64" t="s">
        <v>129</v>
      </c>
      <c r="C18" s="62"/>
    </row>
    <row r="19" spans="1:3" s="29" customFormat="1">
      <c r="A19" s="53">
        <v>14</v>
      </c>
      <c r="B19" s="64" t="s">
        <v>128</v>
      </c>
      <c r="C19" s="62"/>
    </row>
    <row r="20" spans="1:3" s="29" customFormat="1">
      <c r="A20" s="53">
        <v>15</v>
      </c>
      <c r="B20" s="64" t="s">
        <v>127</v>
      </c>
      <c r="C20" s="62"/>
    </row>
    <row r="21" spans="1:3" s="29" customFormat="1" ht="26.4">
      <c r="A21" s="53">
        <v>16</v>
      </c>
      <c r="B21" s="63" t="s">
        <v>126</v>
      </c>
      <c r="C21" s="62"/>
    </row>
    <row r="22" spans="1:3" s="29" customFormat="1">
      <c r="A22" s="53">
        <v>17</v>
      </c>
      <c r="B22" s="66" t="s">
        <v>125</v>
      </c>
      <c r="C22" s="62"/>
    </row>
    <row r="23" spans="1:3" s="29" customFormat="1">
      <c r="A23" s="53">
        <v>18</v>
      </c>
      <c r="B23" s="571" t="s">
        <v>553</v>
      </c>
      <c r="C23" s="386"/>
    </row>
    <row r="24" spans="1:3" s="29" customFormat="1">
      <c r="A24" s="53">
        <v>19</v>
      </c>
      <c r="B24" s="63" t="s">
        <v>124</v>
      </c>
      <c r="C24" s="62"/>
    </row>
    <row r="25" spans="1:3" s="29" customFormat="1" ht="26.4">
      <c r="A25" s="53">
        <v>20</v>
      </c>
      <c r="B25" s="63" t="s">
        <v>101</v>
      </c>
      <c r="C25" s="62"/>
    </row>
    <row r="26" spans="1:3" s="29" customFormat="1">
      <c r="A26" s="53">
        <v>21</v>
      </c>
      <c r="B26" s="65" t="s">
        <v>123</v>
      </c>
      <c r="C26" s="62"/>
    </row>
    <row r="27" spans="1:3" s="29" customFormat="1">
      <c r="A27" s="53">
        <v>22</v>
      </c>
      <c r="B27" s="65" t="s">
        <v>122</v>
      </c>
      <c r="C27" s="62"/>
    </row>
    <row r="28" spans="1:3" s="29" customFormat="1">
      <c r="A28" s="53">
        <v>23</v>
      </c>
      <c r="B28" s="65" t="s">
        <v>121</v>
      </c>
      <c r="C28" s="62"/>
    </row>
    <row r="29" spans="1:3" s="29" customFormat="1">
      <c r="A29" s="53">
        <v>24</v>
      </c>
      <c r="B29" s="67" t="s">
        <v>120</v>
      </c>
      <c r="C29" s="60">
        <f>C6-C12</f>
        <v>273581181.16999578</v>
      </c>
    </row>
    <row r="30" spans="1:3" s="29" customFormat="1">
      <c r="A30" s="68"/>
      <c r="B30" s="69"/>
      <c r="C30" s="62"/>
    </row>
    <row r="31" spans="1:3" s="29" customFormat="1">
      <c r="A31" s="68">
        <v>25</v>
      </c>
      <c r="B31" s="67" t="s">
        <v>119</v>
      </c>
      <c r="C31" s="60">
        <f>C32+C35</f>
        <v>0</v>
      </c>
    </row>
    <row r="32" spans="1:3" s="29" customFormat="1">
      <c r="A32" s="68">
        <v>26</v>
      </c>
      <c r="B32" s="58" t="s">
        <v>118</v>
      </c>
      <c r="C32" s="70">
        <f>C33+C34</f>
        <v>0</v>
      </c>
    </row>
    <row r="33" spans="1:3" s="29" customFormat="1">
      <c r="A33" s="68">
        <v>27</v>
      </c>
      <c r="B33" s="71" t="s">
        <v>192</v>
      </c>
      <c r="C33" s="62"/>
    </row>
    <row r="34" spans="1:3" s="29" customFormat="1">
      <c r="A34" s="68">
        <v>28</v>
      </c>
      <c r="B34" s="71" t="s">
        <v>117</v>
      </c>
      <c r="C34" s="62"/>
    </row>
    <row r="35" spans="1:3" s="29" customFormat="1">
      <c r="A35" s="68">
        <v>29</v>
      </c>
      <c r="B35" s="58" t="s">
        <v>116</v>
      </c>
      <c r="C35" s="62"/>
    </row>
    <row r="36" spans="1:3" s="29" customFormat="1">
      <c r="A36" s="68">
        <v>30</v>
      </c>
      <c r="B36" s="67" t="s">
        <v>115</v>
      </c>
      <c r="C36" s="60">
        <f>SUM(C37:C41)</f>
        <v>0</v>
      </c>
    </row>
    <row r="37" spans="1:3" s="29" customFormat="1">
      <c r="A37" s="68">
        <v>31</v>
      </c>
      <c r="B37" s="63" t="s">
        <v>114</v>
      </c>
      <c r="C37" s="62"/>
    </row>
    <row r="38" spans="1:3" s="29" customFormat="1">
      <c r="A38" s="68">
        <v>32</v>
      </c>
      <c r="B38" s="64" t="s">
        <v>113</v>
      </c>
      <c r="C38" s="62"/>
    </row>
    <row r="39" spans="1:3" s="29" customFormat="1">
      <c r="A39" s="68">
        <v>33</v>
      </c>
      <c r="B39" s="63" t="s">
        <v>112</v>
      </c>
      <c r="C39" s="62"/>
    </row>
    <row r="40" spans="1:3" s="29" customFormat="1" ht="26.4">
      <c r="A40" s="68">
        <v>34</v>
      </c>
      <c r="B40" s="63" t="s">
        <v>101</v>
      </c>
      <c r="C40" s="62"/>
    </row>
    <row r="41" spans="1:3" s="29" customFormat="1">
      <c r="A41" s="68">
        <v>35</v>
      </c>
      <c r="B41" s="65" t="s">
        <v>111</v>
      </c>
      <c r="C41" s="62"/>
    </row>
    <row r="42" spans="1:3" s="29" customFormat="1">
      <c r="A42" s="68">
        <v>36</v>
      </c>
      <c r="B42" s="67" t="s">
        <v>110</v>
      </c>
      <c r="C42" s="60">
        <f>C31-C36</f>
        <v>0</v>
      </c>
    </row>
    <row r="43" spans="1:3" s="29" customFormat="1">
      <c r="A43" s="68"/>
      <c r="B43" s="69"/>
      <c r="C43" s="62"/>
    </row>
    <row r="44" spans="1:3" s="29" customFormat="1">
      <c r="A44" s="68">
        <v>37</v>
      </c>
      <c r="B44" s="72" t="s">
        <v>109</v>
      </c>
      <c r="C44" s="60">
        <f>SUM(C45:C47)</f>
        <v>75134116</v>
      </c>
    </row>
    <row r="45" spans="1:3" s="29" customFormat="1">
      <c r="A45" s="68">
        <v>38</v>
      </c>
      <c r="B45" s="58" t="s">
        <v>108</v>
      </c>
      <c r="C45" s="62">
        <v>75134116</v>
      </c>
    </row>
    <row r="46" spans="1:3" s="29" customFormat="1">
      <c r="A46" s="68">
        <v>39</v>
      </c>
      <c r="B46" s="58" t="s">
        <v>107</v>
      </c>
      <c r="C46" s="62"/>
    </row>
    <row r="47" spans="1:3" s="29" customFormat="1">
      <c r="A47" s="68">
        <v>40</v>
      </c>
      <c r="B47" s="58" t="s">
        <v>106</v>
      </c>
      <c r="C47" s="62"/>
    </row>
    <row r="48" spans="1:3" s="29" customFormat="1">
      <c r="A48" s="68">
        <v>41</v>
      </c>
      <c r="B48" s="72" t="s">
        <v>105</v>
      </c>
      <c r="C48" s="60">
        <f>SUM(C49:C52)</f>
        <v>0</v>
      </c>
    </row>
    <row r="49" spans="1:3" s="29" customFormat="1">
      <c r="A49" s="68">
        <v>42</v>
      </c>
      <c r="B49" s="63" t="s">
        <v>104</v>
      </c>
      <c r="C49" s="62"/>
    </row>
    <row r="50" spans="1:3" s="29" customFormat="1">
      <c r="A50" s="68">
        <v>43</v>
      </c>
      <c r="B50" s="64" t="s">
        <v>103</v>
      </c>
      <c r="C50" s="62"/>
    </row>
    <row r="51" spans="1:3" s="29" customFormat="1">
      <c r="A51" s="68">
        <v>44</v>
      </c>
      <c r="B51" s="63" t="s">
        <v>102</v>
      </c>
      <c r="C51" s="62"/>
    </row>
    <row r="52" spans="1:3" s="29" customFormat="1" ht="26.4">
      <c r="A52" s="68">
        <v>45</v>
      </c>
      <c r="B52" s="63" t="s">
        <v>101</v>
      </c>
      <c r="C52" s="62"/>
    </row>
    <row r="53" spans="1:3" s="29" customFormat="1" ht="13.8" thickBot="1">
      <c r="A53" s="68">
        <v>46</v>
      </c>
      <c r="B53" s="73" t="s">
        <v>100</v>
      </c>
      <c r="C53" s="74">
        <f>C44-C48</f>
        <v>75134116</v>
      </c>
    </row>
    <row r="56" spans="1:3">
      <c r="B56" s="4" t="s">
        <v>7</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D19" sqref="D19:D21"/>
    </sheetView>
  </sheetViews>
  <sheetFormatPr defaultColWidth="9.21875" defaultRowHeight="13.8"/>
  <cols>
    <col min="1" max="1" width="9.44140625" style="173" bestFit="1" customWidth="1"/>
    <col min="2" max="2" width="59" style="173" customWidth="1"/>
    <col min="3" max="3" width="16.77734375" style="173" bestFit="1" customWidth="1"/>
    <col min="4" max="4" width="14.33203125" style="173" bestFit="1" customWidth="1"/>
    <col min="5" max="16384" width="9.21875" style="173"/>
  </cols>
  <sheetData>
    <row r="1" spans="1:4">
      <c r="A1" s="171" t="s">
        <v>30</v>
      </c>
      <c r="B1" s="3" t="str">
        <f>'Info '!C2</f>
        <v>JSC "CREDOBANK"</v>
      </c>
    </row>
    <row r="2" spans="1:4" s="171" customFormat="1" ht="15.75" customHeight="1">
      <c r="A2" s="171" t="s">
        <v>31</v>
      </c>
      <c r="B2" s="336">
        <f>'1. key ratios '!B2</f>
        <v>45199</v>
      </c>
    </row>
    <row r="3" spans="1:4" s="171" customFormat="1" ht="15.75" customHeight="1"/>
    <row r="4" spans="1:4" ht="14.4" thickBot="1">
      <c r="A4" s="173" t="s">
        <v>281</v>
      </c>
      <c r="B4" s="251" t="s">
        <v>282</v>
      </c>
    </row>
    <row r="5" spans="1:4" s="178" customFormat="1" ht="12.75" customHeight="1">
      <c r="A5" s="314"/>
      <c r="B5" s="315" t="s">
        <v>285</v>
      </c>
      <c r="C5" s="244" t="s">
        <v>283</v>
      </c>
      <c r="D5" s="245" t="s">
        <v>284</v>
      </c>
    </row>
    <row r="6" spans="1:4" s="252" customFormat="1">
      <c r="A6" s="246">
        <v>1</v>
      </c>
      <c r="B6" s="307" t="s">
        <v>286</v>
      </c>
      <c r="C6" s="307"/>
      <c r="D6" s="247"/>
    </row>
    <row r="7" spans="1:4" s="252" customFormat="1">
      <c r="A7" s="248" t="s">
        <v>272</v>
      </c>
      <c r="B7" s="308" t="s">
        <v>287</v>
      </c>
      <c r="C7" s="300">
        <v>4.4999999999999998E-2</v>
      </c>
      <c r="D7" s="616">
        <f>C7*'5. RWA '!$C$13</f>
        <v>89654272.307976544</v>
      </c>
    </row>
    <row r="8" spans="1:4" s="252" customFormat="1">
      <c r="A8" s="248" t="s">
        <v>273</v>
      </c>
      <c r="B8" s="308" t="s">
        <v>288</v>
      </c>
      <c r="C8" s="301">
        <v>0.06</v>
      </c>
      <c r="D8" s="616">
        <f>C8*'5. RWA '!$C$13</f>
        <v>119539029.74396871</v>
      </c>
    </row>
    <row r="9" spans="1:4" s="252" customFormat="1">
      <c r="A9" s="248" t="s">
        <v>274</v>
      </c>
      <c r="B9" s="308" t="s">
        <v>289</v>
      </c>
      <c r="C9" s="301">
        <v>0.08</v>
      </c>
      <c r="D9" s="616">
        <f>C9*'5. RWA '!$C$13</f>
        <v>159385372.99195829</v>
      </c>
    </row>
    <row r="10" spans="1:4" s="252" customFormat="1">
      <c r="A10" s="246" t="s">
        <v>275</v>
      </c>
      <c r="B10" s="307" t="s">
        <v>290</v>
      </c>
      <c r="C10" s="302"/>
      <c r="D10" s="309"/>
    </row>
    <row r="11" spans="1:4" s="253" customFormat="1">
      <c r="A11" s="249" t="s">
        <v>276</v>
      </c>
      <c r="B11" s="299" t="s">
        <v>356</v>
      </c>
      <c r="C11" s="303">
        <v>2.5000000000000001E-2</v>
      </c>
      <c r="D11" s="616">
        <f>C11*'5. RWA '!$C$13</f>
        <v>49807929.059986971</v>
      </c>
    </row>
    <row r="12" spans="1:4" s="253" customFormat="1">
      <c r="A12" s="249" t="s">
        <v>277</v>
      </c>
      <c r="B12" s="299" t="s">
        <v>291</v>
      </c>
      <c r="C12" s="303">
        <v>0</v>
      </c>
      <c r="D12" s="616">
        <f>C12*'5. RWA '!$C$13</f>
        <v>0</v>
      </c>
    </row>
    <row r="13" spans="1:4" s="253" customFormat="1">
      <c r="A13" s="249" t="s">
        <v>278</v>
      </c>
      <c r="B13" s="299" t="s">
        <v>292</v>
      </c>
      <c r="C13" s="303">
        <v>0</v>
      </c>
      <c r="D13" s="616">
        <f>C13*'5. RWA '!$C$13</f>
        <v>0</v>
      </c>
    </row>
    <row r="14" spans="1:4" s="253" customFormat="1">
      <c r="A14" s="246" t="s">
        <v>279</v>
      </c>
      <c r="B14" s="307" t="s">
        <v>353</v>
      </c>
      <c r="C14" s="304"/>
      <c r="D14" s="310"/>
    </row>
    <row r="15" spans="1:4" s="253" customFormat="1">
      <c r="A15" s="249">
        <v>3.1</v>
      </c>
      <c r="B15" s="299" t="s">
        <v>297</v>
      </c>
      <c r="C15" s="303">
        <v>3.6090615187931802E-2</v>
      </c>
      <c r="D15" s="616">
        <f>C15*'5. RWA '!$C$13</f>
        <v>71903952.040471822</v>
      </c>
    </row>
    <row r="16" spans="1:4" s="253" customFormat="1">
      <c r="A16" s="249">
        <v>3.2</v>
      </c>
      <c r="B16" s="299" t="s">
        <v>298</v>
      </c>
      <c r="C16" s="303">
        <v>4.2018025248785194E-2</v>
      </c>
      <c r="D16" s="616">
        <f>C16*'5. RWA '!$C$13</f>
        <v>83713232.83328937</v>
      </c>
    </row>
    <row r="17" spans="1:4" s="252" customFormat="1">
      <c r="A17" s="249">
        <v>3.3</v>
      </c>
      <c r="B17" s="299" t="s">
        <v>299</v>
      </c>
      <c r="C17" s="303">
        <v>4.9817249013065973E-2</v>
      </c>
      <c r="D17" s="616">
        <f>C17*'5. RWA '!$C$13</f>
        <v>99251760.192259833</v>
      </c>
    </row>
    <row r="18" spans="1:4" s="178" customFormat="1" ht="12.75" customHeight="1">
      <c r="A18" s="312"/>
      <c r="B18" s="313" t="s">
        <v>352</v>
      </c>
      <c r="C18" s="305" t="s">
        <v>283</v>
      </c>
      <c r="D18" s="311" t="s">
        <v>284</v>
      </c>
    </row>
    <row r="19" spans="1:4" s="252" customFormat="1">
      <c r="A19" s="250">
        <v>4</v>
      </c>
      <c r="B19" s="299" t="s">
        <v>293</v>
      </c>
      <c r="C19" s="303">
        <f>C7+C11+C12+C13+C15</f>
        <v>0.10609061518793181</v>
      </c>
      <c r="D19" s="616">
        <f>C19*'5. RWA '!$C$13</f>
        <v>211366153.40843534</v>
      </c>
    </row>
    <row r="20" spans="1:4" s="252" customFormat="1">
      <c r="A20" s="250">
        <v>5</v>
      </c>
      <c r="B20" s="299" t="s">
        <v>90</v>
      </c>
      <c r="C20" s="303">
        <f>C8+C11+C12+C13+C16</f>
        <v>0.12701802524878519</v>
      </c>
      <c r="D20" s="616">
        <f>C20*'5. RWA '!$C$13</f>
        <v>253060191.63724506</v>
      </c>
    </row>
    <row r="21" spans="1:4" s="252" customFormat="1" ht="14.4" thickBot="1">
      <c r="A21" s="254" t="s">
        <v>280</v>
      </c>
      <c r="B21" s="255" t="s">
        <v>294</v>
      </c>
      <c r="C21" s="306">
        <f>C9+C11+C12+C13+C17</f>
        <v>0.15481724901306598</v>
      </c>
      <c r="D21" s="617">
        <f>C21*'5. RWA '!$C$13</f>
        <v>308445062.24420512</v>
      </c>
    </row>
    <row r="23" spans="1:4" ht="53.4">
      <c r="B23" s="213" t="s">
        <v>355</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68"/>
  <sheetViews>
    <sheetView zoomScale="70" zoomScaleNormal="70" workbookViewId="0">
      <pane xSplit="1" ySplit="5" topLeftCell="B43" activePane="bottomRight" state="frozen"/>
      <selection activeCell="B47" sqref="B47"/>
      <selection pane="topRight" activeCell="B47" sqref="B47"/>
      <selection pane="bottomLeft" activeCell="B47" sqref="B47"/>
      <selection pane="bottomRight" activeCell="C58" sqref="C58"/>
    </sheetView>
  </sheetViews>
  <sheetFormatPr defaultColWidth="9.21875" defaultRowHeight="13.8"/>
  <cols>
    <col min="1" max="1" width="10.77734375" style="4" customWidth="1"/>
    <col min="2" max="2" width="91.77734375" style="4" customWidth="1"/>
    <col min="3" max="3" width="53.21875" style="4" customWidth="1"/>
    <col min="4" max="4" width="32.21875" style="4" customWidth="1"/>
    <col min="5" max="5" width="9.44140625" style="5" customWidth="1"/>
    <col min="6" max="16384" width="9.21875" style="5"/>
  </cols>
  <sheetData>
    <row r="1" spans="1:6">
      <c r="A1" s="2" t="s">
        <v>30</v>
      </c>
      <c r="B1" s="3" t="str">
        <f>'Info '!C2</f>
        <v>JSC "CREDOBANK"</v>
      </c>
      <c r="E1" s="4"/>
      <c r="F1" s="4"/>
    </row>
    <row r="2" spans="1:6" s="2" customFormat="1" ht="15.75" customHeight="1">
      <c r="A2" s="2" t="s">
        <v>31</v>
      </c>
      <c r="B2" s="336">
        <f>'1. key ratios '!B2</f>
        <v>45199</v>
      </c>
    </row>
    <row r="3" spans="1:6" s="2" customFormat="1" ht="15.75" customHeight="1">
      <c r="A3" s="75"/>
    </row>
    <row r="4" spans="1:6" s="2" customFormat="1" ht="15.75" customHeight="1" thickBot="1">
      <c r="A4" s="2" t="s">
        <v>47</v>
      </c>
      <c r="B4" s="165" t="s">
        <v>178</v>
      </c>
      <c r="D4" s="20" t="s">
        <v>35</v>
      </c>
    </row>
    <row r="5" spans="1:6" ht="26.4">
      <c r="A5" s="76" t="s">
        <v>6</v>
      </c>
      <c r="B5" s="185" t="s">
        <v>218</v>
      </c>
      <c r="C5" s="77" t="s">
        <v>660</v>
      </c>
      <c r="D5" s="78" t="s">
        <v>49</v>
      </c>
    </row>
    <row r="6" spans="1:6" ht="14.4">
      <c r="A6" s="389">
        <v>1</v>
      </c>
      <c r="B6" s="390" t="s">
        <v>561</v>
      </c>
      <c r="C6" s="458">
        <f>SUM(C7:C9)</f>
        <v>316205564.25</v>
      </c>
      <c r="D6" s="79"/>
      <c r="E6" s="80"/>
    </row>
    <row r="7" spans="1:6" ht="14.4">
      <c r="A7" s="389">
        <v>1.1000000000000001</v>
      </c>
      <c r="B7" s="391" t="s">
        <v>562</v>
      </c>
      <c r="C7" s="459">
        <v>81533840.479999989</v>
      </c>
      <c r="D7" s="81"/>
      <c r="E7" s="80"/>
    </row>
    <row r="8" spans="1:6" ht="14.4">
      <c r="A8" s="389">
        <v>1.2</v>
      </c>
      <c r="B8" s="391" t="s">
        <v>563</v>
      </c>
      <c r="C8" s="459">
        <v>126302154.88</v>
      </c>
      <c r="D8" s="81"/>
      <c r="E8" s="80"/>
    </row>
    <row r="9" spans="1:6" ht="14.4">
      <c r="A9" s="389">
        <v>1.3</v>
      </c>
      <c r="B9" s="391" t="s">
        <v>564</v>
      </c>
      <c r="C9" s="459">
        <v>108369568.89</v>
      </c>
      <c r="D9" s="81"/>
      <c r="E9" s="80"/>
    </row>
    <row r="10" spans="1:6" ht="14.4">
      <c r="A10" s="389">
        <v>2</v>
      </c>
      <c r="B10" s="392" t="s">
        <v>565</v>
      </c>
      <c r="C10" s="459"/>
      <c r="D10" s="81"/>
      <c r="E10" s="80"/>
    </row>
    <row r="11" spans="1:6" ht="14.4">
      <c r="A11" s="389">
        <v>2.1</v>
      </c>
      <c r="B11" s="393" t="s">
        <v>566</v>
      </c>
      <c r="C11" s="460"/>
      <c r="D11" s="456"/>
      <c r="E11" s="82"/>
    </row>
    <row r="12" spans="1:6" ht="14.4">
      <c r="A12" s="389">
        <v>3</v>
      </c>
      <c r="B12" s="394" t="s">
        <v>567</v>
      </c>
      <c r="C12" s="460">
        <v>757847.93</v>
      </c>
      <c r="D12" s="456"/>
      <c r="E12" s="82"/>
    </row>
    <row r="13" spans="1:6" ht="14.4">
      <c r="A13" s="389">
        <v>4</v>
      </c>
      <c r="B13" s="395" t="s">
        <v>568</v>
      </c>
      <c r="C13" s="460"/>
      <c r="D13" s="456"/>
      <c r="E13" s="82"/>
    </row>
    <row r="14" spans="1:6" ht="14.4">
      <c r="A14" s="389">
        <v>5</v>
      </c>
      <c r="B14" s="396" t="s">
        <v>569</v>
      </c>
      <c r="C14" s="460">
        <f>SUM(C15:C17)</f>
        <v>0</v>
      </c>
      <c r="D14" s="456"/>
      <c r="E14" s="82"/>
    </row>
    <row r="15" spans="1:6" ht="14.4">
      <c r="A15" s="389">
        <v>5.0999999999999996</v>
      </c>
      <c r="B15" s="398" t="s">
        <v>570</v>
      </c>
      <c r="C15" s="459"/>
      <c r="D15" s="456"/>
      <c r="E15" s="80"/>
    </row>
    <row r="16" spans="1:6" ht="14.4">
      <c r="A16" s="389">
        <v>5.2</v>
      </c>
      <c r="B16" s="398" t="s">
        <v>571</v>
      </c>
      <c r="C16" s="459"/>
      <c r="D16" s="81"/>
      <c r="E16" s="80"/>
    </row>
    <row r="17" spans="1:5" ht="14.4">
      <c r="A17" s="389">
        <v>5.3</v>
      </c>
      <c r="B17" s="399" t="s">
        <v>572</v>
      </c>
      <c r="C17" s="459"/>
      <c r="D17" s="81"/>
      <c r="E17" s="80"/>
    </row>
    <row r="18" spans="1:5" ht="14.4">
      <c r="A18" s="389">
        <v>6</v>
      </c>
      <c r="B18" s="394" t="s">
        <v>573</v>
      </c>
      <c r="C18" s="459">
        <f>SUM(C19:C20)</f>
        <v>1925207480.5278244</v>
      </c>
      <c r="D18" s="81"/>
      <c r="E18" s="80"/>
    </row>
    <row r="19" spans="1:5" ht="14.4">
      <c r="A19" s="389">
        <v>6.1</v>
      </c>
      <c r="B19" s="398" t="s">
        <v>571</v>
      </c>
      <c r="C19" s="460">
        <v>48483957.209999993</v>
      </c>
      <c r="D19" s="81"/>
      <c r="E19" s="80"/>
    </row>
    <row r="20" spans="1:5" ht="14.4">
      <c r="A20" s="389">
        <v>6.2</v>
      </c>
      <c r="B20" s="399" t="s">
        <v>572</v>
      </c>
      <c r="C20" s="460">
        <v>1876723523.3178244</v>
      </c>
      <c r="D20" s="81"/>
      <c r="E20" s="80"/>
    </row>
    <row r="21" spans="1:5" ht="14.4">
      <c r="A21" s="389">
        <v>7</v>
      </c>
      <c r="B21" s="392" t="s">
        <v>574</v>
      </c>
      <c r="C21" s="460"/>
      <c r="D21" s="81"/>
      <c r="E21" s="80"/>
    </row>
    <row r="22" spans="1:5" ht="14.4">
      <c r="A22" s="389">
        <v>8</v>
      </c>
      <c r="B22" s="400" t="s">
        <v>575</v>
      </c>
      <c r="C22" s="459"/>
      <c r="D22" s="81"/>
      <c r="E22" s="80"/>
    </row>
    <row r="23" spans="1:5" ht="14.4">
      <c r="A23" s="389">
        <v>9</v>
      </c>
      <c r="B23" s="395" t="s">
        <v>576</v>
      </c>
      <c r="C23" s="459">
        <f>SUM(C24:C25)</f>
        <v>40004854.700000018</v>
      </c>
      <c r="D23" s="457"/>
      <c r="E23" s="80"/>
    </row>
    <row r="24" spans="1:5" ht="14.4">
      <c r="A24" s="389">
        <v>9.1</v>
      </c>
      <c r="B24" s="398" t="s">
        <v>577</v>
      </c>
      <c r="C24" s="461">
        <v>40004854.700000018</v>
      </c>
      <c r="D24" s="83"/>
      <c r="E24" s="80"/>
    </row>
    <row r="25" spans="1:5" ht="14.4">
      <c r="A25" s="389">
        <v>9.1999999999999993</v>
      </c>
      <c r="B25" s="398" t="s">
        <v>578</v>
      </c>
      <c r="C25" s="462"/>
      <c r="D25" s="455"/>
      <c r="E25" s="84"/>
    </row>
    <row r="26" spans="1:5" ht="14.4">
      <c r="A26" s="389">
        <v>10</v>
      </c>
      <c r="B26" s="395" t="s">
        <v>579</v>
      </c>
      <c r="C26" s="463">
        <f>SUM(C27:C28)</f>
        <v>18631862.960000001</v>
      </c>
      <c r="D26" s="570" t="s">
        <v>702</v>
      </c>
      <c r="E26" s="80"/>
    </row>
    <row r="27" spans="1:5" ht="14.4">
      <c r="A27" s="389">
        <v>10.1</v>
      </c>
      <c r="B27" s="398" t="s">
        <v>580</v>
      </c>
      <c r="C27" s="459"/>
      <c r="D27" s="81"/>
      <c r="E27" s="80"/>
    </row>
    <row r="28" spans="1:5" ht="14.4">
      <c r="A28" s="389">
        <v>10.199999999999999</v>
      </c>
      <c r="B28" s="398" t="s">
        <v>581</v>
      </c>
      <c r="C28" s="459">
        <v>18631862.960000001</v>
      </c>
      <c r="D28" s="81"/>
      <c r="E28" s="80"/>
    </row>
    <row r="29" spans="1:5" ht="14.4">
      <c r="A29" s="389">
        <v>11</v>
      </c>
      <c r="B29" s="395" t="s">
        <v>582</v>
      </c>
      <c r="C29" s="459">
        <f>SUM(C30:C31)</f>
        <v>1747044.9600000028</v>
      </c>
      <c r="D29" s="81"/>
      <c r="E29" s="80"/>
    </row>
    <row r="30" spans="1:5" ht="14.4">
      <c r="A30" s="389">
        <v>11.1</v>
      </c>
      <c r="B30" s="398" t="s">
        <v>583</v>
      </c>
      <c r="C30" s="459">
        <v>1747044.9600000028</v>
      </c>
      <c r="D30" s="81"/>
      <c r="E30" s="80"/>
    </row>
    <row r="31" spans="1:5" ht="14.4">
      <c r="A31" s="389">
        <v>11.2</v>
      </c>
      <c r="B31" s="398" t="s">
        <v>584</v>
      </c>
      <c r="C31" s="459"/>
      <c r="D31" s="81"/>
      <c r="E31" s="80"/>
    </row>
    <row r="32" spans="1:5" ht="14.4">
      <c r="A32" s="389">
        <v>13</v>
      </c>
      <c r="B32" s="395" t="s">
        <v>585</v>
      </c>
      <c r="C32" s="459">
        <v>36510487</v>
      </c>
      <c r="D32" s="81"/>
      <c r="E32" s="80"/>
    </row>
    <row r="33" spans="1:5" ht="14.4">
      <c r="A33" s="389">
        <v>13.1</v>
      </c>
      <c r="B33" s="401" t="s">
        <v>586</v>
      </c>
      <c r="C33" s="459">
        <v>11082036</v>
      </c>
      <c r="D33" s="81"/>
      <c r="E33" s="80"/>
    </row>
    <row r="34" spans="1:5" ht="14.4">
      <c r="A34" s="389">
        <v>13.2</v>
      </c>
      <c r="B34" s="401" t="s">
        <v>587</v>
      </c>
      <c r="C34" s="461"/>
      <c r="D34" s="83"/>
      <c r="E34" s="80"/>
    </row>
    <row r="35" spans="1:5" ht="14.4">
      <c r="A35" s="389">
        <v>14</v>
      </c>
      <c r="B35" s="402" t="s">
        <v>588</v>
      </c>
      <c r="C35" s="461">
        <f>SUM(C6,C10,C12,C13,C14,C18,C21,C22,C23,C26,C29,C32)</f>
        <v>2339065142.3278241</v>
      </c>
      <c r="D35" s="83"/>
      <c r="E35" s="80"/>
    </row>
    <row r="36" spans="1:5" ht="14.4">
      <c r="A36" s="389"/>
      <c r="B36" s="403" t="s">
        <v>589</v>
      </c>
      <c r="C36" s="85"/>
      <c r="D36" s="86"/>
      <c r="E36" s="80"/>
    </row>
    <row r="37" spans="1:5" ht="14.4">
      <c r="A37" s="389">
        <v>15</v>
      </c>
      <c r="B37" s="404" t="s">
        <v>590</v>
      </c>
      <c r="C37" s="462"/>
      <c r="D37" s="455"/>
      <c r="E37" s="84"/>
    </row>
    <row r="38" spans="1:5" ht="14.4">
      <c r="A38" s="405">
        <v>15.1</v>
      </c>
      <c r="B38" s="406" t="s">
        <v>566</v>
      </c>
      <c r="C38" s="459"/>
      <c r="D38" s="81"/>
      <c r="E38" s="80"/>
    </row>
    <row r="39" spans="1:5" ht="14.4">
      <c r="A39" s="405">
        <v>16</v>
      </c>
      <c r="B39" s="392" t="s">
        <v>591</v>
      </c>
      <c r="C39" s="459">
        <v>276111.98</v>
      </c>
      <c r="D39" s="81"/>
      <c r="E39" s="80"/>
    </row>
    <row r="40" spans="1:5" ht="14.4">
      <c r="A40" s="405">
        <v>17</v>
      </c>
      <c r="B40" s="392" t="s">
        <v>592</v>
      </c>
      <c r="C40" s="459">
        <f>SUM(C41:C44)</f>
        <v>1900188842.7030249</v>
      </c>
      <c r="D40" s="81"/>
      <c r="E40" s="80"/>
    </row>
    <row r="41" spans="1:5" ht="14.4">
      <c r="A41" s="405">
        <v>17.100000000000001</v>
      </c>
      <c r="B41" s="407" t="s">
        <v>593</v>
      </c>
      <c r="C41" s="459">
        <v>793416248</v>
      </c>
      <c r="D41" s="81"/>
      <c r="E41" s="80"/>
    </row>
    <row r="42" spans="1:5" ht="14.4">
      <c r="A42" s="405">
        <v>17.2</v>
      </c>
      <c r="B42" s="408" t="s">
        <v>594</v>
      </c>
      <c r="C42" s="459">
        <v>1089950706.2030249</v>
      </c>
      <c r="D42" s="81"/>
      <c r="E42" s="80"/>
    </row>
    <row r="43" spans="1:5" ht="14.4">
      <c r="A43" s="405">
        <v>17.3</v>
      </c>
      <c r="B43" s="446" t="s">
        <v>595</v>
      </c>
      <c r="C43" s="461"/>
      <c r="D43" s="83"/>
      <c r="E43" s="80"/>
    </row>
    <row r="44" spans="1:5" ht="14.4">
      <c r="A44" s="405">
        <v>17.399999999999999</v>
      </c>
      <c r="B44" s="447" t="s">
        <v>596</v>
      </c>
      <c r="C44" s="464">
        <v>16821888.5</v>
      </c>
      <c r="D44" s="448"/>
      <c r="E44" s="80"/>
    </row>
    <row r="45" spans="1:5" ht="14.4">
      <c r="A45" s="405">
        <v>18</v>
      </c>
      <c r="B45" s="416" t="s">
        <v>597</v>
      </c>
      <c r="C45" s="465"/>
      <c r="D45" s="454"/>
      <c r="E45" s="84"/>
    </row>
    <row r="46" spans="1:5" ht="14.4">
      <c r="A46" s="405">
        <v>19</v>
      </c>
      <c r="B46" s="416" t="s">
        <v>598</v>
      </c>
      <c r="C46" s="464">
        <f>SUM(C47:C48)</f>
        <v>2365519.34</v>
      </c>
      <c r="D46" s="449"/>
    </row>
    <row r="47" spans="1:5" ht="14.4">
      <c r="A47" s="405">
        <v>19.100000000000001</v>
      </c>
      <c r="B47" s="450" t="s">
        <v>599</v>
      </c>
      <c r="C47" s="618"/>
      <c r="D47" s="449"/>
    </row>
    <row r="48" spans="1:5" ht="14.4">
      <c r="A48" s="405">
        <v>19.2</v>
      </c>
      <c r="B48" s="450" t="s">
        <v>600</v>
      </c>
      <c r="C48" s="464">
        <v>2365519.34</v>
      </c>
      <c r="D48" s="449"/>
    </row>
    <row r="49" spans="1:4" ht="14.4">
      <c r="A49" s="405">
        <v>20</v>
      </c>
      <c r="B49" s="411" t="s">
        <v>601</v>
      </c>
      <c r="C49" s="464">
        <v>105605790.55973001</v>
      </c>
      <c r="D49" s="449"/>
    </row>
    <row r="50" spans="1:4" ht="14.4">
      <c r="A50" s="405">
        <v>21</v>
      </c>
      <c r="B50" s="451" t="s">
        <v>602</v>
      </c>
      <c r="C50" s="464">
        <v>38415833.649999999</v>
      </c>
      <c r="D50" s="449"/>
    </row>
    <row r="51" spans="1:4" ht="14.4">
      <c r="A51" s="405">
        <v>21.1</v>
      </c>
      <c r="B51" s="408" t="s">
        <v>603</v>
      </c>
      <c r="C51" s="466"/>
      <c r="D51" s="449"/>
    </row>
    <row r="52" spans="1:4" ht="14.4">
      <c r="A52" s="405">
        <v>22</v>
      </c>
      <c r="B52" s="412" t="s">
        <v>604</v>
      </c>
      <c r="C52" s="464">
        <f>SUM(C37,C39,C40,C45,C46,C49,C50)</f>
        <v>2046852098.2327549</v>
      </c>
      <c r="D52" s="449"/>
    </row>
    <row r="53" spans="1:4" ht="14.4">
      <c r="A53" s="405"/>
      <c r="B53" s="413" t="s">
        <v>605</v>
      </c>
      <c r="C53" s="464"/>
      <c r="D53" s="449"/>
    </row>
    <row r="54" spans="1:4" ht="14.4">
      <c r="A54" s="405">
        <v>23</v>
      </c>
      <c r="B54" s="411" t="s">
        <v>606</v>
      </c>
      <c r="C54" s="464">
        <v>5207180</v>
      </c>
      <c r="D54" s="449"/>
    </row>
    <row r="55" spans="1:4" ht="14.4">
      <c r="A55" s="405">
        <v>24</v>
      </c>
      <c r="B55" s="411" t="s">
        <v>607</v>
      </c>
      <c r="C55" s="466"/>
      <c r="D55" s="449"/>
    </row>
    <row r="56" spans="1:4" ht="14.4">
      <c r="A56" s="405">
        <v>25</v>
      </c>
      <c r="B56" s="416" t="s">
        <v>608</v>
      </c>
      <c r="C56" s="464">
        <v>36929894.049999997</v>
      </c>
      <c r="D56" s="449"/>
    </row>
    <row r="57" spans="1:4" ht="14.4">
      <c r="A57" s="405">
        <v>26</v>
      </c>
      <c r="B57" s="416" t="s">
        <v>609</v>
      </c>
      <c r="C57" s="466"/>
      <c r="D57" s="449"/>
    </row>
    <row r="58" spans="1:4" ht="14.4">
      <c r="A58" s="405">
        <v>27</v>
      </c>
      <c r="B58" s="416" t="s">
        <v>610</v>
      </c>
      <c r="C58" s="466">
        <f>SUM(C59:C60)</f>
        <v>0</v>
      </c>
      <c r="D58" s="449"/>
    </row>
    <row r="59" spans="1:4" ht="14.4">
      <c r="A59" s="405">
        <v>27.1</v>
      </c>
      <c r="B59" s="447" t="s">
        <v>611</v>
      </c>
      <c r="C59" s="466"/>
      <c r="D59" s="449"/>
    </row>
    <row r="60" spans="1:4" ht="14.4">
      <c r="A60" s="405">
        <v>27.2</v>
      </c>
      <c r="B60" s="447" t="s">
        <v>612</v>
      </c>
      <c r="C60" s="466"/>
      <c r="D60" s="449"/>
    </row>
    <row r="61" spans="1:4" ht="14.4">
      <c r="A61" s="405">
        <v>28</v>
      </c>
      <c r="B61" s="414" t="s">
        <v>613</v>
      </c>
      <c r="C61" s="466"/>
      <c r="D61" s="449"/>
    </row>
    <row r="62" spans="1:4" ht="14.4">
      <c r="A62" s="405">
        <v>29</v>
      </c>
      <c r="B62" s="416" t="s">
        <v>614</v>
      </c>
      <c r="C62" s="466">
        <f>SUM(C63:C65)</f>
        <v>0</v>
      </c>
      <c r="D62" s="449"/>
    </row>
    <row r="63" spans="1:4" ht="14.4">
      <c r="A63" s="405">
        <v>29.1</v>
      </c>
      <c r="B63" s="452" t="s">
        <v>615</v>
      </c>
      <c r="C63" s="466"/>
      <c r="D63" s="449"/>
    </row>
    <row r="64" spans="1:4" ht="14.4">
      <c r="A64" s="405">
        <v>29.2</v>
      </c>
      <c r="B64" s="450" t="s">
        <v>616</v>
      </c>
      <c r="C64" s="466"/>
      <c r="D64" s="449"/>
    </row>
    <row r="65" spans="1:4" ht="14.4">
      <c r="A65" s="405">
        <v>29.3</v>
      </c>
      <c r="B65" s="450" t="s">
        <v>617</v>
      </c>
      <c r="C65" s="466"/>
      <c r="D65" s="449"/>
    </row>
    <row r="66" spans="1:4" ht="14.4">
      <c r="A66" s="405">
        <v>30</v>
      </c>
      <c r="B66" s="416" t="s">
        <v>618</v>
      </c>
      <c r="C66" s="464">
        <v>250075970.07999575</v>
      </c>
      <c r="D66" s="449"/>
    </row>
    <row r="67" spans="1:4" ht="14.4">
      <c r="A67" s="405">
        <v>31</v>
      </c>
      <c r="B67" s="453" t="s">
        <v>619</v>
      </c>
      <c r="C67" s="464">
        <f>SUM(C54,C55,C56,C57,C58,C61,C62,C66)</f>
        <v>292213044.12999576</v>
      </c>
      <c r="D67" s="449"/>
    </row>
    <row r="68" spans="1:4" ht="14.4">
      <c r="A68" s="405">
        <v>32</v>
      </c>
      <c r="B68" s="416" t="s">
        <v>620</v>
      </c>
      <c r="C68" s="464">
        <f>SUM(C52,C67)</f>
        <v>2339065142.3627505</v>
      </c>
      <c r="D68" s="449"/>
    </row>
  </sheetData>
  <pageMargins left="0.7" right="0.7" top="0.75" bottom="0.75" header="0.3" footer="0.3"/>
  <pageSetup paperSize="9" orientation="portrait" horizontalDpi="4294967295" verticalDpi="4294967295" r:id="rId1"/>
  <ignoredErrors>
    <ignoredError sqref="C29 C46 C62"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C5" activePane="bottomRight" state="frozen"/>
      <selection activeCell="B9" sqref="B9"/>
      <selection pane="topRight" activeCell="B9" sqref="B9"/>
      <selection pane="bottomLeft" activeCell="B9" sqref="B9"/>
      <selection pane="bottomRight" activeCell="S11" sqref="S11"/>
    </sheetView>
  </sheetViews>
  <sheetFormatPr defaultColWidth="9.21875" defaultRowHeight="13.2"/>
  <cols>
    <col min="1" max="1" width="10.5546875" style="4" bestFit="1" customWidth="1"/>
    <col min="2" max="2" width="95" style="4" customWidth="1"/>
    <col min="3" max="3" width="13" style="4" bestFit="1" customWidth="1"/>
    <col min="4" max="4" width="16.44140625" style="4" bestFit="1" customWidth="1"/>
    <col min="5" max="5" width="13" style="4" bestFit="1" customWidth="1"/>
    <col min="6" max="6" width="16.44140625" style="4" bestFit="1" customWidth="1"/>
    <col min="7" max="7" width="13" style="4" bestFit="1" customWidth="1"/>
    <col min="8" max="8" width="13.21875" style="4" bestFit="1" customWidth="1"/>
    <col min="9" max="9" width="13" style="4" bestFit="1" customWidth="1"/>
    <col min="10" max="10" width="13.21875" style="4" bestFit="1" customWidth="1"/>
    <col min="11" max="11" width="14.109375" style="4" bestFit="1" customWidth="1"/>
    <col min="12" max="16" width="13" style="19" bestFit="1" customWidth="1"/>
    <col min="17" max="17" width="14.77734375" style="19" customWidth="1"/>
    <col min="18" max="18" width="13" style="19" bestFit="1" customWidth="1"/>
    <col min="19" max="19" width="34.77734375" style="19" customWidth="1"/>
    <col min="20" max="16384" width="9.21875" style="19"/>
  </cols>
  <sheetData>
    <row r="1" spans="1:19">
      <c r="A1" s="2" t="s">
        <v>30</v>
      </c>
      <c r="B1" s="3" t="str">
        <f>'Info '!C2</f>
        <v>JSC "CREDOBANK"</v>
      </c>
    </row>
    <row r="2" spans="1:19">
      <c r="A2" s="2" t="s">
        <v>31</v>
      </c>
      <c r="B2" s="336">
        <f>'1. key ratios '!B2</f>
        <v>45199</v>
      </c>
    </row>
    <row r="4" spans="1:19" ht="27" thickBot="1">
      <c r="A4" s="4" t="s">
        <v>146</v>
      </c>
      <c r="B4" s="204" t="s">
        <v>251</v>
      </c>
    </row>
    <row r="5" spans="1:19" s="192" customFormat="1" ht="13.8">
      <c r="A5" s="187"/>
      <c r="B5" s="188"/>
      <c r="C5" s="189" t="s">
        <v>0</v>
      </c>
      <c r="D5" s="189" t="s">
        <v>1</v>
      </c>
      <c r="E5" s="189" t="s">
        <v>2</v>
      </c>
      <c r="F5" s="189" t="s">
        <v>3</v>
      </c>
      <c r="G5" s="189" t="s">
        <v>4</v>
      </c>
      <c r="H5" s="189" t="s">
        <v>5</v>
      </c>
      <c r="I5" s="189" t="s">
        <v>8</v>
      </c>
      <c r="J5" s="189" t="s">
        <v>9</v>
      </c>
      <c r="K5" s="189" t="s">
        <v>10</v>
      </c>
      <c r="L5" s="189" t="s">
        <v>11</v>
      </c>
      <c r="M5" s="189" t="s">
        <v>12</v>
      </c>
      <c r="N5" s="189" t="s">
        <v>13</v>
      </c>
      <c r="O5" s="189" t="s">
        <v>235</v>
      </c>
      <c r="P5" s="189" t="s">
        <v>236</v>
      </c>
      <c r="Q5" s="189" t="s">
        <v>237</v>
      </c>
      <c r="R5" s="190" t="s">
        <v>238</v>
      </c>
      <c r="S5" s="191" t="s">
        <v>239</v>
      </c>
    </row>
    <row r="6" spans="1:19" s="192" customFormat="1" ht="99" customHeight="1">
      <c r="A6" s="193"/>
      <c r="B6" s="727" t="s">
        <v>240</v>
      </c>
      <c r="C6" s="723">
        <v>0</v>
      </c>
      <c r="D6" s="724"/>
      <c r="E6" s="723">
        <v>0.2</v>
      </c>
      <c r="F6" s="724"/>
      <c r="G6" s="723">
        <v>0.35</v>
      </c>
      <c r="H6" s="724"/>
      <c r="I6" s="723">
        <v>0.5</v>
      </c>
      <c r="J6" s="724"/>
      <c r="K6" s="723">
        <v>0.75</v>
      </c>
      <c r="L6" s="724"/>
      <c r="M6" s="723">
        <v>1</v>
      </c>
      <c r="N6" s="724"/>
      <c r="O6" s="723">
        <v>1.5</v>
      </c>
      <c r="P6" s="724"/>
      <c r="Q6" s="723">
        <v>2.5</v>
      </c>
      <c r="R6" s="724"/>
      <c r="S6" s="725" t="s">
        <v>145</v>
      </c>
    </row>
    <row r="7" spans="1:19" s="192" customFormat="1" ht="30.75" customHeight="1">
      <c r="A7" s="193"/>
      <c r="B7" s="728"/>
      <c r="C7" s="184" t="s">
        <v>148</v>
      </c>
      <c r="D7" s="184" t="s">
        <v>147</v>
      </c>
      <c r="E7" s="184" t="s">
        <v>148</v>
      </c>
      <c r="F7" s="184" t="s">
        <v>147</v>
      </c>
      <c r="G7" s="184" t="s">
        <v>148</v>
      </c>
      <c r="H7" s="184" t="s">
        <v>147</v>
      </c>
      <c r="I7" s="184" t="s">
        <v>148</v>
      </c>
      <c r="J7" s="184" t="s">
        <v>147</v>
      </c>
      <c r="K7" s="184" t="s">
        <v>148</v>
      </c>
      <c r="L7" s="184" t="s">
        <v>147</v>
      </c>
      <c r="M7" s="184" t="s">
        <v>148</v>
      </c>
      <c r="N7" s="184" t="s">
        <v>147</v>
      </c>
      <c r="O7" s="184" t="s">
        <v>148</v>
      </c>
      <c r="P7" s="184" t="s">
        <v>147</v>
      </c>
      <c r="Q7" s="184" t="s">
        <v>148</v>
      </c>
      <c r="R7" s="184" t="s">
        <v>147</v>
      </c>
      <c r="S7" s="726"/>
    </row>
    <row r="8" spans="1:19">
      <c r="A8" s="87">
        <v>1</v>
      </c>
      <c r="B8" s="1" t="s">
        <v>51</v>
      </c>
      <c r="C8" s="88">
        <v>104632779.22</v>
      </c>
      <c r="D8" s="88"/>
      <c r="E8" s="88"/>
      <c r="F8" s="88"/>
      <c r="G8" s="88"/>
      <c r="H8" s="88"/>
      <c r="I8" s="88"/>
      <c r="J8" s="88"/>
      <c r="K8" s="88"/>
      <c r="L8" s="88"/>
      <c r="M8" s="88">
        <v>44022955.329999998</v>
      </c>
      <c r="N8" s="88"/>
      <c r="O8" s="88"/>
      <c r="P8" s="88"/>
      <c r="Q8" s="88"/>
      <c r="R8" s="88"/>
      <c r="S8" s="205">
        <f>$C$6*SUM(C8:D8)+$E$6*SUM(E8:F8)+$G$6*SUM(G8:H8)+$I$6*SUM(I8:J8)+$K$6*SUM(K8:L8)+$M$6*SUM(M8:N8)+$O$6*SUM(O8:P8)+$Q$6*SUM(Q8:R8)</f>
        <v>44022955.329999998</v>
      </c>
    </row>
    <row r="9" spans="1:19">
      <c r="A9" s="87">
        <v>2</v>
      </c>
      <c r="B9" s="1" t="s">
        <v>52</v>
      </c>
      <c r="C9" s="88"/>
      <c r="D9" s="88"/>
      <c r="E9" s="88"/>
      <c r="F9" s="88"/>
      <c r="G9" s="88"/>
      <c r="H9" s="88"/>
      <c r="I9" s="88"/>
      <c r="J9" s="88"/>
      <c r="K9" s="88"/>
      <c r="L9" s="88"/>
      <c r="M9" s="88"/>
      <c r="N9" s="88"/>
      <c r="O9" s="88"/>
      <c r="P9" s="88"/>
      <c r="Q9" s="88"/>
      <c r="R9" s="88"/>
      <c r="S9" s="205">
        <f t="shared" ref="S9:S21" si="0">$C$6*SUM(C9:D9)+$E$6*SUM(E9:F9)+$G$6*SUM(G9:H9)+$I$6*SUM(I9:J9)+$K$6*SUM(K9:L9)+$M$6*SUM(M9:N9)+$O$6*SUM(O9:P9)+$Q$6*SUM(Q9:R9)</f>
        <v>0</v>
      </c>
    </row>
    <row r="10" spans="1:19">
      <c r="A10" s="87">
        <v>3</v>
      </c>
      <c r="B10" s="1" t="s">
        <v>164</v>
      </c>
      <c r="C10" s="88">
        <v>26130377.539999999</v>
      </c>
      <c r="D10" s="88"/>
      <c r="E10" s="88"/>
      <c r="F10" s="88"/>
      <c r="G10" s="88"/>
      <c r="H10" s="88"/>
      <c r="I10" s="88"/>
      <c r="J10" s="88"/>
      <c r="K10" s="88"/>
      <c r="L10" s="88"/>
      <c r="M10" s="88"/>
      <c r="N10" s="88"/>
      <c r="O10" s="88"/>
      <c r="P10" s="88"/>
      <c r="Q10" s="88"/>
      <c r="R10" s="88"/>
      <c r="S10" s="205">
        <f t="shared" si="0"/>
        <v>0</v>
      </c>
    </row>
    <row r="11" spans="1:19">
      <c r="A11" s="87">
        <v>4</v>
      </c>
      <c r="B11" s="1" t="s">
        <v>53</v>
      </c>
      <c r="C11" s="88"/>
      <c r="D11" s="88"/>
      <c r="E11" s="88"/>
      <c r="F11" s="88"/>
      <c r="G11" s="88"/>
      <c r="H11" s="88"/>
      <c r="I11" s="88"/>
      <c r="J11" s="88"/>
      <c r="K11" s="88"/>
      <c r="L11" s="88"/>
      <c r="M11" s="88"/>
      <c r="N11" s="88"/>
      <c r="O11" s="88"/>
      <c r="P11" s="88"/>
      <c r="Q11" s="88"/>
      <c r="R11" s="88"/>
      <c r="S11" s="205">
        <f t="shared" si="0"/>
        <v>0</v>
      </c>
    </row>
    <row r="12" spans="1:19">
      <c r="A12" s="87">
        <v>5</v>
      </c>
      <c r="B12" s="1" t="s">
        <v>54</v>
      </c>
      <c r="C12" s="88">
        <v>0</v>
      </c>
      <c r="D12" s="88"/>
      <c r="E12" s="88"/>
      <c r="F12" s="88"/>
      <c r="G12" s="88"/>
      <c r="H12" s="88"/>
      <c r="I12" s="88"/>
      <c r="J12" s="88"/>
      <c r="K12" s="88"/>
      <c r="L12" s="88"/>
      <c r="M12" s="88"/>
      <c r="N12" s="88"/>
      <c r="O12" s="88"/>
      <c r="P12" s="88"/>
      <c r="Q12" s="88"/>
      <c r="R12" s="88"/>
      <c r="S12" s="205">
        <f t="shared" si="0"/>
        <v>0</v>
      </c>
    </row>
    <row r="13" spans="1:19">
      <c r="A13" s="87">
        <v>6</v>
      </c>
      <c r="B13" s="1" t="s">
        <v>55</v>
      </c>
      <c r="C13" s="88"/>
      <c r="D13" s="88"/>
      <c r="E13" s="88">
        <v>71249173.660000011</v>
      </c>
      <c r="F13" s="88"/>
      <c r="G13" s="88"/>
      <c r="H13" s="88"/>
      <c r="I13" s="88">
        <v>37021226.259999998</v>
      </c>
      <c r="J13" s="88"/>
      <c r="K13" s="88"/>
      <c r="L13" s="88"/>
      <c r="M13" s="88">
        <v>99168.980000004172</v>
      </c>
      <c r="N13" s="88"/>
      <c r="O13" s="88"/>
      <c r="P13" s="88"/>
      <c r="Q13" s="88"/>
      <c r="R13" s="88"/>
      <c r="S13" s="205">
        <f t="shared" si="0"/>
        <v>32859616.842000008</v>
      </c>
    </row>
    <row r="14" spans="1:19">
      <c r="A14" s="87">
        <v>7</v>
      </c>
      <c r="B14" s="1" t="s">
        <v>56</v>
      </c>
      <c r="C14" s="88">
        <v>0</v>
      </c>
      <c r="D14" s="88"/>
      <c r="E14" s="88"/>
      <c r="F14" s="88"/>
      <c r="G14" s="88"/>
      <c r="H14" s="88"/>
      <c r="I14" s="88"/>
      <c r="J14" s="88"/>
      <c r="K14" s="88"/>
      <c r="L14" s="88"/>
      <c r="M14" s="88">
        <v>21068522.038969204</v>
      </c>
      <c r="N14" s="88">
        <v>1167789.5</v>
      </c>
      <c r="O14" s="88"/>
      <c r="P14" s="88"/>
      <c r="Q14" s="88"/>
      <c r="R14" s="88"/>
      <c r="S14" s="205">
        <f t="shared" si="0"/>
        <v>22236311.538969204</v>
      </c>
    </row>
    <row r="15" spans="1:19">
      <c r="A15" s="87">
        <v>8</v>
      </c>
      <c r="B15" s="1" t="s">
        <v>57</v>
      </c>
      <c r="C15" s="88"/>
      <c r="D15" s="88"/>
      <c r="E15" s="88"/>
      <c r="F15" s="88"/>
      <c r="G15" s="88"/>
      <c r="H15" s="88"/>
      <c r="I15" s="88"/>
      <c r="J15" s="88"/>
      <c r="K15" s="88">
        <v>1752212511.7415273</v>
      </c>
      <c r="L15" s="88">
        <v>22478211.769999996</v>
      </c>
      <c r="M15" s="88"/>
      <c r="N15" s="88"/>
      <c r="O15" s="88"/>
      <c r="P15" s="88"/>
      <c r="Q15" s="88"/>
      <c r="R15" s="88"/>
      <c r="S15" s="205">
        <f t="shared" si="0"/>
        <v>1331018042.6336455</v>
      </c>
    </row>
    <row r="16" spans="1:19">
      <c r="A16" s="87">
        <v>9</v>
      </c>
      <c r="B16" s="1" t="s">
        <v>58</v>
      </c>
      <c r="C16" s="88"/>
      <c r="D16" s="88"/>
      <c r="E16" s="88"/>
      <c r="F16" s="88"/>
      <c r="G16" s="88">
        <v>96693984.586147726</v>
      </c>
      <c r="H16" s="88"/>
      <c r="I16" s="88"/>
      <c r="J16" s="88"/>
      <c r="K16" s="88"/>
      <c r="L16" s="88"/>
      <c r="M16" s="88"/>
      <c r="N16" s="88"/>
      <c r="O16" s="88"/>
      <c r="P16" s="88"/>
      <c r="Q16" s="88"/>
      <c r="R16" s="88"/>
      <c r="S16" s="205">
        <f t="shared" si="0"/>
        <v>33842894.605151705</v>
      </c>
    </row>
    <row r="17" spans="1:19">
      <c r="A17" s="87">
        <v>10</v>
      </c>
      <c r="B17" s="1" t="s">
        <v>59</v>
      </c>
      <c r="C17" s="88"/>
      <c r="D17" s="88"/>
      <c r="E17" s="88"/>
      <c r="F17" s="88"/>
      <c r="G17" s="88"/>
      <c r="H17" s="88"/>
      <c r="I17" s="88">
        <v>40710.161221513292</v>
      </c>
      <c r="J17" s="88"/>
      <c r="K17" s="88"/>
      <c r="L17" s="88"/>
      <c r="M17" s="88">
        <v>2498558.5927987806</v>
      </c>
      <c r="N17" s="88"/>
      <c r="O17" s="88">
        <v>4209235.9250087412</v>
      </c>
      <c r="P17" s="88"/>
      <c r="Q17" s="88"/>
      <c r="R17" s="88"/>
      <c r="S17" s="205">
        <f t="shared" si="0"/>
        <v>8832767.5609226488</v>
      </c>
    </row>
    <row r="18" spans="1:19">
      <c r="A18" s="87">
        <v>11</v>
      </c>
      <c r="B18" s="1" t="s">
        <v>60</v>
      </c>
      <c r="C18" s="88"/>
      <c r="D18" s="88"/>
      <c r="E18" s="88"/>
      <c r="F18" s="88"/>
      <c r="G18" s="88"/>
      <c r="H18" s="88"/>
      <c r="I18" s="88"/>
      <c r="J18" s="88"/>
      <c r="K18" s="88"/>
      <c r="L18" s="88"/>
      <c r="M18" s="88"/>
      <c r="N18" s="88"/>
      <c r="O18" s="88"/>
      <c r="P18" s="88"/>
      <c r="Q18" s="88"/>
      <c r="R18" s="88"/>
      <c r="S18" s="205">
        <f t="shared" si="0"/>
        <v>0</v>
      </c>
    </row>
    <row r="19" spans="1:19">
      <c r="A19" s="87">
        <v>12</v>
      </c>
      <c r="B19" s="1" t="s">
        <v>61</v>
      </c>
      <c r="C19" s="88"/>
      <c r="D19" s="88"/>
      <c r="E19" s="88"/>
      <c r="F19" s="88"/>
      <c r="G19" s="88"/>
      <c r="H19" s="88"/>
      <c r="I19" s="88"/>
      <c r="J19" s="88"/>
      <c r="K19" s="88"/>
      <c r="L19" s="88"/>
      <c r="M19" s="88"/>
      <c r="N19" s="88"/>
      <c r="O19" s="88"/>
      <c r="P19" s="88"/>
      <c r="Q19" s="88"/>
      <c r="R19" s="88"/>
      <c r="S19" s="205">
        <f t="shared" si="0"/>
        <v>0</v>
      </c>
    </row>
    <row r="20" spans="1:19">
      <c r="A20" s="87">
        <v>13</v>
      </c>
      <c r="B20" s="1" t="s">
        <v>144</v>
      </c>
      <c r="C20" s="88"/>
      <c r="D20" s="88"/>
      <c r="E20" s="88"/>
      <c r="F20" s="88"/>
      <c r="G20" s="88"/>
      <c r="H20" s="88"/>
      <c r="I20" s="88"/>
      <c r="J20" s="88"/>
      <c r="K20" s="88"/>
      <c r="L20" s="88"/>
      <c r="M20" s="88"/>
      <c r="N20" s="88"/>
      <c r="O20" s="88"/>
      <c r="P20" s="88"/>
      <c r="Q20" s="88"/>
      <c r="R20" s="88"/>
      <c r="S20" s="205">
        <f t="shared" si="0"/>
        <v>0</v>
      </c>
    </row>
    <row r="21" spans="1:19">
      <c r="A21" s="87">
        <v>14</v>
      </c>
      <c r="B21" s="1" t="s">
        <v>63</v>
      </c>
      <c r="C21" s="88">
        <v>81533840.479999989</v>
      </c>
      <c r="D21" s="88"/>
      <c r="E21" s="88"/>
      <c r="F21" s="88"/>
      <c r="G21" s="88"/>
      <c r="H21" s="88"/>
      <c r="I21" s="88"/>
      <c r="J21" s="88"/>
      <c r="K21" s="88"/>
      <c r="L21" s="88"/>
      <c r="M21" s="88">
        <v>79020234.160000011</v>
      </c>
      <c r="N21" s="88"/>
      <c r="O21" s="88"/>
      <c r="P21" s="88"/>
      <c r="Q21" s="88"/>
      <c r="R21" s="88"/>
      <c r="S21" s="205">
        <f t="shared" si="0"/>
        <v>79020234.160000011</v>
      </c>
    </row>
    <row r="22" spans="1:19" ht="13.8" thickBot="1">
      <c r="A22" s="89"/>
      <c r="B22" s="90" t="s">
        <v>64</v>
      </c>
      <c r="C22" s="91">
        <f>SUM(C8:C21)</f>
        <v>212296997.23999998</v>
      </c>
      <c r="D22" s="91">
        <f t="shared" ref="D22:J22" si="1">SUM(D8:D21)</f>
        <v>0</v>
      </c>
      <c r="E22" s="91">
        <f t="shared" si="1"/>
        <v>71249173.660000011</v>
      </c>
      <c r="F22" s="91">
        <f t="shared" si="1"/>
        <v>0</v>
      </c>
      <c r="G22" s="91">
        <f t="shared" si="1"/>
        <v>96693984.586147726</v>
      </c>
      <c r="H22" s="91">
        <f t="shared" si="1"/>
        <v>0</v>
      </c>
      <c r="I22" s="91">
        <f t="shared" si="1"/>
        <v>37061936.42122151</v>
      </c>
      <c r="J22" s="91">
        <f t="shared" si="1"/>
        <v>0</v>
      </c>
      <c r="K22" s="91">
        <f t="shared" ref="K22:S22" si="2">SUM(K8:K21)</f>
        <v>1752212511.7415273</v>
      </c>
      <c r="L22" s="91">
        <f t="shared" si="2"/>
        <v>22478211.769999996</v>
      </c>
      <c r="M22" s="91">
        <f t="shared" si="2"/>
        <v>146709439.10176802</v>
      </c>
      <c r="N22" s="91">
        <f t="shared" si="2"/>
        <v>1167789.5</v>
      </c>
      <c r="O22" s="91">
        <f t="shared" si="2"/>
        <v>4209235.9250087412</v>
      </c>
      <c r="P22" s="91">
        <f t="shared" si="2"/>
        <v>0</v>
      </c>
      <c r="Q22" s="91">
        <f t="shared" si="2"/>
        <v>0</v>
      </c>
      <c r="R22" s="91">
        <f t="shared" si="2"/>
        <v>0</v>
      </c>
      <c r="S22" s="206">
        <f t="shared" si="2"/>
        <v>1551832822.6706891</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B2" sqref="B2"/>
    </sheetView>
  </sheetViews>
  <sheetFormatPr defaultColWidth="9.21875" defaultRowHeight="13.2"/>
  <cols>
    <col min="1" max="1" width="10.5546875" style="4" bestFit="1" customWidth="1"/>
    <col min="2" max="2" width="63.77734375" style="4" bestFit="1" customWidth="1"/>
    <col min="3" max="3" width="19" style="4" customWidth="1"/>
    <col min="4" max="4" width="19.5546875" style="4" customWidth="1"/>
    <col min="5" max="5" width="31.21875" style="4" customWidth="1"/>
    <col min="6" max="6" width="29.21875" style="4" customWidth="1"/>
    <col min="7" max="7" width="28.5546875" style="4" customWidth="1"/>
    <col min="8" max="8" width="26.44140625" style="4" customWidth="1"/>
    <col min="9" max="9" width="23.77734375" style="4" customWidth="1"/>
    <col min="10" max="10" width="21.5546875" style="4" customWidth="1"/>
    <col min="11" max="11" width="15.77734375" style="4" customWidth="1"/>
    <col min="12" max="12" width="13.21875" style="4" customWidth="1"/>
    <col min="13" max="13" width="20.77734375" style="4" customWidth="1"/>
    <col min="14" max="14" width="19.21875" style="4" customWidth="1"/>
    <col min="15" max="15" width="18.44140625" style="4" customWidth="1"/>
    <col min="16" max="16" width="19" style="4" customWidth="1"/>
    <col min="17" max="17" width="20.21875" style="4" customWidth="1"/>
    <col min="18" max="18" width="18" style="4" customWidth="1"/>
    <col min="19" max="19" width="36" style="4" customWidth="1"/>
    <col min="20" max="20" width="26.21875" style="4" customWidth="1"/>
    <col min="21" max="21" width="24.77734375" style="4" customWidth="1"/>
    <col min="22" max="22" width="20" style="4" customWidth="1"/>
    <col min="23" max="16384" width="9.21875" style="19"/>
  </cols>
  <sheetData>
    <row r="1" spans="1:22">
      <c r="A1" s="2" t="s">
        <v>30</v>
      </c>
      <c r="B1" s="3" t="str">
        <f>'Info '!C2</f>
        <v>JSC "CREDOBANK"</v>
      </c>
    </row>
    <row r="2" spans="1:22">
      <c r="A2" s="2" t="s">
        <v>31</v>
      </c>
      <c r="B2" s="336">
        <f>'1. key ratios '!B2</f>
        <v>45199</v>
      </c>
    </row>
    <row r="4" spans="1:22" ht="13.8" thickBot="1">
      <c r="A4" s="4" t="s">
        <v>243</v>
      </c>
      <c r="B4" s="92" t="s">
        <v>50</v>
      </c>
      <c r="V4" s="20" t="s">
        <v>35</v>
      </c>
    </row>
    <row r="5" spans="1:22" ht="12.75" customHeight="1">
      <c r="A5" s="93"/>
      <c r="B5" s="94"/>
      <c r="C5" s="729" t="s">
        <v>169</v>
      </c>
      <c r="D5" s="730"/>
      <c r="E5" s="730"/>
      <c r="F5" s="730"/>
      <c r="G5" s="730"/>
      <c r="H5" s="730"/>
      <c r="I5" s="730"/>
      <c r="J5" s="730"/>
      <c r="K5" s="730"/>
      <c r="L5" s="731"/>
      <c r="M5" s="732" t="s">
        <v>170</v>
      </c>
      <c r="N5" s="733"/>
      <c r="O5" s="733"/>
      <c r="P5" s="733"/>
      <c r="Q5" s="733"/>
      <c r="R5" s="733"/>
      <c r="S5" s="734"/>
      <c r="T5" s="737" t="s">
        <v>241</v>
      </c>
      <c r="U5" s="737" t="s">
        <v>242</v>
      </c>
      <c r="V5" s="735" t="s">
        <v>76</v>
      </c>
    </row>
    <row r="6" spans="1:22" s="49" customFormat="1" ht="105.6">
      <c r="A6" s="47"/>
      <c r="B6" s="95"/>
      <c r="C6" s="96" t="s">
        <v>65</v>
      </c>
      <c r="D6" s="168" t="s">
        <v>66</v>
      </c>
      <c r="E6" s="122" t="s">
        <v>172</v>
      </c>
      <c r="F6" s="122" t="s">
        <v>173</v>
      </c>
      <c r="G6" s="168" t="s">
        <v>176</v>
      </c>
      <c r="H6" s="168" t="s">
        <v>171</v>
      </c>
      <c r="I6" s="168" t="s">
        <v>67</v>
      </c>
      <c r="J6" s="168" t="s">
        <v>68</v>
      </c>
      <c r="K6" s="97" t="s">
        <v>69</v>
      </c>
      <c r="L6" s="98" t="s">
        <v>70</v>
      </c>
      <c r="M6" s="96" t="s">
        <v>174</v>
      </c>
      <c r="N6" s="97" t="s">
        <v>71</v>
      </c>
      <c r="O6" s="97" t="s">
        <v>72</v>
      </c>
      <c r="P6" s="97" t="s">
        <v>73</v>
      </c>
      <c r="Q6" s="97" t="s">
        <v>74</v>
      </c>
      <c r="R6" s="97" t="s">
        <v>75</v>
      </c>
      <c r="S6" s="186" t="s">
        <v>175</v>
      </c>
      <c r="T6" s="738"/>
      <c r="U6" s="738"/>
      <c r="V6" s="736"/>
    </row>
    <row r="7" spans="1:22">
      <c r="A7" s="99">
        <v>1</v>
      </c>
      <c r="B7" s="1" t="s">
        <v>51</v>
      </c>
      <c r="C7" s="100"/>
      <c r="D7" s="88"/>
      <c r="E7" s="88"/>
      <c r="F7" s="88"/>
      <c r="G7" s="88"/>
      <c r="H7" s="88"/>
      <c r="I7" s="88"/>
      <c r="J7" s="88"/>
      <c r="K7" s="88"/>
      <c r="L7" s="101"/>
      <c r="M7" s="100"/>
      <c r="N7" s="88"/>
      <c r="O7" s="88"/>
      <c r="P7" s="88"/>
      <c r="Q7" s="88"/>
      <c r="R7" s="88"/>
      <c r="S7" s="101"/>
      <c r="T7" s="194"/>
      <c r="U7" s="194"/>
      <c r="V7" s="102">
        <f>SUM(C7:S7)</f>
        <v>0</v>
      </c>
    </row>
    <row r="8" spans="1:22">
      <c r="A8" s="99">
        <v>2</v>
      </c>
      <c r="B8" s="1" t="s">
        <v>52</v>
      </c>
      <c r="C8" s="100"/>
      <c r="D8" s="88"/>
      <c r="E8" s="88"/>
      <c r="F8" s="88"/>
      <c r="G8" s="88"/>
      <c r="H8" s="88"/>
      <c r="I8" s="88"/>
      <c r="J8" s="88"/>
      <c r="K8" s="88"/>
      <c r="L8" s="101"/>
      <c r="M8" s="100"/>
      <c r="N8" s="88"/>
      <c r="O8" s="88"/>
      <c r="P8" s="88"/>
      <c r="Q8" s="88"/>
      <c r="R8" s="88"/>
      <c r="S8" s="101"/>
      <c r="T8" s="194"/>
      <c r="U8" s="194"/>
      <c r="V8" s="102">
        <f t="shared" ref="V8:V20" si="0">SUM(C8:S8)</f>
        <v>0</v>
      </c>
    </row>
    <row r="9" spans="1:22">
      <c r="A9" s="99">
        <v>3</v>
      </c>
      <c r="B9" s="1" t="s">
        <v>165</v>
      </c>
      <c r="C9" s="100"/>
      <c r="D9" s="88"/>
      <c r="E9" s="88"/>
      <c r="F9" s="88"/>
      <c r="G9" s="88"/>
      <c r="H9" s="88"/>
      <c r="I9" s="88"/>
      <c r="J9" s="88"/>
      <c r="K9" s="88"/>
      <c r="L9" s="101"/>
      <c r="M9" s="100"/>
      <c r="N9" s="88"/>
      <c r="O9" s="88"/>
      <c r="P9" s="88"/>
      <c r="Q9" s="88"/>
      <c r="R9" s="88"/>
      <c r="S9" s="101"/>
      <c r="T9" s="194"/>
      <c r="U9" s="194"/>
      <c r="V9" s="102">
        <f t="shared" si="0"/>
        <v>0</v>
      </c>
    </row>
    <row r="10" spans="1:22">
      <c r="A10" s="99">
        <v>4</v>
      </c>
      <c r="B10" s="1" t="s">
        <v>53</v>
      </c>
      <c r="C10" s="100"/>
      <c r="D10" s="88"/>
      <c r="E10" s="88"/>
      <c r="F10" s="88"/>
      <c r="G10" s="88"/>
      <c r="H10" s="88"/>
      <c r="I10" s="88"/>
      <c r="J10" s="88"/>
      <c r="K10" s="88"/>
      <c r="L10" s="101"/>
      <c r="M10" s="100"/>
      <c r="N10" s="88"/>
      <c r="O10" s="88"/>
      <c r="P10" s="88"/>
      <c r="Q10" s="88"/>
      <c r="R10" s="88"/>
      <c r="S10" s="101"/>
      <c r="T10" s="194"/>
      <c r="U10" s="194"/>
      <c r="V10" s="102">
        <f t="shared" si="0"/>
        <v>0</v>
      </c>
    </row>
    <row r="11" spans="1:22">
      <c r="A11" s="99">
        <v>5</v>
      </c>
      <c r="B11" s="1" t="s">
        <v>54</v>
      </c>
      <c r="C11" s="100"/>
      <c r="D11" s="88"/>
      <c r="E11" s="88"/>
      <c r="F11" s="88"/>
      <c r="G11" s="88"/>
      <c r="H11" s="88"/>
      <c r="I11" s="88"/>
      <c r="J11" s="88"/>
      <c r="K11" s="88"/>
      <c r="L11" s="101"/>
      <c r="M11" s="100"/>
      <c r="N11" s="88"/>
      <c r="O11" s="88"/>
      <c r="P11" s="88"/>
      <c r="Q11" s="88"/>
      <c r="R11" s="88"/>
      <c r="S11" s="101"/>
      <c r="T11" s="194"/>
      <c r="U11" s="194"/>
      <c r="V11" s="102">
        <f t="shared" si="0"/>
        <v>0</v>
      </c>
    </row>
    <row r="12" spans="1:22">
      <c r="A12" s="99">
        <v>6</v>
      </c>
      <c r="B12" s="1" t="s">
        <v>55</v>
      </c>
      <c r="C12" s="100"/>
      <c r="D12" s="88"/>
      <c r="E12" s="88"/>
      <c r="F12" s="88"/>
      <c r="G12" s="88"/>
      <c r="H12" s="88"/>
      <c r="I12" s="88"/>
      <c r="J12" s="88"/>
      <c r="K12" s="88"/>
      <c r="L12" s="101"/>
      <c r="M12" s="100"/>
      <c r="N12" s="88"/>
      <c r="O12" s="88"/>
      <c r="P12" s="88"/>
      <c r="Q12" s="88"/>
      <c r="R12" s="88"/>
      <c r="S12" s="101"/>
      <c r="T12" s="194"/>
      <c r="U12" s="194"/>
      <c r="V12" s="102">
        <f t="shared" si="0"/>
        <v>0</v>
      </c>
    </row>
    <row r="13" spans="1:22">
      <c r="A13" s="99">
        <v>7</v>
      </c>
      <c r="B13" s="1" t="s">
        <v>56</v>
      </c>
      <c r="C13" s="100"/>
      <c r="D13" s="88"/>
      <c r="E13" s="88"/>
      <c r="F13" s="88"/>
      <c r="G13" s="88"/>
      <c r="H13" s="88"/>
      <c r="I13" s="88"/>
      <c r="J13" s="88"/>
      <c r="K13" s="88"/>
      <c r="L13" s="101"/>
      <c r="M13" s="100"/>
      <c r="N13" s="88"/>
      <c r="O13" s="88"/>
      <c r="P13" s="88"/>
      <c r="Q13" s="88"/>
      <c r="R13" s="88"/>
      <c r="S13" s="101"/>
      <c r="T13" s="194"/>
      <c r="U13" s="194"/>
      <c r="V13" s="102">
        <f t="shared" si="0"/>
        <v>0</v>
      </c>
    </row>
    <row r="14" spans="1:22">
      <c r="A14" s="99">
        <v>8</v>
      </c>
      <c r="B14" s="1" t="s">
        <v>57</v>
      </c>
      <c r="C14" s="100"/>
      <c r="D14" s="88"/>
      <c r="E14" s="88"/>
      <c r="F14" s="88"/>
      <c r="G14" s="88"/>
      <c r="H14" s="88"/>
      <c r="I14" s="88"/>
      <c r="J14" s="88"/>
      <c r="K14" s="88"/>
      <c r="L14" s="101"/>
      <c r="M14" s="100"/>
      <c r="N14" s="88"/>
      <c r="O14" s="88"/>
      <c r="P14" s="88"/>
      <c r="Q14" s="88"/>
      <c r="R14" s="88"/>
      <c r="S14" s="101"/>
      <c r="T14" s="194"/>
      <c r="U14" s="194"/>
      <c r="V14" s="102">
        <f t="shared" si="0"/>
        <v>0</v>
      </c>
    </row>
    <row r="15" spans="1:22">
      <c r="A15" s="99">
        <v>9</v>
      </c>
      <c r="B15" s="1" t="s">
        <v>58</v>
      </c>
      <c r="C15" s="100"/>
      <c r="D15" s="88"/>
      <c r="E15" s="88"/>
      <c r="F15" s="88"/>
      <c r="G15" s="88"/>
      <c r="H15" s="88"/>
      <c r="I15" s="88"/>
      <c r="J15" s="88"/>
      <c r="K15" s="88"/>
      <c r="L15" s="101"/>
      <c r="M15" s="100"/>
      <c r="N15" s="88"/>
      <c r="O15" s="88"/>
      <c r="P15" s="88"/>
      <c r="Q15" s="88"/>
      <c r="R15" s="88"/>
      <c r="S15" s="101"/>
      <c r="T15" s="194"/>
      <c r="U15" s="194"/>
      <c r="V15" s="102">
        <f t="shared" si="0"/>
        <v>0</v>
      </c>
    </row>
    <row r="16" spans="1:22">
      <c r="A16" s="99">
        <v>10</v>
      </c>
      <c r="B16" s="1" t="s">
        <v>59</v>
      </c>
      <c r="C16" s="100"/>
      <c r="D16" s="88"/>
      <c r="E16" s="88"/>
      <c r="F16" s="88"/>
      <c r="G16" s="88"/>
      <c r="H16" s="88"/>
      <c r="I16" s="88"/>
      <c r="J16" s="88"/>
      <c r="K16" s="88"/>
      <c r="L16" s="101"/>
      <c r="M16" s="100"/>
      <c r="N16" s="88"/>
      <c r="O16" s="88"/>
      <c r="P16" s="88"/>
      <c r="Q16" s="88"/>
      <c r="R16" s="88"/>
      <c r="S16" s="101"/>
      <c r="T16" s="194"/>
      <c r="U16" s="194"/>
      <c r="V16" s="102">
        <f t="shared" si="0"/>
        <v>0</v>
      </c>
    </row>
    <row r="17" spans="1:22">
      <c r="A17" s="99">
        <v>11</v>
      </c>
      <c r="B17" s="1" t="s">
        <v>60</v>
      </c>
      <c r="C17" s="100"/>
      <c r="D17" s="88"/>
      <c r="E17" s="88"/>
      <c r="F17" s="88"/>
      <c r="G17" s="88"/>
      <c r="H17" s="88"/>
      <c r="I17" s="88"/>
      <c r="J17" s="88"/>
      <c r="K17" s="88"/>
      <c r="L17" s="101"/>
      <c r="M17" s="100"/>
      <c r="N17" s="88"/>
      <c r="O17" s="88"/>
      <c r="P17" s="88"/>
      <c r="Q17" s="88"/>
      <c r="R17" s="88"/>
      <c r="S17" s="101"/>
      <c r="T17" s="194"/>
      <c r="U17" s="194"/>
      <c r="V17" s="102">
        <f t="shared" si="0"/>
        <v>0</v>
      </c>
    </row>
    <row r="18" spans="1:22">
      <c r="A18" s="99">
        <v>12</v>
      </c>
      <c r="B18" s="1" t="s">
        <v>61</v>
      </c>
      <c r="C18" s="100"/>
      <c r="D18" s="88"/>
      <c r="E18" s="88"/>
      <c r="F18" s="88"/>
      <c r="G18" s="88"/>
      <c r="H18" s="88"/>
      <c r="I18" s="88"/>
      <c r="J18" s="88"/>
      <c r="K18" s="88"/>
      <c r="L18" s="101"/>
      <c r="M18" s="100"/>
      <c r="N18" s="88"/>
      <c r="O18" s="88"/>
      <c r="P18" s="88"/>
      <c r="Q18" s="88"/>
      <c r="R18" s="88"/>
      <c r="S18" s="101"/>
      <c r="T18" s="194"/>
      <c r="U18" s="194"/>
      <c r="V18" s="102">
        <f t="shared" si="0"/>
        <v>0</v>
      </c>
    </row>
    <row r="19" spans="1:22">
      <c r="A19" s="99">
        <v>13</v>
      </c>
      <c r="B19" s="1" t="s">
        <v>62</v>
      </c>
      <c r="C19" s="100"/>
      <c r="D19" s="88"/>
      <c r="E19" s="88"/>
      <c r="F19" s="88"/>
      <c r="G19" s="88"/>
      <c r="H19" s="88"/>
      <c r="I19" s="88"/>
      <c r="J19" s="88"/>
      <c r="K19" s="88"/>
      <c r="L19" s="101"/>
      <c r="M19" s="100"/>
      <c r="N19" s="88"/>
      <c r="O19" s="88"/>
      <c r="P19" s="88"/>
      <c r="Q19" s="88"/>
      <c r="R19" s="88"/>
      <c r="S19" s="101"/>
      <c r="T19" s="194"/>
      <c r="U19" s="194"/>
      <c r="V19" s="102">
        <f t="shared" si="0"/>
        <v>0</v>
      </c>
    </row>
    <row r="20" spans="1:22">
      <c r="A20" s="99">
        <v>14</v>
      </c>
      <c r="B20" s="1" t="s">
        <v>63</v>
      </c>
      <c r="C20" s="100"/>
      <c r="D20" s="88"/>
      <c r="E20" s="88"/>
      <c r="F20" s="88"/>
      <c r="G20" s="88"/>
      <c r="H20" s="88"/>
      <c r="I20" s="88"/>
      <c r="J20" s="88"/>
      <c r="K20" s="88"/>
      <c r="L20" s="101"/>
      <c r="M20" s="100"/>
      <c r="N20" s="88"/>
      <c r="O20" s="88"/>
      <c r="P20" s="88"/>
      <c r="Q20" s="88"/>
      <c r="R20" s="88"/>
      <c r="S20" s="101"/>
      <c r="T20" s="194"/>
      <c r="U20" s="194"/>
      <c r="V20" s="102">
        <f t="shared" si="0"/>
        <v>0</v>
      </c>
    </row>
    <row r="21" spans="1:22" ht="13.8" thickBot="1">
      <c r="A21" s="89"/>
      <c r="B21" s="103" t="s">
        <v>64</v>
      </c>
      <c r="C21" s="104">
        <f>SUM(C7:C20)</f>
        <v>0</v>
      </c>
      <c r="D21" s="91">
        <f t="shared" ref="D21:V21" si="1">SUM(D7:D20)</f>
        <v>0</v>
      </c>
      <c r="E21" s="91">
        <f t="shared" si="1"/>
        <v>0</v>
      </c>
      <c r="F21" s="91">
        <f t="shared" si="1"/>
        <v>0</v>
      </c>
      <c r="G21" s="91">
        <f t="shared" si="1"/>
        <v>0</v>
      </c>
      <c r="H21" s="91">
        <f t="shared" si="1"/>
        <v>0</v>
      </c>
      <c r="I21" s="91">
        <f t="shared" si="1"/>
        <v>0</v>
      </c>
      <c r="J21" s="91">
        <f t="shared" si="1"/>
        <v>0</v>
      </c>
      <c r="K21" s="91">
        <f t="shared" si="1"/>
        <v>0</v>
      </c>
      <c r="L21" s="105">
        <f t="shared" si="1"/>
        <v>0</v>
      </c>
      <c r="M21" s="104">
        <f t="shared" si="1"/>
        <v>0</v>
      </c>
      <c r="N21" s="91">
        <f t="shared" si="1"/>
        <v>0</v>
      </c>
      <c r="O21" s="91">
        <f t="shared" si="1"/>
        <v>0</v>
      </c>
      <c r="P21" s="91">
        <f t="shared" si="1"/>
        <v>0</v>
      </c>
      <c r="Q21" s="91">
        <f t="shared" si="1"/>
        <v>0</v>
      </c>
      <c r="R21" s="91">
        <f t="shared" si="1"/>
        <v>0</v>
      </c>
      <c r="S21" s="105">
        <f>SUM(S7:S20)</f>
        <v>0</v>
      </c>
      <c r="T21" s="105">
        <f>SUM(T7:T20)</f>
        <v>0</v>
      </c>
      <c r="U21" s="105">
        <f t="shared" ref="U21" si="2">SUM(U7:U20)</f>
        <v>0</v>
      </c>
      <c r="V21" s="106">
        <f t="shared" si="1"/>
        <v>0</v>
      </c>
    </row>
    <row r="24" spans="1:22">
      <c r="C24" s="27"/>
      <c r="D24" s="27"/>
      <c r="E24" s="27"/>
    </row>
    <row r="25" spans="1:22">
      <c r="A25" s="46"/>
      <c r="B25" s="46"/>
      <c r="D25" s="27"/>
      <c r="E25" s="27"/>
    </row>
    <row r="26" spans="1:22">
      <c r="A26" s="46"/>
      <c r="B26" s="28"/>
      <c r="D26" s="27"/>
      <c r="E26" s="27"/>
    </row>
    <row r="27" spans="1:22">
      <c r="A27" s="46"/>
      <c r="B27" s="46"/>
      <c r="D27" s="27"/>
      <c r="E27" s="27"/>
    </row>
    <row r="28" spans="1:22">
      <c r="A28" s="46"/>
      <c r="B28" s="28"/>
      <c r="D28" s="27"/>
      <c r="E28" s="2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90" zoomScaleNormal="90" workbookViewId="0">
      <pane xSplit="1" ySplit="7" topLeftCell="B8" activePane="bottomRight" state="frozen"/>
      <selection activeCell="B9" sqref="B9"/>
      <selection pane="topRight" activeCell="B9" sqref="B9"/>
      <selection pane="bottomLeft" activeCell="B9" sqref="B9"/>
      <selection pane="bottomRight" activeCell="I20" sqref="I20"/>
    </sheetView>
  </sheetViews>
  <sheetFormatPr defaultColWidth="9.21875" defaultRowHeight="13.8"/>
  <cols>
    <col min="1" max="1" width="10.5546875" style="4" bestFit="1" customWidth="1"/>
    <col min="2" max="2" width="101.77734375" style="4" customWidth="1"/>
    <col min="3" max="3" width="13.77734375" style="173" customWidth="1"/>
    <col min="4" max="4" width="14.77734375" style="173" bestFit="1" customWidth="1"/>
    <col min="5" max="5" width="17.77734375" style="173" customWidth="1"/>
    <col min="6" max="6" width="15.77734375" style="173" customWidth="1"/>
    <col min="7" max="7" width="17.44140625" style="173" customWidth="1"/>
    <col min="8" max="8" width="15.21875" style="173" customWidth="1"/>
    <col min="9" max="16384" width="9.21875" style="19"/>
  </cols>
  <sheetData>
    <row r="1" spans="1:9">
      <c r="A1" s="2" t="s">
        <v>30</v>
      </c>
      <c r="B1" s="4" t="str">
        <f>'Info '!C2</f>
        <v>JSC "CREDOBANK"</v>
      </c>
      <c r="C1" s="3"/>
    </row>
    <row r="2" spans="1:9">
      <c r="A2" s="2" t="s">
        <v>31</v>
      </c>
      <c r="B2" s="336">
        <f>'1. key ratios '!B2</f>
        <v>45199</v>
      </c>
      <c r="C2" s="336"/>
    </row>
    <row r="4" spans="1:9" ht="14.4" thickBot="1">
      <c r="A4" s="2" t="s">
        <v>150</v>
      </c>
      <c r="B4" s="92" t="s">
        <v>252</v>
      </c>
    </row>
    <row r="5" spans="1:9">
      <c r="A5" s="93"/>
      <c r="B5" s="107"/>
      <c r="C5" s="195" t="s">
        <v>0</v>
      </c>
      <c r="D5" s="195" t="s">
        <v>1</v>
      </c>
      <c r="E5" s="195" t="s">
        <v>2</v>
      </c>
      <c r="F5" s="195" t="s">
        <v>3</v>
      </c>
      <c r="G5" s="196" t="s">
        <v>4</v>
      </c>
      <c r="H5" s="197" t="s">
        <v>5</v>
      </c>
      <c r="I5" s="108"/>
    </row>
    <row r="6" spans="1:9" s="108" customFormat="1" ht="12.75" customHeight="1">
      <c r="A6" s="109"/>
      <c r="B6" s="741" t="s">
        <v>149</v>
      </c>
      <c r="C6" s="727" t="s">
        <v>245</v>
      </c>
      <c r="D6" s="743" t="s">
        <v>244</v>
      </c>
      <c r="E6" s="744"/>
      <c r="F6" s="727" t="s">
        <v>249</v>
      </c>
      <c r="G6" s="727" t="s">
        <v>250</v>
      </c>
      <c r="H6" s="739" t="s">
        <v>248</v>
      </c>
    </row>
    <row r="7" spans="1:9" ht="41.4">
      <c r="A7" s="111"/>
      <c r="B7" s="742"/>
      <c r="C7" s="728"/>
      <c r="D7" s="198" t="s">
        <v>247</v>
      </c>
      <c r="E7" s="198" t="s">
        <v>246</v>
      </c>
      <c r="F7" s="728"/>
      <c r="G7" s="728"/>
      <c r="H7" s="740"/>
      <c r="I7" s="108"/>
    </row>
    <row r="8" spans="1:9">
      <c r="A8" s="109">
        <v>1</v>
      </c>
      <c r="B8" s="1" t="s">
        <v>51</v>
      </c>
      <c r="C8" s="199">
        <v>148655734.55000001</v>
      </c>
      <c r="D8" s="199"/>
      <c r="E8" s="199"/>
      <c r="F8" s="199">
        <v>44022955.329999998</v>
      </c>
      <c r="G8" s="200">
        <v>44022955.329999998</v>
      </c>
      <c r="H8" s="202">
        <f>IFERROR(G8/(C8+E8),"")</f>
        <v>0.29614031011493192</v>
      </c>
    </row>
    <row r="9" spans="1:9" ht="15" customHeight="1">
      <c r="A9" s="109">
        <v>2</v>
      </c>
      <c r="B9" s="1" t="s">
        <v>52</v>
      </c>
      <c r="C9" s="199"/>
      <c r="D9" s="199"/>
      <c r="E9" s="199"/>
      <c r="F9" s="199"/>
      <c r="G9" s="200"/>
      <c r="H9" s="202" t="str">
        <f t="shared" ref="H9:H21" si="0">IFERROR(G9/(C9+E9),"")</f>
        <v/>
      </c>
    </row>
    <row r="10" spans="1:9">
      <c r="A10" s="109">
        <v>3</v>
      </c>
      <c r="B10" s="1" t="s">
        <v>165</v>
      </c>
      <c r="C10" s="199">
        <v>26130377.539999999</v>
      </c>
      <c r="D10" s="199"/>
      <c r="E10" s="199"/>
      <c r="F10" s="199">
        <v>0</v>
      </c>
      <c r="G10" s="200">
        <v>0</v>
      </c>
      <c r="H10" s="202">
        <f t="shared" si="0"/>
        <v>0</v>
      </c>
    </row>
    <row r="11" spans="1:9">
      <c r="A11" s="109">
        <v>4</v>
      </c>
      <c r="B11" s="1" t="s">
        <v>53</v>
      </c>
      <c r="C11" s="199"/>
      <c r="D11" s="199"/>
      <c r="E11" s="199"/>
      <c r="F11" s="199"/>
      <c r="G11" s="200"/>
      <c r="H11" s="202" t="str">
        <f t="shared" si="0"/>
        <v/>
      </c>
    </row>
    <row r="12" spans="1:9">
      <c r="A12" s="109">
        <v>5</v>
      </c>
      <c r="B12" s="1" t="s">
        <v>54</v>
      </c>
      <c r="C12" s="199"/>
      <c r="D12" s="199"/>
      <c r="E12" s="199"/>
      <c r="F12" s="199"/>
      <c r="G12" s="200"/>
      <c r="H12" s="202" t="str">
        <f t="shared" si="0"/>
        <v/>
      </c>
    </row>
    <row r="13" spans="1:9">
      <c r="A13" s="109">
        <v>6</v>
      </c>
      <c r="B13" s="1" t="s">
        <v>55</v>
      </c>
      <c r="C13" s="199">
        <v>108369568.90000002</v>
      </c>
      <c r="D13" s="199"/>
      <c r="E13" s="199"/>
      <c r="F13" s="199">
        <v>32859616.842000008</v>
      </c>
      <c r="G13" s="200">
        <v>32859616.842000008</v>
      </c>
      <c r="H13" s="202">
        <f t="shared" si="0"/>
        <v>0.30321811903046153</v>
      </c>
    </row>
    <row r="14" spans="1:9">
      <c r="A14" s="109">
        <v>7</v>
      </c>
      <c r="B14" s="1" t="s">
        <v>56</v>
      </c>
      <c r="C14" s="199">
        <v>21068522.038969204</v>
      </c>
      <c r="D14" s="199">
        <v>2335579</v>
      </c>
      <c r="E14" s="199">
        <v>1167789.5</v>
      </c>
      <c r="F14" s="199">
        <v>22236311.538969204</v>
      </c>
      <c r="G14" s="200">
        <v>22236311.538969204</v>
      </c>
      <c r="H14" s="202">
        <f t="shared" si="0"/>
        <v>1</v>
      </c>
    </row>
    <row r="15" spans="1:9">
      <c r="A15" s="109">
        <v>8</v>
      </c>
      <c r="B15" s="1" t="s">
        <v>57</v>
      </c>
      <c r="C15" s="199">
        <v>1752212511.7415273</v>
      </c>
      <c r="D15" s="199">
        <v>48217748.61999999</v>
      </c>
      <c r="E15" s="199">
        <v>22478211.769999996</v>
      </c>
      <c r="F15" s="199">
        <v>1331018042.6336455</v>
      </c>
      <c r="G15" s="200">
        <v>1331018042.6336455</v>
      </c>
      <c r="H15" s="202">
        <f t="shared" si="0"/>
        <v>0.75</v>
      </c>
    </row>
    <row r="16" spans="1:9">
      <c r="A16" s="109">
        <v>9</v>
      </c>
      <c r="B16" s="1" t="s">
        <v>58</v>
      </c>
      <c r="C16" s="199">
        <v>96693984.586147726</v>
      </c>
      <c r="D16" s="199"/>
      <c r="E16" s="199"/>
      <c r="F16" s="199">
        <v>33842894.605151705</v>
      </c>
      <c r="G16" s="200">
        <v>33842894.605151705</v>
      </c>
      <c r="H16" s="202">
        <f t="shared" si="0"/>
        <v>0.35000000000000003</v>
      </c>
    </row>
    <row r="17" spans="1:8">
      <c r="A17" s="109">
        <v>10</v>
      </c>
      <c r="B17" s="1" t="s">
        <v>59</v>
      </c>
      <c r="C17" s="199">
        <v>6748504.6790290354</v>
      </c>
      <c r="D17" s="199"/>
      <c r="E17" s="199"/>
      <c r="F17" s="199">
        <v>8832767.5609226488</v>
      </c>
      <c r="G17" s="200">
        <v>8832767.5609226488</v>
      </c>
      <c r="H17" s="202">
        <f t="shared" si="0"/>
        <v>1.3088481050284304</v>
      </c>
    </row>
    <row r="18" spans="1:8">
      <c r="A18" s="109">
        <v>11</v>
      </c>
      <c r="B18" s="1" t="s">
        <v>60</v>
      </c>
      <c r="C18" s="199"/>
      <c r="D18" s="199"/>
      <c r="E18" s="199"/>
      <c r="F18" s="199"/>
      <c r="G18" s="200"/>
      <c r="H18" s="202" t="str">
        <f t="shared" si="0"/>
        <v/>
      </c>
    </row>
    <row r="19" spans="1:8">
      <c r="A19" s="109">
        <v>12</v>
      </c>
      <c r="B19" s="1" t="s">
        <v>61</v>
      </c>
      <c r="C19" s="199"/>
      <c r="D19" s="199"/>
      <c r="E19" s="199"/>
      <c r="F19" s="199"/>
      <c r="G19" s="200"/>
      <c r="H19" s="202" t="str">
        <f t="shared" si="0"/>
        <v/>
      </c>
    </row>
    <row r="20" spans="1:8">
      <c r="A20" s="109">
        <v>13</v>
      </c>
      <c r="B20" s="1" t="s">
        <v>144</v>
      </c>
      <c r="C20" s="199"/>
      <c r="D20" s="199"/>
      <c r="E20" s="199"/>
      <c r="F20" s="199"/>
      <c r="G20" s="200"/>
      <c r="H20" s="202" t="str">
        <f t="shared" si="0"/>
        <v/>
      </c>
    </row>
    <row r="21" spans="1:8">
      <c r="A21" s="109">
        <v>14</v>
      </c>
      <c r="B21" s="1" t="s">
        <v>63</v>
      </c>
      <c r="C21" s="199">
        <v>160554074.63999999</v>
      </c>
      <c r="D21" s="199"/>
      <c r="E21" s="199"/>
      <c r="F21" s="199">
        <v>79020234.160000011</v>
      </c>
      <c r="G21" s="200">
        <v>79020234.160000011</v>
      </c>
      <c r="H21" s="202">
        <f t="shared" si="0"/>
        <v>0.4921720880468588</v>
      </c>
    </row>
    <row r="22" spans="1:8" ht="14.4" thickBot="1">
      <c r="A22" s="112"/>
      <c r="B22" s="113" t="s">
        <v>64</v>
      </c>
      <c r="C22" s="201">
        <f>SUM(C8:C21)</f>
        <v>2320433278.675673</v>
      </c>
      <c r="D22" s="201">
        <f>SUM(D8:D21)</f>
        <v>50553327.61999999</v>
      </c>
      <c r="E22" s="201">
        <f>SUM(E8:E21)</f>
        <v>23646001.269999996</v>
      </c>
      <c r="F22" s="201">
        <f>SUM(F8:F21)</f>
        <v>1551832822.6706891</v>
      </c>
      <c r="G22" s="201">
        <f>SUM(G8:G21)</f>
        <v>1551832822.6706891</v>
      </c>
      <c r="H22" s="203">
        <f>G22/(C22+E22)</f>
        <v>0.66202232831760488</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10" activePane="bottomRight" state="frozen"/>
      <selection pane="topRight" activeCell="C1" sqref="C1"/>
      <selection pane="bottomLeft" activeCell="A6" sqref="A6"/>
      <selection pane="bottomRight" activeCell="H14" sqref="H14"/>
    </sheetView>
  </sheetViews>
  <sheetFormatPr defaultColWidth="9.21875" defaultRowHeight="13.8"/>
  <cols>
    <col min="1" max="1" width="10.5546875" style="173" bestFit="1" customWidth="1"/>
    <col min="2" max="2" width="104.21875" style="173" customWidth="1"/>
    <col min="3" max="11" width="12.77734375" style="173" customWidth="1"/>
    <col min="12" max="16384" width="9.21875" style="173"/>
  </cols>
  <sheetData>
    <row r="1" spans="1:11">
      <c r="A1" s="173" t="s">
        <v>30</v>
      </c>
      <c r="B1" s="3" t="str">
        <f>'Info '!C2</f>
        <v>JSC "CREDOBANK"</v>
      </c>
    </row>
    <row r="2" spans="1:11">
      <c r="A2" s="173" t="s">
        <v>31</v>
      </c>
      <c r="B2" s="336">
        <f>'1. key ratios '!B2</f>
        <v>45199</v>
      </c>
    </row>
    <row r="4" spans="1:11" ht="14.4" thickBot="1">
      <c r="A4" s="173" t="s">
        <v>146</v>
      </c>
      <c r="B4" s="241" t="s">
        <v>253</v>
      </c>
    </row>
    <row r="5" spans="1:11" ht="30" customHeight="1">
      <c r="A5" s="745"/>
      <c r="B5" s="746"/>
      <c r="C5" s="747" t="s">
        <v>305</v>
      </c>
      <c r="D5" s="747"/>
      <c r="E5" s="747"/>
      <c r="F5" s="747" t="s">
        <v>306</v>
      </c>
      <c r="G5" s="747"/>
      <c r="H5" s="747"/>
      <c r="I5" s="747" t="s">
        <v>307</v>
      </c>
      <c r="J5" s="747"/>
      <c r="K5" s="748"/>
    </row>
    <row r="6" spans="1:11">
      <c r="A6" s="214"/>
      <c r="B6" s="215"/>
      <c r="C6" s="21" t="s">
        <v>32</v>
      </c>
      <c r="D6" s="21" t="s">
        <v>33</v>
      </c>
      <c r="E6" s="21" t="s">
        <v>34</v>
      </c>
      <c r="F6" s="21" t="s">
        <v>32</v>
      </c>
      <c r="G6" s="21" t="s">
        <v>33</v>
      </c>
      <c r="H6" s="21" t="s">
        <v>34</v>
      </c>
      <c r="I6" s="21" t="s">
        <v>32</v>
      </c>
      <c r="J6" s="21" t="s">
        <v>33</v>
      </c>
      <c r="K6" s="21" t="s">
        <v>34</v>
      </c>
    </row>
    <row r="7" spans="1:11">
      <c r="A7" s="216" t="s">
        <v>256</v>
      </c>
      <c r="B7" s="217"/>
      <c r="C7" s="217"/>
      <c r="D7" s="217"/>
      <c r="E7" s="217"/>
      <c r="F7" s="217"/>
      <c r="G7" s="217"/>
      <c r="H7" s="217"/>
      <c r="I7" s="217"/>
      <c r="J7" s="217"/>
      <c r="K7" s="218"/>
    </row>
    <row r="8" spans="1:11">
      <c r="A8" s="219">
        <v>1</v>
      </c>
      <c r="B8" s="220" t="s">
        <v>254</v>
      </c>
      <c r="C8" s="221"/>
      <c r="D8" s="221"/>
      <c r="E8" s="221"/>
      <c r="F8" s="628">
        <v>109401926.92769867</v>
      </c>
      <c r="G8" s="628">
        <v>187986138.48884356</v>
      </c>
      <c r="H8" s="629">
        <f>F8+G8</f>
        <v>297388065.41654223</v>
      </c>
      <c r="I8" s="628">
        <v>119974576.61526883</v>
      </c>
      <c r="J8" s="628">
        <v>69827132.435990766</v>
      </c>
      <c r="K8" s="630">
        <f>I8+J8</f>
        <v>189801709.05125958</v>
      </c>
    </row>
    <row r="9" spans="1:11">
      <c r="A9" s="216" t="s">
        <v>257</v>
      </c>
      <c r="B9" s="217"/>
      <c r="C9" s="217"/>
      <c r="D9" s="217"/>
      <c r="E9" s="217"/>
      <c r="F9" s="217"/>
      <c r="G9" s="217"/>
      <c r="H9" s="217"/>
      <c r="I9" s="217"/>
      <c r="J9" s="217"/>
      <c r="K9" s="218"/>
    </row>
    <row r="10" spans="1:11">
      <c r="A10" s="222">
        <v>2</v>
      </c>
      <c r="B10" s="223" t="s">
        <v>265</v>
      </c>
      <c r="C10" s="619">
        <v>209238702.94099459</v>
      </c>
      <c r="D10" s="620">
        <v>197504358.74426034</v>
      </c>
      <c r="E10" s="621">
        <f>C10+D10</f>
        <v>406743061.68525493</v>
      </c>
      <c r="F10" s="620">
        <v>51675718.294570267</v>
      </c>
      <c r="G10" s="620">
        <v>51464719.694607139</v>
      </c>
      <c r="H10" s="621">
        <f>F10+G10</f>
        <v>103140437.98917741</v>
      </c>
      <c r="I10" s="620">
        <v>103140437.98917741</v>
      </c>
      <c r="J10" s="620">
        <v>10461935.147049731</v>
      </c>
      <c r="K10" s="622">
        <f>I10+J10</f>
        <v>113602373.13622713</v>
      </c>
    </row>
    <row r="11" spans="1:11">
      <c r="A11" s="222">
        <v>3</v>
      </c>
      <c r="B11" s="223" t="s">
        <v>259</v>
      </c>
      <c r="C11" s="619">
        <v>140517667.52546853</v>
      </c>
      <c r="D11" s="620">
        <v>12628483.642791858</v>
      </c>
      <c r="E11" s="621">
        <f t="shared" ref="E11:E15" si="0">C11+D11</f>
        <v>153146151.1682604</v>
      </c>
      <c r="F11" s="620">
        <v>65813964.410270371</v>
      </c>
      <c r="G11" s="620">
        <v>5198687.6822787067</v>
      </c>
      <c r="H11" s="621">
        <f t="shared" ref="H11:H15" si="1">F11+G11</f>
        <v>71012652.092549071</v>
      </c>
      <c r="I11" s="620">
        <v>71012652.092549071</v>
      </c>
      <c r="J11" s="620">
        <v>61865189.919212766</v>
      </c>
      <c r="K11" s="622">
        <f t="shared" ref="K11:K15" si="2">I11+J11</f>
        <v>132877842.01176184</v>
      </c>
    </row>
    <row r="12" spans="1:11">
      <c r="A12" s="222">
        <v>4</v>
      </c>
      <c r="B12" s="223" t="s">
        <v>260</v>
      </c>
      <c r="C12" s="619">
        <v>47848387.096774191</v>
      </c>
      <c r="D12" s="620">
        <v>0</v>
      </c>
      <c r="E12" s="621">
        <f t="shared" si="0"/>
        <v>47848387.096774191</v>
      </c>
      <c r="F12" s="620">
        <v>0</v>
      </c>
      <c r="G12" s="620">
        <v>0</v>
      </c>
      <c r="H12" s="621">
        <f t="shared" si="1"/>
        <v>0</v>
      </c>
      <c r="I12" s="620">
        <v>0</v>
      </c>
      <c r="J12" s="620">
        <v>0</v>
      </c>
      <c r="K12" s="622">
        <f t="shared" si="2"/>
        <v>0</v>
      </c>
    </row>
    <row r="13" spans="1:11">
      <c r="A13" s="222">
        <v>5</v>
      </c>
      <c r="B13" s="223" t="s">
        <v>268</v>
      </c>
      <c r="C13" s="619">
        <v>22423329.148413088</v>
      </c>
      <c r="D13" s="620">
        <v>8893579.4559408613</v>
      </c>
      <c r="E13" s="621">
        <f t="shared" si="0"/>
        <v>31316908.604353949</v>
      </c>
      <c r="F13" s="620">
        <v>6726998.7445239266</v>
      </c>
      <c r="G13" s="620">
        <v>2668073.836782258</v>
      </c>
      <c r="H13" s="621">
        <f t="shared" si="1"/>
        <v>9395072.5813061856</v>
      </c>
      <c r="I13" s="620">
        <v>9395072.5813061856</v>
      </c>
      <c r="J13" s="620">
        <v>1121166.4574206544</v>
      </c>
      <c r="K13" s="622">
        <f t="shared" si="2"/>
        <v>10516239.03872684</v>
      </c>
    </row>
    <row r="14" spans="1:11">
      <c r="A14" s="222">
        <v>6</v>
      </c>
      <c r="B14" s="223" t="s">
        <v>300</v>
      </c>
      <c r="C14" s="619"/>
      <c r="D14" s="620"/>
      <c r="E14" s="621">
        <f t="shared" si="0"/>
        <v>0</v>
      </c>
      <c r="F14" s="620">
        <v>0</v>
      </c>
      <c r="G14" s="620">
        <v>0</v>
      </c>
      <c r="H14" s="621">
        <f t="shared" si="1"/>
        <v>0</v>
      </c>
      <c r="I14" s="620"/>
      <c r="J14" s="620">
        <v>0</v>
      </c>
      <c r="K14" s="622">
        <f t="shared" si="2"/>
        <v>0</v>
      </c>
    </row>
    <row r="15" spans="1:11">
      <c r="A15" s="222">
        <v>7</v>
      </c>
      <c r="B15" s="223" t="s">
        <v>301</v>
      </c>
      <c r="C15" s="619">
        <v>6266191.8109843833</v>
      </c>
      <c r="D15" s="620">
        <v>4465576.0575734759</v>
      </c>
      <c r="E15" s="621">
        <f t="shared" si="0"/>
        <v>10731767.868557859</v>
      </c>
      <c r="F15" s="620">
        <v>6266191.8109843833</v>
      </c>
      <c r="G15" s="620">
        <v>4465576.0575734759</v>
      </c>
      <c r="H15" s="621">
        <f t="shared" si="1"/>
        <v>10731767.868557859</v>
      </c>
      <c r="I15" s="620">
        <v>10731767.868557859</v>
      </c>
      <c r="J15" s="620">
        <v>6266191.8109843833</v>
      </c>
      <c r="K15" s="622">
        <f t="shared" si="2"/>
        <v>16997959.679542243</v>
      </c>
    </row>
    <row r="16" spans="1:11">
      <c r="A16" s="222">
        <v>8</v>
      </c>
      <c r="B16" s="225" t="s">
        <v>261</v>
      </c>
      <c r="C16" s="623">
        <f t="shared" ref="C16:K16" si="3">SUM(C10:C15)</f>
        <v>426294278.52263474</v>
      </c>
      <c r="D16" s="623">
        <f t="shared" si="3"/>
        <v>223491997.90056655</v>
      </c>
      <c r="E16" s="623">
        <f t="shared" si="3"/>
        <v>649786276.42320132</v>
      </c>
      <c r="F16" s="623">
        <f t="shared" si="3"/>
        <v>130482873.26034895</v>
      </c>
      <c r="G16" s="623">
        <f t="shared" si="3"/>
        <v>63797057.271241583</v>
      </c>
      <c r="H16" s="623">
        <f t="shared" si="3"/>
        <v>194279930.53159055</v>
      </c>
      <c r="I16" s="623">
        <f t="shared" si="3"/>
        <v>194279930.53159055</v>
      </c>
      <c r="J16" s="623">
        <f t="shared" si="3"/>
        <v>79714483.334667534</v>
      </c>
      <c r="K16" s="623">
        <f t="shared" si="3"/>
        <v>273994413.86625803</v>
      </c>
    </row>
    <row r="17" spans="1:11">
      <c r="A17" s="216" t="s">
        <v>258</v>
      </c>
      <c r="B17" s="217"/>
      <c r="C17" s="624"/>
      <c r="D17" s="624"/>
      <c r="E17" s="624"/>
      <c r="F17" s="624"/>
      <c r="G17" s="624"/>
      <c r="H17" s="624"/>
      <c r="I17" s="624"/>
      <c r="J17" s="624"/>
      <c r="K17" s="218"/>
    </row>
    <row r="18" spans="1:11">
      <c r="A18" s="222">
        <v>9</v>
      </c>
      <c r="B18" s="223" t="s">
        <v>264</v>
      </c>
      <c r="C18" s="625"/>
      <c r="D18" s="626"/>
      <c r="E18" s="626"/>
      <c r="F18" s="626"/>
      <c r="G18" s="626"/>
      <c r="H18" s="626"/>
      <c r="I18" s="626"/>
      <c r="J18" s="626"/>
      <c r="K18" s="224"/>
    </row>
    <row r="19" spans="1:11">
      <c r="A19" s="222">
        <v>10</v>
      </c>
      <c r="B19" s="223" t="s">
        <v>302</v>
      </c>
      <c r="C19" s="619">
        <v>91669020.368092299</v>
      </c>
      <c r="D19" s="620">
        <v>3607026.6943432712</v>
      </c>
      <c r="E19" s="620">
        <f>C19+D19</f>
        <v>95276047.062435567</v>
      </c>
      <c r="F19" s="620">
        <v>45834510.184046149</v>
      </c>
      <c r="G19" s="620">
        <v>1803513.3471716356</v>
      </c>
      <c r="H19" s="620">
        <f>F19+G19</f>
        <v>47638023.531217784</v>
      </c>
      <c r="I19" s="620">
        <v>47638023.531217784</v>
      </c>
      <c r="J19" s="620">
        <v>85657725.050171345</v>
      </c>
      <c r="K19" s="620">
        <f>I19+J19</f>
        <v>133295748.58138913</v>
      </c>
    </row>
    <row r="20" spans="1:11">
      <c r="A20" s="222">
        <v>11</v>
      </c>
      <c r="B20" s="223" t="s">
        <v>263</v>
      </c>
      <c r="C20" s="625"/>
      <c r="D20" s="626"/>
      <c r="E20" s="626"/>
      <c r="F20" s="626"/>
      <c r="G20" s="626"/>
      <c r="H20" s="626"/>
      <c r="I20" s="626"/>
      <c r="J20" s="626"/>
      <c r="K20" s="224"/>
    </row>
    <row r="21" spans="1:11" ht="14.4" thickBot="1">
      <c r="A21" s="226">
        <v>12</v>
      </c>
      <c r="B21" s="227" t="s">
        <v>262</v>
      </c>
      <c r="C21" s="627">
        <f>SUM(C18:C20)</f>
        <v>91669020.368092299</v>
      </c>
      <c r="D21" s="627">
        <f t="shared" ref="D21:K21" si="4">SUM(D18:D20)</f>
        <v>3607026.6943432712</v>
      </c>
      <c r="E21" s="627">
        <f t="shared" si="4"/>
        <v>95276047.062435567</v>
      </c>
      <c r="F21" s="627">
        <f t="shared" si="4"/>
        <v>45834510.184046149</v>
      </c>
      <c r="G21" s="627">
        <f t="shared" si="4"/>
        <v>1803513.3471716356</v>
      </c>
      <c r="H21" s="627">
        <f t="shared" si="4"/>
        <v>47638023.531217784</v>
      </c>
      <c r="I21" s="627">
        <f t="shared" si="4"/>
        <v>47638023.531217784</v>
      </c>
      <c r="J21" s="627">
        <f t="shared" si="4"/>
        <v>85657725.050171345</v>
      </c>
      <c r="K21" s="627">
        <f t="shared" si="4"/>
        <v>133295748.58138913</v>
      </c>
    </row>
    <row r="22" spans="1:11" ht="38.25" customHeight="1" thickBot="1">
      <c r="A22" s="228"/>
      <c r="B22" s="229"/>
      <c r="C22" s="229"/>
      <c r="D22" s="229"/>
      <c r="E22" s="229"/>
      <c r="F22" s="749" t="s">
        <v>304</v>
      </c>
      <c r="G22" s="747"/>
      <c r="H22" s="747"/>
      <c r="I22" s="749" t="s">
        <v>269</v>
      </c>
      <c r="J22" s="747"/>
      <c r="K22" s="748"/>
    </row>
    <row r="23" spans="1:11" ht="14.4" thickBot="1">
      <c r="A23" s="230">
        <v>13</v>
      </c>
      <c r="B23" s="231" t="s">
        <v>254</v>
      </c>
      <c r="C23" s="232"/>
      <c r="D23" s="232"/>
      <c r="E23" s="232"/>
      <c r="F23" s="631">
        <f>F8</f>
        <v>109401926.92769867</v>
      </c>
      <c r="G23" s="631">
        <f>G8</f>
        <v>187986138.48884356</v>
      </c>
      <c r="H23" s="632">
        <f>F23+G23</f>
        <v>297388065.41654223</v>
      </c>
      <c r="I23" s="631">
        <f>I8</f>
        <v>119974576.61526883</v>
      </c>
      <c r="J23" s="631">
        <f>J8</f>
        <v>69827132.435990766</v>
      </c>
      <c r="K23" s="633">
        <f>I23+J23</f>
        <v>189801709.05125958</v>
      </c>
    </row>
    <row r="24" spans="1:11" ht="14.4" thickBot="1">
      <c r="A24" s="233">
        <v>14</v>
      </c>
      <c r="B24" s="234" t="s">
        <v>266</v>
      </c>
      <c r="C24" s="235"/>
      <c r="D24" s="236"/>
      <c r="E24" s="237"/>
      <c r="F24" s="634">
        <f>MAX(F16-F21,F16*0.25)</f>
        <v>84648363.076302797</v>
      </c>
      <c r="G24" s="634">
        <f>MAX(G16-G21,G16*0.25)</f>
        <v>61993543.924069948</v>
      </c>
      <c r="H24" s="632">
        <f>F24+G24</f>
        <v>146641907.00037274</v>
      </c>
      <c r="I24" s="634">
        <f>MAX(I16-I21,I16*0.25)</f>
        <v>146641907.00037277</v>
      </c>
      <c r="J24" s="634">
        <f>MAX(J16-J21,J16*0.25)</f>
        <v>19928620.833666883</v>
      </c>
      <c r="K24" s="633">
        <f>I24+J24</f>
        <v>166570527.83403966</v>
      </c>
    </row>
    <row r="25" spans="1:11" ht="14.4" thickBot="1">
      <c r="A25" s="238">
        <v>15</v>
      </c>
      <c r="B25" s="239" t="s">
        <v>267</v>
      </c>
      <c r="C25" s="240"/>
      <c r="D25" s="240"/>
      <c r="E25" s="240"/>
      <c r="F25" s="635">
        <f t="shared" ref="F25:K25" si="5">F23/F24</f>
        <v>1.2924281457053433</v>
      </c>
      <c r="G25" s="635">
        <f t="shared" si="5"/>
        <v>3.0323502511663163</v>
      </c>
      <c r="H25" s="635">
        <f t="shared" si="5"/>
        <v>2.0279882572434516</v>
      </c>
      <c r="I25" s="635">
        <f t="shared" si="5"/>
        <v>0.81814659308108872</v>
      </c>
      <c r="J25" s="635">
        <f t="shared" si="5"/>
        <v>3.5038617583624583</v>
      </c>
      <c r="K25" s="636">
        <f t="shared" si="5"/>
        <v>1.1394675367803722</v>
      </c>
    </row>
    <row r="27" spans="1:11" ht="27">
      <c r="B27" s="213" t="s">
        <v>303</v>
      </c>
    </row>
  </sheetData>
  <mergeCells count="6">
    <mergeCell ref="A5:B5"/>
    <mergeCell ref="C5:E5"/>
    <mergeCell ref="F5:H5"/>
    <mergeCell ref="I5:K5"/>
    <mergeCell ref="F22:H22"/>
    <mergeCell ref="I22:K22"/>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80" zoomScaleNormal="80" workbookViewId="0">
      <pane xSplit="1" ySplit="5" topLeftCell="B6" activePane="bottomRight" state="frozen"/>
      <selection pane="topRight" activeCell="B1" sqref="B1"/>
      <selection pane="bottomLeft" activeCell="A5" sqref="A5"/>
      <selection pane="bottomRight" activeCell="K8" sqref="K8"/>
    </sheetView>
  </sheetViews>
  <sheetFormatPr defaultColWidth="9.21875" defaultRowHeight="13.2"/>
  <cols>
    <col min="1" max="1" width="10.5546875" style="4" bestFit="1" customWidth="1"/>
    <col min="2" max="2" width="95" style="4" customWidth="1"/>
    <col min="3" max="3" width="12.5546875" style="4" bestFit="1" customWidth="1"/>
    <col min="4" max="4" width="11.44140625" style="4" customWidth="1"/>
    <col min="5" max="5" width="18.21875" style="4" bestFit="1" customWidth="1"/>
    <col min="6" max="13" width="12.77734375" style="4" customWidth="1"/>
    <col min="14" max="14" width="31" style="4" bestFit="1" customWidth="1"/>
    <col min="15" max="16384" width="9.21875" style="19"/>
  </cols>
  <sheetData>
    <row r="1" spans="1:14">
      <c r="A1" s="4" t="s">
        <v>30</v>
      </c>
      <c r="B1" s="3" t="str">
        <f>'Info '!C2</f>
        <v>JSC "CREDOBANK"</v>
      </c>
    </row>
    <row r="2" spans="1:14" ht="14.25" customHeight="1">
      <c r="A2" s="4" t="s">
        <v>31</v>
      </c>
      <c r="B2" s="336">
        <f>'1. key ratios '!B2</f>
        <v>45199</v>
      </c>
    </row>
    <row r="3" spans="1:14" ht="14.25" customHeight="1"/>
    <row r="4" spans="1:14" ht="13.8" thickBot="1">
      <c r="A4" s="4" t="s">
        <v>162</v>
      </c>
      <c r="B4" s="167" t="s">
        <v>28</v>
      </c>
    </row>
    <row r="5" spans="1:14" s="119" customFormat="1">
      <c r="A5" s="115"/>
      <c r="B5" s="116"/>
      <c r="C5" s="117" t="s">
        <v>0</v>
      </c>
      <c r="D5" s="117" t="s">
        <v>1</v>
      </c>
      <c r="E5" s="117" t="s">
        <v>2</v>
      </c>
      <c r="F5" s="117" t="s">
        <v>3</v>
      </c>
      <c r="G5" s="117" t="s">
        <v>4</v>
      </c>
      <c r="H5" s="117" t="s">
        <v>5</v>
      </c>
      <c r="I5" s="117" t="s">
        <v>8</v>
      </c>
      <c r="J5" s="117" t="s">
        <v>9</v>
      </c>
      <c r="K5" s="117" t="s">
        <v>10</v>
      </c>
      <c r="L5" s="117" t="s">
        <v>11</v>
      </c>
      <c r="M5" s="117" t="s">
        <v>12</v>
      </c>
      <c r="N5" s="118" t="s">
        <v>13</v>
      </c>
    </row>
    <row r="6" spans="1:14" ht="26.4">
      <c r="A6" s="120"/>
      <c r="B6" s="121"/>
      <c r="C6" s="122" t="s">
        <v>161</v>
      </c>
      <c r="D6" s="123" t="s">
        <v>160</v>
      </c>
      <c r="E6" s="124" t="s">
        <v>159</v>
      </c>
      <c r="F6" s="125">
        <v>0</v>
      </c>
      <c r="G6" s="125">
        <v>0.2</v>
      </c>
      <c r="H6" s="125">
        <v>0.35</v>
      </c>
      <c r="I6" s="125">
        <v>0.5</v>
      </c>
      <c r="J6" s="125">
        <v>0.75</v>
      </c>
      <c r="K6" s="125">
        <v>1</v>
      </c>
      <c r="L6" s="125">
        <v>1.5</v>
      </c>
      <c r="M6" s="125">
        <v>2.5</v>
      </c>
      <c r="N6" s="166" t="s">
        <v>168</v>
      </c>
    </row>
    <row r="7" spans="1:14" ht="13.8">
      <c r="A7" s="126">
        <v>1</v>
      </c>
      <c r="B7" s="127" t="s">
        <v>158</v>
      </c>
      <c r="C7" s="128">
        <f>SUM(C8:C13)</f>
        <v>186916086</v>
      </c>
      <c r="D7" s="121"/>
      <c r="E7" s="129">
        <f t="shared" ref="E7:M7" si="0">SUM(E8:E13)</f>
        <v>3738321.72</v>
      </c>
      <c r="F7" s="130">
        <f>SUM(F8:F13)</f>
        <v>0</v>
      </c>
      <c r="G7" s="130">
        <f t="shared" si="0"/>
        <v>0</v>
      </c>
      <c r="H7" s="130">
        <f t="shared" si="0"/>
        <v>0</v>
      </c>
      <c r="I7" s="130">
        <f t="shared" si="0"/>
        <v>0</v>
      </c>
      <c r="J7" s="130">
        <f t="shared" si="0"/>
        <v>0</v>
      </c>
      <c r="K7" s="130">
        <f t="shared" si="0"/>
        <v>3738321.72</v>
      </c>
      <c r="L7" s="130">
        <f t="shared" si="0"/>
        <v>0</v>
      </c>
      <c r="M7" s="130">
        <f t="shared" si="0"/>
        <v>0</v>
      </c>
      <c r="N7" s="131">
        <f>SUM(N8:N13)</f>
        <v>3738321.72</v>
      </c>
    </row>
    <row r="8" spans="1:14" ht="13.8">
      <c r="A8" s="126">
        <v>1.1000000000000001</v>
      </c>
      <c r="B8" s="132" t="s">
        <v>156</v>
      </c>
      <c r="C8" s="130">
        <v>186916086</v>
      </c>
      <c r="D8" s="133">
        <v>0.02</v>
      </c>
      <c r="E8" s="129">
        <f>C8*D8</f>
        <v>3738321.72</v>
      </c>
      <c r="F8" s="130"/>
      <c r="G8" s="130"/>
      <c r="H8" s="130"/>
      <c r="I8" s="130"/>
      <c r="J8" s="130"/>
      <c r="K8" s="130">
        <v>3738321.72</v>
      </c>
      <c r="L8" s="130"/>
      <c r="M8" s="130"/>
      <c r="N8" s="131">
        <f>SUMPRODUCT($F$6:$M$6,F8:M8)</f>
        <v>3738321.72</v>
      </c>
    </row>
    <row r="9" spans="1:14" ht="13.8">
      <c r="A9" s="126">
        <v>1.2</v>
      </c>
      <c r="B9" s="132" t="s">
        <v>155</v>
      </c>
      <c r="C9" s="130">
        <v>0</v>
      </c>
      <c r="D9" s="133">
        <v>0.05</v>
      </c>
      <c r="E9" s="129">
        <f>C9*D9</f>
        <v>0</v>
      </c>
      <c r="F9" s="130"/>
      <c r="G9" s="130"/>
      <c r="H9" s="130"/>
      <c r="I9" s="130"/>
      <c r="J9" s="130"/>
      <c r="K9" s="130"/>
      <c r="L9" s="130"/>
      <c r="M9" s="130"/>
      <c r="N9" s="131">
        <f t="shared" ref="N9:N12" si="1">SUMPRODUCT($F$6:$M$6,F9:M9)</f>
        <v>0</v>
      </c>
    </row>
    <row r="10" spans="1:14" ht="13.8">
      <c r="A10" s="126">
        <v>1.3</v>
      </c>
      <c r="B10" s="132" t="s">
        <v>154</v>
      </c>
      <c r="C10" s="130">
        <v>0</v>
      </c>
      <c r="D10" s="133">
        <v>0.08</v>
      </c>
      <c r="E10" s="129">
        <f>C10*D10</f>
        <v>0</v>
      </c>
      <c r="F10" s="130"/>
      <c r="G10" s="130"/>
      <c r="H10" s="130"/>
      <c r="I10" s="130"/>
      <c r="J10" s="130"/>
      <c r="K10" s="130"/>
      <c r="L10" s="130"/>
      <c r="M10" s="130"/>
      <c r="N10" s="131">
        <f>SUMPRODUCT($F$6:$M$6,F10:M10)</f>
        <v>0</v>
      </c>
    </row>
    <row r="11" spans="1:14" ht="13.8">
      <c r="A11" s="126">
        <v>1.4</v>
      </c>
      <c r="B11" s="132" t="s">
        <v>153</v>
      </c>
      <c r="C11" s="130">
        <v>0</v>
      </c>
      <c r="D11" s="133">
        <v>0.11</v>
      </c>
      <c r="E11" s="129">
        <f>C11*D11</f>
        <v>0</v>
      </c>
      <c r="F11" s="130"/>
      <c r="G11" s="130"/>
      <c r="H11" s="130"/>
      <c r="I11" s="130"/>
      <c r="J11" s="130"/>
      <c r="K11" s="130"/>
      <c r="L11" s="130"/>
      <c r="M11" s="130"/>
      <c r="N11" s="131">
        <f t="shared" si="1"/>
        <v>0</v>
      </c>
    </row>
    <row r="12" spans="1:14" ht="13.8">
      <c r="A12" s="126">
        <v>1.5</v>
      </c>
      <c r="B12" s="132" t="s">
        <v>152</v>
      </c>
      <c r="C12" s="130">
        <v>0</v>
      </c>
      <c r="D12" s="133">
        <v>0.14000000000000001</v>
      </c>
      <c r="E12" s="129">
        <f>C12*D12</f>
        <v>0</v>
      </c>
      <c r="F12" s="130"/>
      <c r="G12" s="130"/>
      <c r="H12" s="130"/>
      <c r="I12" s="130"/>
      <c r="J12" s="130"/>
      <c r="K12" s="130"/>
      <c r="L12" s="130"/>
      <c r="M12" s="130"/>
      <c r="N12" s="131">
        <f t="shared" si="1"/>
        <v>0</v>
      </c>
    </row>
    <row r="13" spans="1:14" ht="13.8">
      <c r="A13" s="126">
        <v>1.6</v>
      </c>
      <c r="B13" s="134" t="s">
        <v>151</v>
      </c>
      <c r="C13" s="130">
        <v>0</v>
      </c>
      <c r="D13" s="135"/>
      <c r="E13" s="130"/>
      <c r="F13" s="130"/>
      <c r="G13" s="130"/>
      <c r="H13" s="130"/>
      <c r="I13" s="130"/>
      <c r="J13" s="130"/>
      <c r="K13" s="130"/>
      <c r="L13" s="130"/>
      <c r="M13" s="130"/>
      <c r="N13" s="131">
        <f>SUMPRODUCT($F$6:$M$6,F13:M13)</f>
        <v>0</v>
      </c>
    </row>
    <row r="14" spans="1:14" ht="13.8">
      <c r="A14" s="126">
        <v>2</v>
      </c>
      <c r="B14" s="136" t="s">
        <v>157</v>
      </c>
      <c r="C14" s="128">
        <f>SUM(C15:C20)</f>
        <v>0</v>
      </c>
      <c r="D14" s="121"/>
      <c r="E14" s="129">
        <f t="shared" ref="E14:M14" si="2">SUM(E15:E20)</f>
        <v>0</v>
      </c>
      <c r="F14" s="130">
        <f t="shared" si="2"/>
        <v>0</v>
      </c>
      <c r="G14" s="130">
        <f t="shared" si="2"/>
        <v>0</v>
      </c>
      <c r="H14" s="130">
        <f t="shared" si="2"/>
        <v>0</v>
      </c>
      <c r="I14" s="130">
        <f t="shared" si="2"/>
        <v>0</v>
      </c>
      <c r="J14" s="130">
        <f t="shared" si="2"/>
        <v>0</v>
      </c>
      <c r="K14" s="130">
        <f t="shared" si="2"/>
        <v>0</v>
      </c>
      <c r="L14" s="130">
        <f t="shared" si="2"/>
        <v>0</v>
      </c>
      <c r="M14" s="130">
        <f t="shared" si="2"/>
        <v>0</v>
      </c>
      <c r="N14" s="131">
        <f>SUM(N15:N20)</f>
        <v>0</v>
      </c>
    </row>
    <row r="15" spans="1:14" ht="13.8">
      <c r="A15" s="126">
        <v>2.1</v>
      </c>
      <c r="B15" s="134" t="s">
        <v>156</v>
      </c>
      <c r="C15" s="130"/>
      <c r="D15" s="133">
        <v>5.0000000000000001E-3</v>
      </c>
      <c r="E15" s="129">
        <f>C15*D15</f>
        <v>0</v>
      </c>
      <c r="F15" s="130"/>
      <c r="G15" s="130"/>
      <c r="H15" s="130"/>
      <c r="I15" s="130"/>
      <c r="J15" s="130"/>
      <c r="K15" s="130"/>
      <c r="L15" s="130"/>
      <c r="M15" s="130"/>
      <c r="N15" s="131">
        <f>SUMPRODUCT($F$6:$M$6,F15:M15)</f>
        <v>0</v>
      </c>
    </row>
    <row r="16" spans="1:14" ht="13.8">
      <c r="A16" s="126">
        <v>2.2000000000000002</v>
      </c>
      <c r="B16" s="134" t="s">
        <v>155</v>
      </c>
      <c r="C16" s="130"/>
      <c r="D16" s="133">
        <v>0.01</v>
      </c>
      <c r="E16" s="129">
        <f>C16*D16</f>
        <v>0</v>
      </c>
      <c r="F16" s="130"/>
      <c r="G16" s="130"/>
      <c r="H16" s="130"/>
      <c r="I16" s="130"/>
      <c r="J16" s="130"/>
      <c r="K16" s="130"/>
      <c r="L16" s="130"/>
      <c r="M16" s="130"/>
      <c r="N16" s="131">
        <f t="shared" ref="N16:N20" si="3">SUMPRODUCT($F$6:$M$6,F16:M16)</f>
        <v>0</v>
      </c>
    </row>
    <row r="17" spans="1:14" ht="13.8">
      <c r="A17" s="126">
        <v>2.2999999999999998</v>
      </c>
      <c r="B17" s="134" t="s">
        <v>154</v>
      </c>
      <c r="C17" s="130"/>
      <c r="D17" s="133">
        <v>0.02</v>
      </c>
      <c r="E17" s="129">
        <f>C17*D17</f>
        <v>0</v>
      </c>
      <c r="F17" s="130"/>
      <c r="G17" s="130"/>
      <c r="H17" s="130"/>
      <c r="I17" s="130"/>
      <c r="J17" s="130"/>
      <c r="K17" s="130"/>
      <c r="L17" s="130"/>
      <c r="M17" s="130"/>
      <c r="N17" s="131">
        <f t="shared" si="3"/>
        <v>0</v>
      </c>
    </row>
    <row r="18" spans="1:14" ht="13.8">
      <c r="A18" s="126">
        <v>2.4</v>
      </c>
      <c r="B18" s="134" t="s">
        <v>153</v>
      </c>
      <c r="C18" s="130"/>
      <c r="D18" s="133">
        <v>0.03</v>
      </c>
      <c r="E18" s="129">
        <f>C18*D18</f>
        <v>0</v>
      </c>
      <c r="F18" s="130"/>
      <c r="G18" s="130"/>
      <c r="H18" s="130"/>
      <c r="I18" s="130"/>
      <c r="J18" s="130"/>
      <c r="K18" s="130"/>
      <c r="L18" s="130"/>
      <c r="M18" s="130"/>
      <c r="N18" s="131">
        <f t="shared" si="3"/>
        <v>0</v>
      </c>
    </row>
    <row r="19" spans="1:14" ht="13.8">
      <c r="A19" s="126">
        <v>2.5</v>
      </c>
      <c r="B19" s="134" t="s">
        <v>152</v>
      </c>
      <c r="C19" s="130"/>
      <c r="D19" s="133">
        <v>0.04</v>
      </c>
      <c r="E19" s="129">
        <f>C19*D19</f>
        <v>0</v>
      </c>
      <c r="F19" s="130"/>
      <c r="G19" s="130"/>
      <c r="H19" s="130"/>
      <c r="I19" s="130"/>
      <c r="J19" s="130"/>
      <c r="K19" s="130"/>
      <c r="L19" s="130"/>
      <c r="M19" s="130"/>
      <c r="N19" s="131">
        <f t="shared" si="3"/>
        <v>0</v>
      </c>
    </row>
    <row r="20" spans="1:14" ht="13.8">
      <c r="A20" s="126">
        <v>2.6</v>
      </c>
      <c r="B20" s="134" t="s">
        <v>151</v>
      </c>
      <c r="C20" s="130"/>
      <c r="D20" s="135"/>
      <c r="E20" s="137"/>
      <c r="F20" s="130"/>
      <c r="G20" s="130"/>
      <c r="H20" s="130"/>
      <c r="I20" s="130"/>
      <c r="J20" s="130"/>
      <c r="K20" s="130"/>
      <c r="L20" s="130"/>
      <c r="M20" s="130"/>
      <c r="N20" s="131">
        <f t="shared" si="3"/>
        <v>0</v>
      </c>
    </row>
    <row r="21" spans="1:14" ht="14.4" thickBot="1">
      <c r="A21" s="138"/>
      <c r="B21" s="139" t="s">
        <v>64</v>
      </c>
      <c r="C21" s="114">
        <f>C14+C7</f>
        <v>186916086</v>
      </c>
      <c r="D21" s="140"/>
      <c r="E21" s="141">
        <f>E14+E7</f>
        <v>3738321.72</v>
      </c>
      <c r="F21" s="142">
        <f>F7+F14</f>
        <v>0</v>
      </c>
      <c r="G21" s="142">
        <f t="shared" ref="G21:L21" si="4">G7+G14</f>
        <v>0</v>
      </c>
      <c r="H21" s="142">
        <f t="shared" si="4"/>
        <v>0</v>
      </c>
      <c r="I21" s="142">
        <f t="shared" si="4"/>
        <v>0</v>
      </c>
      <c r="J21" s="142">
        <f t="shared" si="4"/>
        <v>0</v>
      </c>
      <c r="K21" s="142">
        <f t="shared" si="4"/>
        <v>3738321.72</v>
      </c>
      <c r="L21" s="142">
        <f t="shared" si="4"/>
        <v>0</v>
      </c>
      <c r="M21" s="142">
        <f>M7+M14</f>
        <v>0</v>
      </c>
      <c r="N21" s="143">
        <f>N14+N7</f>
        <v>3738321.72</v>
      </c>
    </row>
    <row r="22" spans="1:14">
      <c r="E22" s="144"/>
      <c r="F22" s="144"/>
      <c r="G22" s="144"/>
      <c r="H22" s="144"/>
      <c r="I22" s="144"/>
      <c r="J22" s="144"/>
      <c r="K22" s="144"/>
      <c r="L22" s="144"/>
      <c r="M22" s="144"/>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17" zoomScale="90" zoomScaleNormal="90" workbookViewId="0">
      <selection activeCell="C9" sqref="C9"/>
    </sheetView>
  </sheetViews>
  <sheetFormatPr defaultRowHeight="14.4"/>
  <cols>
    <col min="1" max="1" width="11.44140625" customWidth="1"/>
    <col min="2" max="2" width="76.77734375" style="267" customWidth="1"/>
    <col min="3" max="3" width="22.77734375" customWidth="1"/>
  </cols>
  <sheetData>
    <row r="1" spans="1:3">
      <c r="A1" s="2" t="s">
        <v>30</v>
      </c>
      <c r="B1" s="3" t="str">
        <f>'Info '!C2</f>
        <v>JSC "CREDOBANK"</v>
      </c>
    </row>
    <row r="2" spans="1:3">
      <c r="A2" s="2" t="s">
        <v>31</v>
      </c>
      <c r="B2" s="336">
        <f>'1. key ratios '!B2</f>
        <v>45199</v>
      </c>
    </row>
    <row r="3" spans="1:3">
      <c r="A3" s="4"/>
      <c r="B3"/>
    </row>
    <row r="4" spans="1:3">
      <c r="A4" s="4" t="s">
        <v>308</v>
      </c>
      <c r="B4" t="s">
        <v>309</v>
      </c>
    </row>
    <row r="5" spans="1:3">
      <c r="A5" s="268" t="s">
        <v>310</v>
      </c>
      <c r="B5" s="269"/>
      <c r="C5" s="270"/>
    </row>
    <row r="6" spans="1:3">
      <c r="A6" s="271">
        <v>1</v>
      </c>
      <c r="B6" s="272" t="s">
        <v>361</v>
      </c>
      <c r="C6" s="273">
        <v>2339065142.3627505</v>
      </c>
    </row>
    <row r="7" spans="1:3">
      <c r="A7" s="271">
        <v>2</v>
      </c>
      <c r="B7" s="272" t="s">
        <v>311</v>
      </c>
      <c r="C7" s="273">
        <v>18631862.960000001</v>
      </c>
    </row>
    <row r="8" spans="1:3" ht="24">
      <c r="A8" s="274">
        <v>3</v>
      </c>
      <c r="B8" s="275" t="s">
        <v>312</v>
      </c>
      <c r="C8" s="273">
        <f>C6-C7</f>
        <v>2320433279.4027505</v>
      </c>
    </row>
    <row r="9" spans="1:3">
      <c r="A9" s="268" t="s">
        <v>313</v>
      </c>
      <c r="B9" s="269"/>
      <c r="C9" s="276"/>
    </row>
    <row r="10" spans="1:3">
      <c r="A10" s="277">
        <v>4</v>
      </c>
      <c r="B10" s="278" t="s">
        <v>314</v>
      </c>
      <c r="C10" s="273"/>
    </row>
    <row r="11" spans="1:3">
      <c r="A11" s="277">
        <v>5</v>
      </c>
      <c r="B11" s="279" t="s">
        <v>315</v>
      </c>
      <c r="C11" s="273"/>
    </row>
    <row r="12" spans="1:3">
      <c r="A12" s="277" t="s">
        <v>316</v>
      </c>
      <c r="B12" s="279" t="s">
        <v>317</v>
      </c>
      <c r="C12" s="637">
        <v>3738321.72</v>
      </c>
    </row>
    <row r="13" spans="1:3" ht="22.8">
      <c r="A13" s="280">
        <v>6</v>
      </c>
      <c r="B13" s="278" t="s">
        <v>318</v>
      </c>
      <c r="C13" s="273"/>
    </row>
    <row r="14" spans="1:3">
      <c r="A14" s="280">
        <v>7</v>
      </c>
      <c r="B14" s="281" t="s">
        <v>319</v>
      </c>
      <c r="C14" s="273"/>
    </row>
    <row r="15" spans="1:3">
      <c r="A15" s="282">
        <v>8</v>
      </c>
      <c r="B15" s="283" t="s">
        <v>320</v>
      </c>
      <c r="C15" s="273"/>
    </row>
    <row r="16" spans="1:3">
      <c r="A16" s="280">
        <v>9</v>
      </c>
      <c r="B16" s="281" t="s">
        <v>321</v>
      </c>
      <c r="C16" s="273"/>
    </row>
    <row r="17" spans="1:3">
      <c r="A17" s="280">
        <v>10</v>
      </c>
      <c r="B17" s="281" t="s">
        <v>322</v>
      </c>
      <c r="C17" s="273"/>
    </row>
    <row r="18" spans="1:3">
      <c r="A18" s="284">
        <v>11</v>
      </c>
      <c r="B18" s="285" t="s">
        <v>323</v>
      </c>
      <c r="C18" s="286">
        <f>SUM(C10:C17)</f>
        <v>3738321.72</v>
      </c>
    </row>
    <row r="19" spans="1:3">
      <c r="A19" s="287" t="s">
        <v>324</v>
      </c>
      <c r="B19" s="288"/>
      <c r="C19" s="289"/>
    </row>
    <row r="20" spans="1:3">
      <c r="A20" s="290">
        <v>12</v>
      </c>
      <c r="B20" s="278" t="s">
        <v>325</v>
      </c>
      <c r="C20" s="273"/>
    </row>
    <row r="21" spans="1:3">
      <c r="A21" s="290">
        <v>13</v>
      </c>
      <c r="B21" s="278" t="s">
        <v>326</v>
      </c>
      <c r="C21" s="273"/>
    </row>
    <row r="22" spans="1:3">
      <c r="A22" s="290">
        <v>14</v>
      </c>
      <c r="B22" s="278" t="s">
        <v>327</v>
      </c>
      <c r="C22" s="273"/>
    </row>
    <row r="23" spans="1:3" ht="22.8">
      <c r="A23" s="290" t="s">
        <v>328</v>
      </c>
      <c r="B23" s="278" t="s">
        <v>329</v>
      </c>
      <c r="C23" s="273"/>
    </row>
    <row r="24" spans="1:3">
      <c r="A24" s="290">
        <v>15</v>
      </c>
      <c r="B24" s="278" t="s">
        <v>330</v>
      </c>
      <c r="C24" s="273"/>
    </row>
    <row r="25" spans="1:3">
      <c r="A25" s="290" t="s">
        <v>331</v>
      </c>
      <c r="B25" s="278" t="s">
        <v>332</v>
      </c>
      <c r="C25" s="273"/>
    </row>
    <row r="26" spans="1:3">
      <c r="A26" s="291">
        <v>16</v>
      </c>
      <c r="B26" s="292" t="s">
        <v>333</v>
      </c>
      <c r="C26" s="286">
        <f>SUM(C20:C25)</f>
        <v>0</v>
      </c>
    </row>
    <row r="27" spans="1:3">
      <c r="A27" s="268" t="s">
        <v>334</v>
      </c>
      <c r="B27" s="269"/>
      <c r="C27" s="276"/>
    </row>
    <row r="28" spans="1:3">
      <c r="A28" s="293">
        <v>17</v>
      </c>
      <c r="B28" s="279" t="s">
        <v>335</v>
      </c>
      <c r="C28" s="273">
        <v>48217748.61999999</v>
      </c>
    </row>
    <row r="29" spans="1:3">
      <c r="A29" s="293">
        <v>18</v>
      </c>
      <c r="B29" s="279" t="s">
        <v>336</v>
      </c>
      <c r="C29" s="273">
        <v>-24571747.349999994</v>
      </c>
    </row>
    <row r="30" spans="1:3">
      <c r="A30" s="291">
        <v>19</v>
      </c>
      <c r="B30" s="292" t="s">
        <v>337</v>
      </c>
      <c r="C30" s="286">
        <f>C28+C29</f>
        <v>23646001.269999996</v>
      </c>
    </row>
    <row r="31" spans="1:3">
      <c r="A31" s="268" t="s">
        <v>338</v>
      </c>
      <c r="B31" s="269"/>
      <c r="C31" s="276"/>
    </row>
    <row r="32" spans="1:3" ht="22.8">
      <c r="A32" s="293" t="s">
        <v>339</v>
      </c>
      <c r="B32" s="278" t="s">
        <v>340</v>
      </c>
      <c r="C32" s="294"/>
    </row>
    <row r="33" spans="1:3">
      <c r="A33" s="293" t="s">
        <v>341</v>
      </c>
      <c r="B33" s="279" t="s">
        <v>342</v>
      </c>
      <c r="C33" s="294"/>
    </row>
    <row r="34" spans="1:3">
      <c r="A34" s="268" t="s">
        <v>343</v>
      </c>
      <c r="B34" s="269"/>
      <c r="C34" s="276"/>
    </row>
    <row r="35" spans="1:3">
      <c r="A35" s="295">
        <v>20</v>
      </c>
      <c r="B35" s="296" t="s">
        <v>344</v>
      </c>
      <c r="C35" s="286">
        <v>273581181.16999578</v>
      </c>
    </row>
    <row r="36" spans="1:3">
      <c r="A36" s="291">
        <v>21</v>
      </c>
      <c r="B36" s="292" t="s">
        <v>345</v>
      </c>
      <c r="C36" s="286">
        <f>C8+C18+C26+C30</f>
        <v>2347817602.3927503</v>
      </c>
    </row>
    <row r="37" spans="1:3">
      <c r="A37" s="268" t="s">
        <v>346</v>
      </c>
      <c r="B37" s="269"/>
      <c r="C37" s="276"/>
    </row>
    <row r="38" spans="1:3">
      <c r="A38" s="291">
        <v>22</v>
      </c>
      <c r="B38" s="292" t="s">
        <v>346</v>
      </c>
      <c r="C38" s="638">
        <f t="shared" ref="C38" si="0">C35/C36</f>
        <v>0.11652573900595123</v>
      </c>
    </row>
    <row r="39" spans="1:3">
      <c r="A39" s="268" t="s">
        <v>347</v>
      </c>
      <c r="B39" s="269"/>
      <c r="C39" s="276"/>
    </row>
    <row r="40" spans="1:3">
      <c r="A40" s="297" t="s">
        <v>348</v>
      </c>
      <c r="B40" s="278" t="s">
        <v>349</v>
      </c>
      <c r="C40" s="294"/>
    </row>
    <row r="41" spans="1:3" ht="22.8">
      <c r="A41" s="298" t="s">
        <v>350</v>
      </c>
      <c r="B41" s="272" t="s">
        <v>351</v>
      </c>
      <c r="C41" s="294"/>
    </row>
    <row r="43" spans="1:3">
      <c r="B43" s="267"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22" activePane="bottomRight" state="frozen"/>
      <selection pane="topRight" activeCell="C1" sqref="C1"/>
      <selection pane="bottomLeft" activeCell="A6" sqref="A6"/>
      <selection pane="bottomRight" activeCell="G35" sqref="G35"/>
    </sheetView>
  </sheetViews>
  <sheetFormatPr defaultRowHeight="14.4"/>
  <cols>
    <col min="1" max="1" width="8.77734375" style="173"/>
    <col min="2" max="2" width="82.6640625" style="180" customWidth="1"/>
    <col min="3" max="7" width="17.5546875" style="173" customWidth="1"/>
  </cols>
  <sheetData>
    <row r="1" spans="1:7">
      <c r="A1" s="173" t="s">
        <v>30</v>
      </c>
      <c r="B1" s="3" t="str">
        <f>'Info '!C2</f>
        <v>JSC "CREDOBANK"</v>
      </c>
    </row>
    <row r="2" spans="1:7">
      <c r="A2" s="173" t="s">
        <v>31</v>
      </c>
      <c r="B2" s="336">
        <f>'1. key ratios '!B2</f>
        <v>45199</v>
      </c>
    </row>
    <row r="4" spans="1:7" ht="15" thickBot="1">
      <c r="A4" s="173" t="s">
        <v>412</v>
      </c>
      <c r="B4" s="342" t="s">
        <v>373</v>
      </c>
    </row>
    <row r="5" spans="1:7">
      <c r="A5" s="343"/>
      <c r="B5" s="344"/>
      <c r="C5" s="750" t="s">
        <v>374</v>
      </c>
      <c r="D5" s="750"/>
      <c r="E5" s="750"/>
      <c r="F5" s="750"/>
      <c r="G5" s="751" t="s">
        <v>375</v>
      </c>
    </row>
    <row r="6" spans="1:7">
      <c r="A6" s="345"/>
      <c r="B6" s="346"/>
      <c r="C6" s="347" t="s">
        <v>376</v>
      </c>
      <c r="D6" s="347" t="s">
        <v>377</v>
      </c>
      <c r="E6" s="347" t="s">
        <v>378</v>
      </c>
      <c r="F6" s="347" t="s">
        <v>379</v>
      </c>
      <c r="G6" s="752"/>
    </row>
    <row r="7" spans="1:7">
      <c r="A7" s="348"/>
      <c r="B7" s="349" t="s">
        <v>380</v>
      </c>
      <c r="C7" s="350"/>
      <c r="D7" s="350"/>
      <c r="E7" s="350"/>
      <c r="F7" s="350"/>
      <c r="G7" s="351"/>
    </row>
    <row r="8" spans="1:7">
      <c r="A8" s="352">
        <v>1</v>
      </c>
      <c r="B8" s="353" t="s">
        <v>381</v>
      </c>
      <c r="C8" s="354">
        <f>SUM(C9:C10)</f>
        <v>273581181.16999578</v>
      </c>
      <c r="D8" s="354">
        <f>SUM(D9:D10)</f>
        <v>0</v>
      </c>
      <c r="E8" s="354">
        <f>SUM(E9:E10)</f>
        <v>0</v>
      </c>
      <c r="F8" s="354">
        <f>SUM(F9:F10)</f>
        <v>725807965.8223871</v>
      </c>
      <c r="G8" s="361">
        <f>SUM(G9:G10)</f>
        <v>999389146.99238288</v>
      </c>
    </row>
    <row r="9" spans="1:7">
      <c r="A9" s="352">
        <v>2</v>
      </c>
      <c r="B9" s="356" t="s">
        <v>382</v>
      </c>
      <c r="C9" s="354">
        <v>273581181.16999578</v>
      </c>
      <c r="D9" s="354"/>
      <c r="E9" s="354"/>
      <c r="F9" s="354">
        <v>75134116</v>
      </c>
      <c r="G9" s="355">
        <f>C9+F9</f>
        <v>348715297.16999578</v>
      </c>
    </row>
    <row r="10" spans="1:7" ht="27.6">
      <c r="A10" s="352">
        <v>3</v>
      </c>
      <c r="B10" s="356" t="s">
        <v>383</v>
      </c>
      <c r="C10" s="357"/>
      <c r="D10" s="357"/>
      <c r="E10" s="357"/>
      <c r="F10" s="354">
        <v>650673849.8223871</v>
      </c>
      <c r="G10" s="355">
        <f>C10+F10</f>
        <v>650673849.8223871</v>
      </c>
    </row>
    <row r="11" spans="1:7" ht="14.55" customHeight="1">
      <c r="A11" s="352">
        <v>4</v>
      </c>
      <c r="B11" s="353" t="s">
        <v>384</v>
      </c>
      <c r="C11" s="354">
        <f t="shared" ref="C11:F11" si="0">SUM(C12:C13)</f>
        <v>197771820</v>
      </c>
      <c r="D11" s="354">
        <f t="shared" si="0"/>
        <v>194551764</v>
      </c>
      <c r="E11" s="354">
        <f t="shared" si="0"/>
        <v>104449262</v>
      </c>
      <c r="F11" s="354">
        <f t="shared" si="0"/>
        <v>13088928</v>
      </c>
      <c r="G11" s="355">
        <f>SUM(G12:G13)</f>
        <v>393835501.44999999</v>
      </c>
    </row>
    <row r="12" spans="1:7">
      <c r="A12" s="352">
        <v>5</v>
      </c>
      <c r="B12" s="356" t="s">
        <v>385</v>
      </c>
      <c r="C12" s="639">
        <f>69955426+1339150</f>
        <v>71294576</v>
      </c>
      <c r="D12" s="640">
        <v>139284528</v>
      </c>
      <c r="E12" s="639">
        <v>87573345</v>
      </c>
      <c r="F12" s="639">
        <v>10524472</v>
      </c>
      <c r="G12" s="355">
        <f>SUM(C12:F12)*0.95</f>
        <v>293243074.94999999</v>
      </c>
    </row>
    <row r="13" spans="1:7">
      <c r="A13" s="352">
        <v>6</v>
      </c>
      <c r="B13" s="356" t="s">
        <v>386</v>
      </c>
      <c r="C13" s="639">
        <f>127816394-1339150</f>
        <v>126477244</v>
      </c>
      <c r="D13" s="640">
        <v>55267236</v>
      </c>
      <c r="E13" s="639">
        <v>16875917</v>
      </c>
      <c r="F13" s="639">
        <v>2564456</v>
      </c>
      <c r="G13" s="355">
        <f>SUM(C13:F13)*0.5</f>
        <v>100592426.5</v>
      </c>
    </row>
    <row r="14" spans="1:7">
      <c r="A14" s="352">
        <v>7</v>
      </c>
      <c r="B14" s="353" t="s">
        <v>387</v>
      </c>
      <c r="C14" s="354">
        <f t="shared" ref="C14:F14" si="1">SUM(C15:C16)</f>
        <v>74179397.081799954</v>
      </c>
      <c r="D14" s="354">
        <f t="shared" si="1"/>
        <v>295474953</v>
      </c>
      <c r="E14" s="354">
        <f t="shared" si="1"/>
        <v>344434670.01542288</v>
      </c>
      <c r="F14" s="354">
        <f t="shared" si="1"/>
        <v>7475637</v>
      </c>
      <c r="G14" s="355">
        <f>SUM(G15:G16)</f>
        <v>290737546.5486114</v>
      </c>
    </row>
    <row r="15" spans="1:7" ht="41.4">
      <c r="A15" s="352">
        <v>8</v>
      </c>
      <c r="B15" s="356" t="s">
        <v>388</v>
      </c>
      <c r="C15" s="639">
        <v>74179397.081799954</v>
      </c>
      <c r="D15" s="641">
        <v>155385389</v>
      </c>
      <c r="E15" s="641">
        <v>105021944</v>
      </c>
      <c r="F15" s="639">
        <v>7475637</v>
      </c>
      <c r="G15" s="355">
        <f>SUM(C15:F15)*0.5</f>
        <v>171031183.54089999</v>
      </c>
    </row>
    <row r="16" spans="1:7" ht="27.6">
      <c r="A16" s="352">
        <v>9</v>
      </c>
      <c r="B16" s="356" t="s">
        <v>389</v>
      </c>
      <c r="C16" s="639"/>
      <c r="D16" s="642">
        <v>140089564</v>
      </c>
      <c r="E16" s="639">
        <v>239412726.01542288</v>
      </c>
      <c r="F16" s="639"/>
      <c r="G16" s="355">
        <f>E16*0.5</f>
        <v>119706363.00771144</v>
      </c>
    </row>
    <row r="17" spans="1:7">
      <c r="A17" s="352">
        <v>10</v>
      </c>
      <c r="B17" s="353" t="s">
        <v>390</v>
      </c>
      <c r="C17" s="354"/>
      <c r="D17" s="358"/>
      <c r="E17" s="354"/>
      <c r="F17" s="354"/>
      <c r="G17" s="355"/>
    </row>
    <row r="18" spans="1:7">
      <c r="A18" s="352">
        <v>11</v>
      </c>
      <c r="B18" s="353" t="s">
        <v>391</v>
      </c>
      <c r="C18" s="354">
        <f>SUM(C19:C20)</f>
        <v>38415834</v>
      </c>
      <c r="D18" s="358">
        <f t="shared" ref="D18:G18" si="2">SUM(D19:D20)</f>
        <v>5521303.3399999999</v>
      </c>
      <c r="E18" s="354">
        <f t="shared" si="2"/>
        <v>2665152.4037807146</v>
      </c>
      <c r="F18" s="354">
        <f t="shared" si="2"/>
        <v>43015412.676826611</v>
      </c>
      <c r="G18" s="355">
        <f t="shared" si="2"/>
        <v>0</v>
      </c>
    </row>
    <row r="19" spans="1:7">
      <c r="A19" s="352">
        <v>12</v>
      </c>
      <c r="B19" s="356" t="s">
        <v>392</v>
      </c>
      <c r="C19" s="357"/>
      <c r="D19" s="358"/>
      <c r="E19" s="354"/>
      <c r="F19" s="354"/>
      <c r="G19" s="355"/>
    </row>
    <row r="20" spans="1:7">
      <c r="A20" s="352">
        <v>13</v>
      </c>
      <c r="B20" s="356" t="s">
        <v>393</v>
      </c>
      <c r="C20" s="639">
        <v>38415834</v>
      </c>
      <c r="D20" s="639">
        <v>5521303.3399999999</v>
      </c>
      <c r="E20" s="639">
        <v>2665152.4037807146</v>
      </c>
      <c r="F20" s="639">
        <v>43015412.676826611</v>
      </c>
      <c r="G20" s="355"/>
    </row>
    <row r="21" spans="1:7">
      <c r="A21" s="359">
        <v>14</v>
      </c>
      <c r="B21" s="360" t="s">
        <v>394</v>
      </c>
      <c r="C21" s="357"/>
      <c r="D21" s="357"/>
      <c r="E21" s="357"/>
      <c r="F21" s="357"/>
      <c r="G21" s="361">
        <f>SUM(G8,G11,G14,G17,G18)</f>
        <v>1683962194.9909942</v>
      </c>
    </row>
    <row r="22" spans="1:7">
      <c r="A22" s="362"/>
      <c r="B22" s="363" t="s">
        <v>395</v>
      </c>
      <c r="C22" s="364"/>
      <c r="D22" s="365"/>
      <c r="E22" s="364"/>
      <c r="F22" s="364"/>
      <c r="G22" s="366"/>
    </row>
    <row r="23" spans="1:7">
      <c r="A23" s="352">
        <v>15</v>
      </c>
      <c r="B23" s="353" t="s">
        <v>396</v>
      </c>
      <c r="C23" s="643">
        <v>169218418</v>
      </c>
      <c r="D23" s="644">
        <v>121291126</v>
      </c>
      <c r="E23" s="643">
        <v>3052342</v>
      </c>
      <c r="F23" s="643"/>
      <c r="G23" s="361">
        <v>4286294.5449749995</v>
      </c>
    </row>
    <row r="24" spans="1:7">
      <c r="A24" s="352">
        <v>16</v>
      </c>
      <c r="B24" s="353" t="s">
        <v>397</v>
      </c>
      <c r="C24" s="354">
        <f>SUM(C25:C27,C29,C31)</f>
        <v>68703437.350000009</v>
      </c>
      <c r="D24" s="358">
        <f t="shared" ref="D24:G24" si="3">SUM(D25:D27,D29,D31)</f>
        <v>587477903.89677203</v>
      </c>
      <c r="E24" s="354">
        <f t="shared" si="3"/>
        <v>321081808.45352298</v>
      </c>
      <c r="F24" s="354">
        <f t="shared" si="3"/>
        <v>893870763.93219507</v>
      </c>
      <c r="G24" s="355">
        <f t="shared" si="3"/>
        <v>1204241220.1412451</v>
      </c>
    </row>
    <row r="25" spans="1:7">
      <c r="A25" s="352">
        <v>17</v>
      </c>
      <c r="B25" s="356" t="s">
        <v>398</v>
      </c>
      <c r="C25" s="354"/>
      <c r="D25" s="358"/>
      <c r="E25" s="354"/>
      <c r="F25" s="354"/>
      <c r="G25" s="355"/>
    </row>
    <row r="26" spans="1:7" ht="27.6">
      <c r="A26" s="352">
        <v>18</v>
      </c>
      <c r="B26" s="356" t="s">
        <v>399</v>
      </c>
      <c r="C26" s="645">
        <v>68703437.350000009</v>
      </c>
      <c r="D26" s="619"/>
      <c r="E26" s="645"/>
      <c r="F26" s="645"/>
      <c r="G26" s="355">
        <f>C26*0.15</f>
        <v>10305515.602500001</v>
      </c>
    </row>
    <row r="27" spans="1:7">
      <c r="A27" s="352">
        <v>19</v>
      </c>
      <c r="B27" s="356" t="s">
        <v>400</v>
      </c>
      <c r="C27" s="645"/>
      <c r="D27" s="619">
        <v>583359317.89677203</v>
      </c>
      <c r="E27" s="645">
        <v>297739756.45352298</v>
      </c>
      <c r="F27" s="645">
        <v>823672955.08219504</v>
      </c>
      <c r="G27" s="646">
        <v>1130264701.7162452</v>
      </c>
    </row>
    <row r="28" spans="1:7">
      <c r="A28" s="352">
        <v>20</v>
      </c>
      <c r="B28" s="367" t="s">
        <v>401</v>
      </c>
      <c r="C28" s="645"/>
      <c r="D28" s="619"/>
      <c r="E28" s="645"/>
      <c r="F28" s="645"/>
      <c r="G28" s="355"/>
    </row>
    <row r="29" spans="1:7">
      <c r="A29" s="352">
        <v>21</v>
      </c>
      <c r="B29" s="356" t="s">
        <v>402</v>
      </c>
      <c r="C29" s="645"/>
      <c r="D29" s="619">
        <v>4118586</v>
      </c>
      <c r="E29" s="645">
        <v>23342052</v>
      </c>
      <c r="F29" s="645">
        <v>69232747</v>
      </c>
      <c r="G29" s="355">
        <f>SUM(D29:F29)*0.65</f>
        <v>62850700.25</v>
      </c>
    </row>
    <row r="30" spans="1:7">
      <c r="A30" s="352">
        <v>22</v>
      </c>
      <c r="B30" s="367" t="s">
        <v>401</v>
      </c>
      <c r="C30" s="645"/>
      <c r="D30" s="619">
        <v>4118586</v>
      </c>
      <c r="E30" s="645">
        <v>23342052</v>
      </c>
      <c r="F30" s="645">
        <v>69232747</v>
      </c>
      <c r="G30" s="355">
        <f>SUM(D30:F30)*0.65</f>
        <v>62850700.25</v>
      </c>
    </row>
    <row r="31" spans="1:7">
      <c r="A31" s="352">
        <v>23</v>
      </c>
      <c r="B31" s="356" t="s">
        <v>403</v>
      </c>
      <c r="C31" s="645"/>
      <c r="D31" s="619"/>
      <c r="E31" s="645"/>
      <c r="F31" s="645">
        <v>965061.85000000009</v>
      </c>
      <c r="G31" s="355">
        <f>F31*0.85</f>
        <v>820302.57250000001</v>
      </c>
    </row>
    <row r="32" spans="1:7">
      <c r="A32" s="352">
        <v>24</v>
      </c>
      <c r="B32" s="353" t="s">
        <v>404</v>
      </c>
      <c r="C32" s="354"/>
      <c r="D32" s="358"/>
      <c r="E32" s="354"/>
      <c r="F32" s="354"/>
      <c r="G32" s="355"/>
    </row>
    <row r="33" spans="1:7">
      <c r="A33" s="352">
        <v>25</v>
      </c>
      <c r="B33" s="353" t="s">
        <v>405</v>
      </c>
      <c r="C33" s="354">
        <f>SUM(C34:C35)</f>
        <v>76515341.309999987</v>
      </c>
      <c r="D33" s="354">
        <f>SUM(D34:D35)</f>
        <v>24685627.153227977</v>
      </c>
      <c r="E33" s="354">
        <f>SUM(E34:E35)</f>
        <v>3745200.1488544345</v>
      </c>
      <c r="F33" s="354">
        <f>SUM(F34:F35)</f>
        <v>51549157.387805074</v>
      </c>
      <c r="G33" s="355">
        <f>SUM(G34:G35)</f>
        <v>156495325.99988747</v>
      </c>
    </row>
    <row r="34" spans="1:7">
      <c r="A34" s="352">
        <v>26</v>
      </c>
      <c r="B34" s="356" t="s">
        <v>406</v>
      </c>
      <c r="C34" s="357"/>
      <c r="D34" s="358">
        <v>757847.93</v>
      </c>
      <c r="E34" s="354"/>
      <c r="F34" s="354"/>
      <c r="G34" s="355">
        <f>D34</f>
        <v>757847.93</v>
      </c>
    </row>
    <row r="35" spans="1:7">
      <c r="A35" s="352">
        <v>27</v>
      </c>
      <c r="B35" s="356" t="s">
        <v>407</v>
      </c>
      <c r="C35" s="639">
        <v>76515341.309999987</v>
      </c>
      <c r="D35" s="640">
        <v>23927779.223227978</v>
      </c>
      <c r="E35" s="639">
        <v>3745200.1488544345</v>
      </c>
      <c r="F35" s="639">
        <v>51549157.387805074</v>
      </c>
      <c r="G35" s="355">
        <f>SUM(C35:F35)</f>
        <v>155737478.06988746</v>
      </c>
    </row>
    <row r="36" spans="1:7">
      <c r="A36" s="352">
        <v>28</v>
      </c>
      <c r="B36" s="353" t="s">
        <v>408</v>
      </c>
      <c r="C36" s="645">
        <f>925746.08+23392112</f>
        <v>24317858.079999998</v>
      </c>
      <c r="D36" s="619"/>
      <c r="E36" s="645"/>
      <c r="F36" s="645">
        <f>46913002.54-23392112</f>
        <v>23520890.539999999</v>
      </c>
      <c r="G36" s="355">
        <f>SUM(C36:F36)*0.05</f>
        <v>2391937.4309999999</v>
      </c>
    </row>
    <row r="37" spans="1:7">
      <c r="A37" s="359">
        <v>29</v>
      </c>
      <c r="B37" s="360" t="s">
        <v>409</v>
      </c>
      <c r="C37" s="357"/>
      <c r="D37" s="357"/>
      <c r="E37" s="357"/>
      <c r="F37" s="357"/>
      <c r="G37" s="361">
        <f>SUM(G23:G24,G32:G33,G36)</f>
        <v>1367414778.1171076</v>
      </c>
    </row>
    <row r="38" spans="1:7">
      <c r="A38" s="348"/>
      <c r="B38" s="368"/>
      <c r="C38" s="369"/>
      <c r="D38" s="369"/>
      <c r="E38" s="369"/>
      <c r="F38" s="369"/>
      <c r="G38" s="370"/>
    </row>
    <row r="39" spans="1:7" ht="15" thickBot="1">
      <c r="A39" s="371">
        <v>30</v>
      </c>
      <c r="B39" s="372" t="s">
        <v>410</v>
      </c>
      <c r="C39" s="235"/>
      <c r="D39" s="236"/>
      <c r="E39" s="236"/>
      <c r="F39" s="237"/>
      <c r="G39" s="373">
        <f>IFERROR(G21/G37,0)</f>
        <v>1.2314933419907628</v>
      </c>
    </row>
    <row r="42" spans="1:7" ht="41.4">
      <c r="B42" s="180" t="s">
        <v>411</v>
      </c>
    </row>
  </sheetData>
  <mergeCells count="2">
    <mergeCell ref="C5:F5"/>
    <mergeCell ref="G5:G6"/>
  </mergeCells>
  <pageMargins left="0.7" right="0.7" top="0.75" bottom="0.75" header="0.3" footer="0.3"/>
  <ignoredErrors>
    <ignoredError sqref="G1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zoomScale="76" zoomScaleNormal="76" workbookViewId="0">
      <pane xSplit="1" ySplit="5" topLeftCell="B6" activePane="bottomRight" state="frozen"/>
      <selection activeCell="B9" sqref="B9"/>
      <selection pane="topRight" activeCell="B9" sqref="B9"/>
      <selection pane="bottomLeft" activeCell="B9" sqref="B9"/>
      <selection pane="bottomRight" activeCell="N24" sqref="N24"/>
    </sheetView>
  </sheetViews>
  <sheetFormatPr defaultColWidth="9.21875" defaultRowHeight="13.8"/>
  <cols>
    <col min="1" max="1" width="9.5546875" style="3" bestFit="1" customWidth="1"/>
    <col min="2" max="2" width="86" style="3" customWidth="1"/>
    <col min="3" max="3" width="13.6640625" style="3" bestFit="1" customWidth="1"/>
    <col min="4" max="7" width="13.6640625" style="4" bestFit="1" customWidth="1"/>
    <col min="8" max="8" width="6.77734375" style="5" customWidth="1"/>
    <col min="9" max="12" width="13.6640625" style="5" bestFit="1" customWidth="1"/>
    <col min="13" max="13" width="6.77734375" style="5" customWidth="1"/>
    <col min="14" max="16384" width="9.21875" style="5"/>
  </cols>
  <sheetData>
    <row r="1" spans="1:12">
      <c r="A1" s="2" t="s">
        <v>30</v>
      </c>
      <c r="B1" s="3" t="str">
        <f>'Info '!C2</f>
        <v>JSC "CREDOBANK"</v>
      </c>
    </row>
    <row r="2" spans="1:12">
      <c r="A2" s="2" t="s">
        <v>31</v>
      </c>
      <c r="B2" s="336">
        <v>45199</v>
      </c>
    </row>
    <row r="3" spans="1:12" ht="14.4" thickBot="1">
      <c r="A3" s="2"/>
    </row>
    <row r="4" spans="1:12" ht="15" customHeight="1" thickBot="1">
      <c r="A4" s="6" t="s">
        <v>93</v>
      </c>
      <c r="B4" s="7" t="s">
        <v>92</v>
      </c>
      <c r="C4" s="695" t="s">
        <v>700</v>
      </c>
      <c r="D4" s="696"/>
      <c r="E4" s="696"/>
      <c r="F4" s="696"/>
      <c r="G4" s="697"/>
      <c r="I4" s="692" t="s">
        <v>701</v>
      </c>
      <c r="J4" s="693"/>
      <c r="K4" s="693"/>
      <c r="L4" s="694"/>
    </row>
    <row r="5" spans="1:12">
      <c r="A5" s="8" t="s">
        <v>6</v>
      </c>
      <c r="B5" s="9"/>
      <c r="C5" s="334" t="str">
        <f>INT((MONTH($B$2))/3)&amp;"Q"&amp;"-"&amp;YEAR($B$2)</f>
        <v>3Q-2023</v>
      </c>
      <c r="D5" s="334" t="str">
        <f>IF(INT(MONTH($B$2))=3, "4"&amp;"Q"&amp;"-"&amp;YEAR($B$2)-1, IF(INT(MONTH($B$2))=6, "1"&amp;"Q"&amp;"-"&amp;YEAR($B$2), IF(INT(MONTH($B$2))=9, "2"&amp;"Q"&amp;"-"&amp;YEAR($B$2),IF(INT(MONTH($B$2))=12, "3"&amp;"Q"&amp;"-"&amp;YEAR($B$2), 0))))</f>
        <v>2Q-2023</v>
      </c>
      <c r="E5" s="334" t="str">
        <f>IF(INT(MONTH($B$2))=3, "3"&amp;"Q"&amp;"-"&amp;YEAR($B$2)-1, IF(INT(MONTH($B$2))=6, "4"&amp;"Q"&amp;"-"&amp;YEAR($B$2)-1, IF(INT(MONTH($B$2))=9, "1"&amp;"Q"&amp;"-"&amp;YEAR($B$2),IF(INT(MONTH($B$2))=12, "2"&amp;"Q"&amp;"-"&amp;YEAR($B$2), 0))))</f>
        <v>1Q-2023</v>
      </c>
      <c r="F5" s="334" t="str">
        <f>IF(INT(MONTH($B$2))=3, "2"&amp;"Q"&amp;"-"&amp;YEAR($B$2)-1, IF(INT(MONTH($B$2))=6, "3"&amp;"Q"&amp;"-"&amp;YEAR($B$2)-1, IF(INT(MONTH($B$2))=9, "4"&amp;"Q"&amp;"-"&amp;YEAR($B$2)-1,IF(INT(MONTH($B$2))=12, "1"&amp;"Q"&amp;"-"&amp;YEAR($B$2), 0))))</f>
        <v>4Q-2022</v>
      </c>
      <c r="G5" s="335" t="str">
        <f>IF(INT(MONTH($B$2))=3, "1"&amp;"Q"&amp;"-"&amp;YEAR($B$2)-1, IF(INT(MONTH($B$2))=6, "2"&amp;"Q"&amp;"-"&amp;YEAR($B$2)-1, IF(INT(MONTH($B$2))=9, "3"&amp;"Q"&amp;"-"&amp;YEAR($B$2)-1,IF(INT(MONTH($B$2))=12, "4"&amp;"Q"&amp;"-"&amp;YEAR($B$2)-1, 0))))</f>
        <v>3Q-2022</v>
      </c>
      <c r="I5" s="560" t="str">
        <f>D5</f>
        <v>2Q-2023</v>
      </c>
      <c r="J5" s="334" t="str">
        <f t="shared" ref="J5:L5" si="0">E5</f>
        <v>1Q-2023</v>
      </c>
      <c r="K5" s="334" t="str">
        <f t="shared" si="0"/>
        <v>4Q-2022</v>
      </c>
      <c r="L5" s="335" t="str">
        <f t="shared" si="0"/>
        <v>3Q-2022</v>
      </c>
    </row>
    <row r="6" spans="1:12">
      <c r="B6" s="151" t="s">
        <v>91</v>
      </c>
      <c r="C6" s="337"/>
      <c r="D6" s="337"/>
      <c r="E6" s="337"/>
      <c r="F6" s="337"/>
      <c r="G6" s="338"/>
      <c r="I6" s="561"/>
      <c r="J6" s="337"/>
      <c r="K6" s="337"/>
      <c r="L6" s="338"/>
    </row>
    <row r="7" spans="1:12">
      <c r="A7" s="10"/>
      <c r="B7" s="152" t="s">
        <v>89</v>
      </c>
      <c r="C7" s="337"/>
      <c r="D7" s="337"/>
      <c r="E7" s="337"/>
      <c r="F7" s="337"/>
      <c r="G7" s="338"/>
      <c r="I7" s="561"/>
      <c r="J7" s="337"/>
      <c r="K7" s="337"/>
      <c r="L7" s="338"/>
    </row>
    <row r="8" spans="1:12">
      <c r="A8" s="8">
        <v>1</v>
      </c>
      <c r="B8" s="11" t="s">
        <v>363</v>
      </c>
      <c r="C8" s="12">
        <v>273581181.16999578</v>
      </c>
      <c r="D8" s="13">
        <v>260667992.61999992</v>
      </c>
      <c r="E8" s="13">
        <v>249275771.72</v>
      </c>
      <c r="F8" s="13">
        <v>245581009.12999979</v>
      </c>
      <c r="G8" s="14">
        <v>234593846.70000005</v>
      </c>
      <c r="I8" s="562">
        <v>238102682.34000072</v>
      </c>
      <c r="J8" s="563">
        <v>227329233.36999953</v>
      </c>
      <c r="K8" s="563">
        <v>214666012.52000001</v>
      </c>
      <c r="L8" s="564">
        <v>207106305.80000001</v>
      </c>
    </row>
    <row r="9" spans="1:12">
      <c r="A9" s="8">
        <v>2</v>
      </c>
      <c r="B9" s="11" t="s">
        <v>364</v>
      </c>
      <c r="C9" s="12">
        <v>273581181.16999578</v>
      </c>
      <c r="D9" s="13">
        <v>260667992.61999992</v>
      </c>
      <c r="E9" s="13">
        <v>249275771.72</v>
      </c>
      <c r="F9" s="13">
        <v>245581009.12999979</v>
      </c>
      <c r="G9" s="14">
        <v>234593846.70000005</v>
      </c>
      <c r="I9" s="562">
        <v>238102682.34000072</v>
      </c>
      <c r="J9" s="563">
        <v>227329233.36999953</v>
      </c>
      <c r="K9" s="563">
        <v>214666012.51999971</v>
      </c>
      <c r="L9" s="564">
        <v>207106305.80000001</v>
      </c>
    </row>
    <row r="10" spans="1:12">
      <c r="A10" s="8">
        <v>3</v>
      </c>
      <c r="B10" s="11" t="s">
        <v>142</v>
      </c>
      <c r="C10" s="12">
        <v>348715297.16999578</v>
      </c>
      <c r="D10" s="13">
        <v>339370410.61999989</v>
      </c>
      <c r="E10" s="13">
        <v>326164029.72000003</v>
      </c>
      <c r="F10" s="13">
        <v>312962049.12999976</v>
      </c>
      <c r="G10" s="14">
        <v>303793946.70000005</v>
      </c>
      <c r="I10" s="562">
        <v>337198825.76114929</v>
      </c>
      <c r="J10" s="563">
        <v>323841615.06906784</v>
      </c>
      <c r="K10" s="563">
        <v>302188638.76197034</v>
      </c>
      <c r="L10" s="564">
        <v>294906529.86733359</v>
      </c>
    </row>
    <row r="11" spans="1:12">
      <c r="A11" s="8">
        <v>4</v>
      </c>
      <c r="B11" s="11" t="s">
        <v>366</v>
      </c>
      <c r="C11" s="12">
        <v>211366153.40843534</v>
      </c>
      <c r="D11" s="13">
        <v>206145177.04826996</v>
      </c>
      <c r="E11" s="13">
        <v>197630429.46356279</v>
      </c>
      <c r="F11" s="13">
        <v>197699126.41092411</v>
      </c>
      <c r="G11" s="14">
        <v>148166094.10301402</v>
      </c>
      <c r="I11" s="562">
        <v>176489743.36682165</v>
      </c>
      <c r="J11" s="563">
        <v>172140990.82947937</v>
      </c>
      <c r="K11" s="563">
        <v>168546471.01320142</v>
      </c>
      <c r="L11" s="564">
        <v>155187807.28500125</v>
      </c>
    </row>
    <row r="12" spans="1:12">
      <c r="A12" s="8">
        <v>5</v>
      </c>
      <c r="B12" s="11" t="s">
        <v>367</v>
      </c>
      <c r="C12" s="12">
        <v>253060191.63724506</v>
      </c>
      <c r="D12" s="13">
        <v>246974104.80373019</v>
      </c>
      <c r="E12" s="13">
        <v>237258757.57883739</v>
      </c>
      <c r="F12" s="13">
        <v>235965932.35859731</v>
      </c>
      <c r="G12" s="14">
        <v>184085650.21945411</v>
      </c>
      <c r="I12" s="562">
        <v>218714358.1203261</v>
      </c>
      <c r="J12" s="563">
        <v>213319510.62380606</v>
      </c>
      <c r="K12" s="563">
        <v>208103387.59380776</v>
      </c>
      <c r="L12" s="564">
        <v>191591817.26351747</v>
      </c>
    </row>
    <row r="13" spans="1:12">
      <c r="A13" s="8">
        <v>6</v>
      </c>
      <c r="B13" s="11" t="s">
        <v>365</v>
      </c>
      <c r="C13" s="12">
        <v>308445062.24420512</v>
      </c>
      <c r="D13" s="13">
        <v>301209566.78413063</v>
      </c>
      <c r="E13" s="13">
        <v>289894568.45340198</v>
      </c>
      <c r="F13" s="13">
        <v>297781619.25709003</v>
      </c>
      <c r="G13" s="14">
        <v>242129845.12346169</v>
      </c>
      <c r="I13" s="562">
        <v>274804064.26633006</v>
      </c>
      <c r="J13" s="563">
        <v>268019862.51069021</v>
      </c>
      <c r="K13" s="563">
        <v>272011178.0017516</v>
      </c>
      <c r="L13" s="564">
        <v>250423017.24919254</v>
      </c>
    </row>
    <row r="14" spans="1:12">
      <c r="A14" s="10"/>
      <c r="B14" s="151" t="s">
        <v>369</v>
      </c>
      <c r="C14" s="337"/>
      <c r="D14" s="337"/>
      <c r="E14" s="337"/>
      <c r="F14" s="337"/>
      <c r="G14" s="338"/>
      <c r="I14" s="561"/>
      <c r="J14" s="337"/>
      <c r="K14" s="337"/>
      <c r="L14" s="338"/>
    </row>
    <row r="15" spans="1:12" ht="15" customHeight="1">
      <c r="A15" s="8">
        <v>7</v>
      </c>
      <c r="B15" s="11" t="s">
        <v>368</v>
      </c>
      <c r="C15" s="211">
        <v>1992317162.3594787</v>
      </c>
      <c r="D15" s="13">
        <v>1950116748.2201159</v>
      </c>
      <c r="E15" s="13">
        <v>1893374491.8908103</v>
      </c>
      <c r="F15" s="13">
        <v>1931098425.3504341</v>
      </c>
      <c r="G15" s="14">
        <v>1816053193.8398914</v>
      </c>
      <c r="I15" s="562">
        <v>2017809587.2925699</v>
      </c>
      <c r="J15" s="563">
        <v>1968738198.5261486</v>
      </c>
      <c r="K15" s="563">
        <v>1997562971.9483364</v>
      </c>
      <c r="L15" s="564">
        <v>1841246012.9868748</v>
      </c>
    </row>
    <row r="16" spans="1:12">
      <c r="A16" s="10"/>
      <c r="B16" s="151" t="s">
        <v>370</v>
      </c>
      <c r="C16" s="337"/>
      <c r="D16" s="337"/>
      <c r="E16" s="337"/>
      <c r="F16" s="337"/>
      <c r="G16" s="338"/>
      <c r="I16" s="561"/>
      <c r="J16" s="337"/>
      <c r="K16" s="337"/>
      <c r="L16" s="338"/>
    </row>
    <row r="17" spans="1:12">
      <c r="A17" s="8"/>
      <c r="B17" s="152" t="s">
        <v>354</v>
      </c>
      <c r="C17" s="337"/>
      <c r="D17" s="337"/>
      <c r="E17" s="337"/>
      <c r="F17" s="337"/>
      <c r="G17" s="338"/>
      <c r="I17" s="561"/>
      <c r="J17" s="337"/>
      <c r="K17" s="337"/>
      <c r="L17" s="338"/>
    </row>
    <row r="18" spans="1:12">
      <c r="A18" s="8">
        <v>8</v>
      </c>
      <c r="B18" s="11" t="s">
        <v>363</v>
      </c>
      <c r="C18" s="577">
        <v>0.13731808686825581</v>
      </c>
      <c r="D18" s="575">
        <v>0.13366789083674774</v>
      </c>
      <c r="E18" s="575">
        <v>0.13165687653849284</v>
      </c>
      <c r="F18" s="575">
        <v>0.12717166867630506</v>
      </c>
      <c r="G18" s="576">
        <v>0.12917784979853544</v>
      </c>
      <c r="I18" s="578">
        <v>0.11800057044008747</v>
      </c>
      <c r="J18" s="579">
        <v>0.11546950912019914</v>
      </c>
      <c r="K18" s="579">
        <v>0.10746395259350637</v>
      </c>
      <c r="L18" s="580">
        <v>0.11248160448914241</v>
      </c>
    </row>
    <row r="19" spans="1:12" ht="15" customHeight="1">
      <c r="A19" s="8">
        <v>9</v>
      </c>
      <c r="B19" s="11" t="s">
        <v>364</v>
      </c>
      <c r="C19" s="577">
        <v>0.13731808686825581</v>
      </c>
      <c r="D19" s="575">
        <v>0.13366789083674774</v>
      </c>
      <c r="E19" s="575">
        <v>0.13165687653849284</v>
      </c>
      <c r="F19" s="575">
        <v>0.12717166867630506</v>
      </c>
      <c r="G19" s="576">
        <v>0.12917784979853544</v>
      </c>
      <c r="I19" s="578">
        <v>0.11800057044008747</v>
      </c>
      <c r="J19" s="579">
        <v>0.11546950912019914</v>
      </c>
      <c r="K19" s="579">
        <v>0.10746395259350637</v>
      </c>
      <c r="L19" s="580">
        <v>0.11248160448914241</v>
      </c>
    </row>
    <row r="20" spans="1:12">
      <c r="A20" s="8">
        <v>10</v>
      </c>
      <c r="B20" s="11" t="s">
        <v>142</v>
      </c>
      <c r="C20" s="577">
        <v>0.17503001216784991</v>
      </c>
      <c r="D20" s="575">
        <v>0.17402568893874967</v>
      </c>
      <c r="E20" s="575">
        <v>0.17226598917273769</v>
      </c>
      <c r="F20" s="575">
        <v>0.1620642661304055</v>
      </c>
      <c r="G20" s="576">
        <v>0.16728251558405804</v>
      </c>
      <c r="I20" s="578">
        <v>0.16711132105066043</v>
      </c>
      <c r="J20" s="579">
        <v>0.16449196511324082</v>
      </c>
      <c r="K20" s="579">
        <v>0.15127865454335521</v>
      </c>
      <c r="L20" s="580">
        <v>0.16016682604457366</v>
      </c>
    </row>
    <row r="21" spans="1:12">
      <c r="A21" s="8">
        <v>11</v>
      </c>
      <c r="B21" s="11" t="s">
        <v>366</v>
      </c>
      <c r="C21" s="577">
        <v>0.10609061518793181</v>
      </c>
      <c r="D21" s="575">
        <v>0.10570914650952051</v>
      </c>
      <c r="E21" s="575">
        <v>0.10438</v>
      </c>
      <c r="F21" s="575">
        <v>0.10237651474188732</v>
      </c>
      <c r="G21" s="576">
        <v>8.1586869044143639E-2</v>
      </c>
      <c r="I21" s="578">
        <v>8.7466004958193178E-2</v>
      </c>
      <c r="J21" s="579">
        <v>8.7437217888264085E-2</v>
      </c>
      <c r="K21" s="579">
        <v>8.4376048905636492E-2</v>
      </c>
      <c r="L21" s="580">
        <v>8.4284124006468383E-2</v>
      </c>
    </row>
    <row r="22" spans="1:12">
      <c r="A22" s="8">
        <v>12</v>
      </c>
      <c r="B22" s="11" t="s">
        <v>367</v>
      </c>
      <c r="C22" s="577">
        <v>0.12701802524878519</v>
      </c>
      <c r="D22" s="575">
        <v>0.12664580468279402</v>
      </c>
      <c r="E22" s="575">
        <v>0.12530999999999998</v>
      </c>
      <c r="F22" s="575">
        <v>0.12219259736373969</v>
      </c>
      <c r="G22" s="576">
        <v>0.10136578093850904</v>
      </c>
      <c r="I22" s="578">
        <v>0.10839197092615155</v>
      </c>
      <c r="J22" s="579">
        <v>0.10835341681463939</v>
      </c>
      <c r="K22" s="579">
        <v>0.1041786369271917</v>
      </c>
      <c r="L22" s="580">
        <v>0.10405552322294871</v>
      </c>
    </row>
    <row r="23" spans="1:12">
      <c r="A23" s="8">
        <v>13</v>
      </c>
      <c r="B23" s="11" t="s">
        <v>365</v>
      </c>
      <c r="C23" s="577">
        <v>0.15481724901306598</v>
      </c>
      <c r="D23" s="575">
        <v>0.15445719701604868</v>
      </c>
      <c r="E23" s="575">
        <v>0.15311000000000002</v>
      </c>
      <c r="F23" s="575">
        <v>0.15420323239249287</v>
      </c>
      <c r="G23" s="576">
        <v>0.13332750711530567</v>
      </c>
      <c r="I23" s="578">
        <v>0.13618929456820209</v>
      </c>
      <c r="J23" s="579">
        <v>0.13613788908618588</v>
      </c>
      <c r="K23" s="579">
        <v>0.13617151590292229</v>
      </c>
      <c r="L23" s="580">
        <v>0.13600736429726495</v>
      </c>
    </row>
    <row r="24" spans="1:12">
      <c r="A24" s="10"/>
      <c r="B24" s="151" t="s">
        <v>88</v>
      </c>
      <c r="C24" s="337"/>
      <c r="D24" s="337"/>
      <c r="E24" s="337"/>
      <c r="F24" s="337"/>
      <c r="G24" s="338"/>
      <c r="I24" s="561"/>
      <c r="J24" s="337"/>
      <c r="K24" s="337"/>
      <c r="L24" s="338"/>
    </row>
    <row r="25" spans="1:12" ht="15" customHeight="1">
      <c r="A25" s="339">
        <v>14</v>
      </c>
      <c r="B25" s="11" t="s">
        <v>87</v>
      </c>
      <c r="C25" s="581">
        <v>0.20165843052568264</v>
      </c>
      <c r="D25" s="582">
        <v>0.19999527941386908</v>
      </c>
      <c r="E25" s="582">
        <v>0.19869999999999999</v>
      </c>
      <c r="F25" s="582">
        <v>0.217</v>
      </c>
      <c r="G25" s="583">
        <v>0.22109999999999999</v>
      </c>
      <c r="I25" s="584">
        <v>0.16472293116836484</v>
      </c>
      <c r="J25" s="585">
        <v>0.16516382001352556</v>
      </c>
      <c r="K25" s="585">
        <v>0.17369436084755779</v>
      </c>
      <c r="L25" s="586">
        <v>0.17577151248133191</v>
      </c>
    </row>
    <row r="26" spans="1:12">
      <c r="A26" s="339">
        <v>15</v>
      </c>
      <c r="B26" s="11" t="s">
        <v>86</v>
      </c>
      <c r="C26" s="581">
        <v>8.8709309573833328E-2</v>
      </c>
      <c r="D26" s="582">
        <v>8.9230553744010108E-2</v>
      </c>
      <c r="E26" s="582">
        <v>8.9499999999999996E-2</v>
      </c>
      <c r="F26" s="582">
        <v>9.6799999999999997E-2</v>
      </c>
      <c r="G26" s="583">
        <v>9.8500000000000004E-2</v>
      </c>
      <c r="I26" s="584">
        <v>8.698686307012729E-2</v>
      </c>
      <c r="J26" s="585">
        <v>8.7022423581187697E-2</v>
      </c>
      <c r="K26" s="585">
        <v>9.3747599787266697E-2</v>
      </c>
      <c r="L26" s="586">
        <v>9.5226642487695606E-2</v>
      </c>
    </row>
    <row r="27" spans="1:12">
      <c r="A27" s="339">
        <v>16</v>
      </c>
      <c r="B27" s="11" t="s">
        <v>85</v>
      </c>
      <c r="C27" s="581">
        <v>4.8751558674860834E-2</v>
      </c>
      <c r="D27" s="582">
        <v>4.535246578869833E-2</v>
      </c>
      <c r="E27" s="582">
        <v>4.3799999999999999E-2</v>
      </c>
      <c r="F27" s="582">
        <v>5.7200000000000001E-2</v>
      </c>
      <c r="G27" s="583">
        <v>5.57E-2</v>
      </c>
      <c r="I27" s="584">
        <v>3.2228817310131372E-2</v>
      </c>
      <c r="J27" s="585">
        <v>4.0038876592750676E-2</v>
      </c>
      <c r="K27" s="585">
        <v>3.6082132132482826E-2</v>
      </c>
      <c r="L27" s="586">
        <v>3.7508093087610758E-2</v>
      </c>
    </row>
    <row r="28" spans="1:12">
      <c r="A28" s="339">
        <v>17</v>
      </c>
      <c r="B28" s="11" t="s">
        <v>84</v>
      </c>
      <c r="C28" s="581">
        <v>0.11294912095184928</v>
      </c>
      <c r="D28" s="582">
        <v>0.11076472566985895</v>
      </c>
      <c r="E28" s="582">
        <v>0.10919999999999999</v>
      </c>
      <c r="F28" s="582">
        <v>0.1202</v>
      </c>
      <c r="G28" s="583">
        <v>0.12259999999999999</v>
      </c>
      <c r="I28" s="584">
        <v>7.7736068098237535E-2</v>
      </c>
      <c r="J28" s="585">
        <v>7.8141396432337862E-2</v>
      </c>
      <c r="K28" s="585">
        <v>7.9946761060291097E-2</v>
      </c>
      <c r="L28" s="586">
        <v>8.0544869993636289E-2</v>
      </c>
    </row>
    <row r="29" spans="1:12">
      <c r="A29" s="339">
        <v>18</v>
      </c>
      <c r="B29" s="11" t="s">
        <v>166</v>
      </c>
      <c r="C29" s="581">
        <v>1.5755517094875125E-2</v>
      </c>
      <c r="D29" s="582">
        <v>1.2539140240782745E-2</v>
      </c>
      <c r="E29" s="582">
        <v>9.1999999999999998E-3</v>
      </c>
      <c r="F29" s="582">
        <v>2.47E-2</v>
      </c>
      <c r="G29" s="583">
        <v>2.3400000000000001E-2</v>
      </c>
      <c r="I29" s="584">
        <v>2.1427121222337031E-2</v>
      </c>
      <c r="J29" s="585">
        <v>2.7364499316997783E-2</v>
      </c>
      <c r="K29" s="585">
        <v>1.7382715990512006E-2</v>
      </c>
      <c r="L29" s="586">
        <v>1.5318970784860456E-2</v>
      </c>
    </row>
    <row r="30" spans="1:12">
      <c r="A30" s="339">
        <v>19</v>
      </c>
      <c r="B30" s="11" t="s">
        <v>167</v>
      </c>
      <c r="C30" s="581">
        <v>0.12818915166632455</v>
      </c>
      <c r="D30" s="582">
        <v>0.10215598934812109</v>
      </c>
      <c r="E30" s="582">
        <v>7.4800000000000005E-2</v>
      </c>
      <c r="F30" s="582">
        <v>0.19750000000000001</v>
      </c>
      <c r="G30" s="583">
        <v>0.186</v>
      </c>
      <c r="I30" s="584">
        <v>0.19558561384584894</v>
      </c>
      <c r="J30" s="585">
        <v>0.25243818124239986</v>
      </c>
      <c r="K30" s="585">
        <v>0.15770000000000001</v>
      </c>
      <c r="L30" s="586">
        <v>0.13767808099401715</v>
      </c>
    </row>
    <row r="31" spans="1:12">
      <c r="A31" s="10"/>
      <c r="B31" s="151" t="s">
        <v>229</v>
      </c>
      <c r="C31" s="337"/>
      <c r="D31" s="337"/>
      <c r="E31" s="337"/>
      <c r="F31" s="337"/>
      <c r="G31" s="338"/>
      <c r="I31" s="561"/>
      <c r="J31" s="337"/>
      <c r="K31" s="337"/>
      <c r="L31" s="338"/>
    </row>
    <row r="32" spans="1:12">
      <c r="A32" s="339">
        <v>20</v>
      </c>
      <c r="B32" s="11" t="s">
        <v>83</v>
      </c>
      <c r="C32" s="581">
        <v>7.4144834285758739E-3</v>
      </c>
      <c r="D32" s="582">
        <v>7.7999999999999996E-3</v>
      </c>
      <c r="E32" s="582">
        <v>8.5000000000000006E-3</v>
      </c>
      <c r="F32" s="582">
        <v>9.78610893620167E-3</v>
      </c>
      <c r="G32" s="583">
        <v>1.3574523406658582E-2</v>
      </c>
      <c r="I32" s="584">
        <v>1.9863989380456613E-2</v>
      </c>
      <c r="J32" s="585">
        <v>1.9599999999999999E-2</v>
      </c>
      <c r="K32" s="585">
        <v>2.3871096451951922E-2</v>
      </c>
      <c r="L32" s="586">
        <v>3.2383367417705866E-2</v>
      </c>
    </row>
    <row r="33" spans="1:12" ht="15" customHeight="1">
      <c r="A33" s="339">
        <v>21</v>
      </c>
      <c r="B33" s="11" t="s">
        <v>712</v>
      </c>
      <c r="C33" s="581">
        <v>2.1419550833918735E-2</v>
      </c>
      <c r="D33" s="582">
        <v>2.1999999999999999E-2</v>
      </c>
      <c r="E33" s="582">
        <v>2.41E-2</v>
      </c>
      <c r="F33" s="582">
        <v>2.0500000000000001E-2</v>
      </c>
      <c r="G33" s="583">
        <v>2.4199999999999999E-2</v>
      </c>
      <c r="I33" s="584">
        <v>3.0701935911251893E-2</v>
      </c>
      <c r="J33" s="585">
        <v>3.2106452602982609E-2</v>
      </c>
      <c r="K33" s="585">
        <v>3.3211170692005902E-2</v>
      </c>
      <c r="L33" s="586">
        <v>3.7995556404880039E-2</v>
      </c>
    </row>
    <row r="34" spans="1:12">
      <c r="A34" s="339">
        <v>22</v>
      </c>
      <c r="B34" s="11" t="s">
        <v>82</v>
      </c>
      <c r="C34" s="581">
        <v>0.10351869435446093</v>
      </c>
      <c r="D34" s="582">
        <v>0.1048</v>
      </c>
      <c r="E34" s="582">
        <v>0.1047</v>
      </c>
      <c r="F34" s="582">
        <v>0.10639999999999999</v>
      </c>
      <c r="G34" s="583">
        <v>9.8699999999999996E-2</v>
      </c>
      <c r="I34" s="584">
        <v>0.10448446454123435</v>
      </c>
      <c r="J34" s="585">
        <v>0.10440000000000001</v>
      </c>
      <c r="K34" s="585">
        <v>0.10606337289064827</v>
      </c>
      <c r="L34" s="586">
        <v>9.8731863989680035E-2</v>
      </c>
    </row>
    <row r="35" spans="1:12" ht="15" customHeight="1">
      <c r="A35" s="339">
        <v>23</v>
      </c>
      <c r="B35" s="11" t="s">
        <v>81</v>
      </c>
      <c r="C35" s="581">
        <v>0.16217350737877462</v>
      </c>
      <c r="D35" s="582">
        <v>0.15959999999999999</v>
      </c>
      <c r="E35" s="582">
        <v>0.1651</v>
      </c>
      <c r="F35" s="582">
        <v>0.16889999999999999</v>
      </c>
      <c r="G35" s="583">
        <v>0.13589999999999999</v>
      </c>
      <c r="I35" s="584">
        <v>0.15763967398674023</v>
      </c>
      <c r="J35" s="585">
        <v>0.16300000000000001</v>
      </c>
      <c r="K35" s="585">
        <v>0.16718068949181306</v>
      </c>
      <c r="L35" s="586">
        <v>0.13363272851405159</v>
      </c>
    </row>
    <row r="36" spans="1:12">
      <c r="A36" s="339">
        <v>24</v>
      </c>
      <c r="B36" s="11" t="s">
        <v>80</v>
      </c>
      <c r="C36" s="581">
        <v>6.9868414348527752E-2</v>
      </c>
      <c r="D36" s="582">
        <v>1.47E-2</v>
      </c>
      <c r="E36" s="582">
        <v>9.7000000000000003E-3</v>
      </c>
      <c r="F36" s="582">
        <v>0.25</v>
      </c>
      <c r="G36" s="583">
        <v>0.17699999999999999</v>
      </c>
      <c r="I36" s="584">
        <v>4.3132208158023211E-2</v>
      </c>
      <c r="J36" s="585">
        <v>5.2700000000000004E-3</v>
      </c>
      <c r="K36" s="585">
        <v>0.20085356712840197</v>
      </c>
      <c r="L36" s="586">
        <v>0.12773668784046888</v>
      </c>
    </row>
    <row r="37" spans="1:12" ht="15" customHeight="1">
      <c r="A37" s="10"/>
      <c r="B37" s="151" t="s">
        <v>230</v>
      </c>
      <c r="C37" s="337"/>
      <c r="D37" s="337"/>
      <c r="E37" s="337"/>
      <c r="F37" s="337"/>
      <c r="G37" s="338"/>
      <c r="I37" s="561"/>
      <c r="J37" s="337"/>
      <c r="K37" s="337"/>
      <c r="L37" s="338"/>
    </row>
    <row r="38" spans="1:12" ht="15" customHeight="1">
      <c r="A38" s="339">
        <v>25</v>
      </c>
      <c r="B38" s="11" t="s">
        <v>79</v>
      </c>
      <c r="C38" s="587">
        <v>0.13885243177897869</v>
      </c>
      <c r="D38" s="588">
        <v>0.1237</v>
      </c>
      <c r="E38" s="588">
        <v>0.15390000000000001</v>
      </c>
      <c r="F38" s="588">
        <v>0.1338</v>
      </c>
      <c r="G38" s="589">
        <v>0.1288</v>
      </c>
      <c r="I38" s="590">
        <v>0.13306139921560961</v>
      </c>
      <c r="J38" s="591">
        <v>0.13250000000000001</v>
      </c>
      <c r="K38" s="591">
        <v>0.13224218771062179</v>
      </c>
      <c r="L38" s="592">
        <v>0.12482751523173331</v>
      </c>
    </row>
    <row r="39" spans="1:12" ht="15" customHeight="1">
      <c r="A39" s="339">
        <v>26</v>
      </c>
      <c r="B39" s="11" t="s">
        <v>78</v>
      </c>
      <c r="C39" s="587">
        <v>0.27619886094964935</v>
      </c>
      <c r="D39" s="588">
        <v>0.27900000000000003</v>
      </c>
      <c r="E39" s="588">
        <v>0.27389999999999998</v>
      </c>
      <c r="F39" s="588">
        <v>0.28139999999999998</v>
      </c>
      <c r="G39" s="589">
        <v>0.2379</v>
      </c>
      <c r="I39" s="590">
        <v>0.27400709540261015</v>
      </c>
      <c r="J39" s="591">
        <v>0.26879999999999998</v>
      </c>
      <c r="K39" s="591">
        <v>0.27629870187215017</v>
      </c>
      <c r="L39" s="592">
        <v>0.23418379388086483</v>
      </c>
    </row>
    <row r="40" spans="1:12" ht="15" customHeight="1">
      <c r="A40" s="339">
        <v>27</v>
      </c>
      <c r="B40" s="11" t="s">
        <v>77</v>
      </c>
      <c r="C40" s="587">
        <v>0.11626490808823245</v>
      </c>
      <c r="D40" s="588">
        <v>0.1143</v>
      </c>
      <c r="E40" s="588">
        <v>9.5200000000000007E-2</v>
      </c>
      <c r="F40" s="588">
        <v>0.10299999999999999</v>
      </c>
      <c r="G40" s="589">
        <v>9.1200000000000003E-2</v>
      </c>
      <c r="I40" s="590">
        <v>0.11290332193742683</v>
      </c>
      <c r="J40" s="591">
        <v>9.3948753316354827E-2</v>
      </c>
      <c r="K40" s="591">
        <v>0.10219181016612465</v>
      </c>
      <c r="L40" s="592">
        <v>8.9523857496763184E-2</v>
      </c>
    </row>
    <row r="41" spans="1:12" ht="15" customHeight="1">
      <c r="A41" s="340"/>
      <c r="B41" s="151" t="s">
        <v>271</v>
      </c>
      <c r="C41" s="337"/>
      <c r="D41" s="337"/>
      <c r="E41" s="337"/>
      <c r="F41" s="337"/>
      <c r="G41" s="338"/>
      <c r="I41" s="561"/>
      <c r="J41" s="337"/>
      <c r="K41" s="337"/>
      <c r="L41" s="338"/>
    </row>
    <row r="42" spans="1:12">
      <c r="A42" s="339">
        <v>28</v>
      </c>
      <c r="B42" s="11" t="s">
        <v>254</v>
      </c>
      <c r="C42" s="15">
        <v>297388065.41654223</v>
      </c>
      <c r="D42" s="16">
        <v>250231994.76926982</v>
      </c>
      <c r="E42" s="16">
        <v>286397601.06285328</v>
      </c>
      <c r="F42" s="16">
        <v>304823527.32999998</v>
      </c>
      <c r="G42" s="17">
        <v>228900364.54000002</v>
      </c>
      <c r="I42" s="565">
        <v>273697131.07999998</v>
      </c>
      <c r="J42" s="566">
        <v>250231994.76926982</v>
      </c>
      <c r="K42" s="566">
        <v>253102321.96526882</v>
      </c>
      <c r="L42" s="567">
        <v>227422413.58679929</v>
      </c>
    </row>
    <row r="43" spans="1:12" ht="15" customHeight="1">
      <c r="A43" s="339">
        <v>29</v>
      </c>
      <c r="B43" s="11" t="s">
        <v>266</v>
      </c>
      <c r="C43" s="15">
        <v>146641907.00037274</v>
      </c>
      <c r="D43" s="16">
        <v>134230427.80348599</v>
      </c>
      <c r="E43" s="16">
        <v>155335520.8722477</v>
      </c>
      <c r="F43" s="16">
        <v>132521210.6609405</v>
      </c>
      <c r="G43" s="17">
        <v>112292667.83324744</v>
      </c>
      <c r="I43" s="565">
        <v>144543917.90864196</v>
      </c>
      <c r="J43" s="566">
        <v>135321272.21771568</v>
      </c>
      <c r="K43" s="566">
        <v>119163803.34261332</v>
      </c>
      <c r="L43" s="567">
        <v>117655519.6043977</v>
      </c>
    </row>
    <row r="44" spans="1:12" ht="15" customHeight="1">
      <c r="A44" s="374">
        <v>30</v>
      </c>
      <c r="B44" s="375" t="s">
        <v>255</v>
      </c>
      <c r="C44" s="593">
        <v>2.0279882572434516</v>
      </c>
      <c r="D44" s="594">
        <v>1.8641972529180246</v>
      </c>
      <c r="E44" s="594">
        <v>1.8437354151494734</v>
      </c>
      <c r="F44" s="594">
        <v>2.3001867082990977</v>
      </c>
      <c r="G44" s="595">
        <v>2.0384266306675776</v>
      </c>
      <c r="I44" s="596">
        <v>1.893522294400436</v>
      </c>
      <c r="J44" s="597">
        <v>1.8491696883153492</v>
      </c>
      <c r="K44" s="597">
        <v>2.1239866038646209</v>
      </c>
      <c r="L44" s="595">
        <v>1.9329515041153986</v>
      </c>
    </row>
    <row r="45" spans="1:12" ht="15" customHeight="1">
      <c r="A45" s="374"/>
      <c r="B45" s="151" t="s">
        <v>373</v>
      </c>
      <c r="C45" s="376"/>
      <c r="D45" s="377"/>
      <c r="E45" s="377"/>
      <c r="F45" s="377"/>
      <c r="G45" s="378"/>
      <c r="I45" s="568"/>
      <c r="J45" s="569"/>
      <c r="K45" s="569"/>
      <c r="L45" s="378"/>
    </row>
    <row r="46" spans="1:12" ht="15" customHeight="1">
      <c r="A46" s="374">
        <v>31</v>
      </c>
      <c r="B46" s="375" t="s">
        <v>380</v>
      </c>
      <c r="C46" s="376">
        <v>1683962194.49</v>
      </c>
      <c r="D46" s="377">
        <v>1699059876.4952438</v>
      </c>
      <c r="E46" s="377">
        <v>1727302081.0853016</v>
      </c>
      <c r="F46" s="377">
        <v>1662866748.7295167</v>
      </c>
      <c r="G46" s="378">
        <v>1619600342.7434216</v>
      </c>
      <c r="I46" s="568">
        <v>1670552616.4387963</v>
      </c>
      <c r="J46" s="569">
        <v>1708303840.8290756</v>
      </c>
      <c r="K46" s="569">
        <v>1636746781.3146591</v>
      </c>
      <c r="L46" s="378">
        <v>1592112802.0434217</v>
      </c>
    </row>
    <row r="47" spans="1:12" ht="15" customHeight="1">
      <c r="A47" s="374">
        <v>32</v>
      </c>
      <c r="B47" s="375" t="s">
        <v>395</v>
      </c>
      <c r="C47" s="376">
        <v>1367414778.53</v>
      </c>
      <c r="D47" s="377">
        <v>1360891625.4603355</v>
      </c>
      <c r="E47" s="377">
        <v>1301909354.2163918</v>
      </c>
      <c r="F47" s="377">
        <v>1309431695.3216999</v>
      </c>
      <c r="G47" s="378">
        <v>1257343908.0587311</v>
      </c>
      <c r="I47" s="568">
        <v>1371227000.0091734</v>
      </c>
      <c r="J47" s="569">
        <v>1307961758.9002852</v>
      </c>
      <c r="K47" s="569">
        <v>1302558651.2794161</v>
      </c>
      <c r="L47" s="378">
        <v>1233142259.7309997</v>
      </c>
    </row>
    <row r="48" spans="1:12" ht="14.4" thickBot="1">
      <c r="A48" s="341">
        <v>33</v>
      </c>
      <c r="B48" s="153" t="s">
        <v>413</v>
      </c>
      <c r="C48" s="598">
        <v>1.231493341</v>
      </c>
      <c r="D48" s="599">
        <v>1.248490213848233</v>
      </c>
      <c r="E48" s="599">
        <v>1.3267452726191911</v>
      </c>
      <c r="F48" s="599">
        <v>1.269914845249706</v>
      </c>
      <c r="G48" s="600">
        <v>1.2881124506691206</v>
      </c>
      <c r="I48" s="601">
        <v>1.2182903461116361</v>
      </c>
      <c r="J48" s="599">
        <v>1.3060808767569718</v>
      </c>
      <c r="K48" s="599">
        <v>1.2565628270995648</v>
      </c>
      <c r="L48" s="600">
        <v>1.2911022953594411</v>
      </c>
    </row>
    <row r="49" spans="1:2">
      <c r="A49" s="18"/>
    </row>
    <row r="50" spans="1:2" ht="39.6">
      <c r="B50" s="213" t="s">
        <v>709</v>
      </c>
    </row>
    <row r="51" spans="1:2" ht="52.8">
      <c r="B51" s="213" t="s">
        <v>270</v>
      </c>
    </row>
    <row r="53" spans="1:2" ht="14.4">
      <c r="B53" s="212"/>
    </row>
  </sheetData>
  <mergeCells count="2">
    <mergeCell ref="I4:L4"/>
    <mergeCell ref="C4:G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topLeftCell="B1" zoomScale="95" zoomScaleNormal="95" workbookViewId="0">
      <selection activeCell="D24" sqref="D24"/>
    </sheetView>
  </sheetViews>
  <sheetFormatPr defaultColWidth="9.21875" defaultRowHeight="12"/>
  <cols>
    <col min="1" max="1" width="11.77734375" style="381" bestFit="1" customWidth="1"/>
    <col min="2" max="2" width="75" style="381" customWidth="1"/>
    <col min="3" max="3" width="18.21875" style="381" customWidth="1"/>
    <col min="4" max="4" width="19.109375" style="381" customWidth="1"/>
    <col min="5" max="5" width="21.5546875" style="381" customWidth="1"/>
    <col min="6" max="6" width="22.21875" style="381" customWidth="1"/>
    <col min="7" max="7" width="30.44140625" style="381" customWidth="1"/>
    <col min="8" max="8" width="19.21875" style="381" customWidth="1"/>
    <col min="9" max="16384" width="9.21875" style="381"/>
  </cols>
  <sheetData>
    <row r="1" spans="1:8" ht="13.8">
      <c r="A1" s="379" t="s">
        <v>30</v>
      </c>
      <c r="B1" s="476" t="str">
        <f>'Info '!C2</f>
        <v>JSC "CREDOBANK"</v>
      </c>
    </row>
    <row r="2" spans="1:8">
      <c r="A2" s="379" t="s">
        <v>31</v>
      </c>
      <c r="B2" s="475">
        <f>'1. key ratios '!B2</f>
        <v>45199</v>
      </c>
    </row>
    <row r="3" spans="1:8">
      <c r="A3" s="380" t="s">
        <v>416</v>
      </c>
    </row>
    <row r="5" spans="1:8" ht="12" customHeight="1">
      <c r="A5" s="753" t="s">
        <v>417</v>
      </c>
      <c r="B5" s="754"/>
      <c r="C5" s="759" t="s">
        <v>418</v>
      </c>
      <c r="D5" s="760"/>
      <c r="E5" s="760"/>
      <c r="F5" s="760"/>
      <c r="G5" s="760"/>
      <c r="H5" s="761"/>
    </row>
    <row r="6" spans="1:8">
      <c r="A6" s="755"/>
      <c r="B6" s="756"/>
      <c r="C6" s="762"/>
      <c r="D6" s="763"/>
      <c r="E6" s="763"/>
      <c r="F6" s="763"/>
      <c r="G6" s="763"/>
      <c r="H6" s="764"/>
    </row>
    <row r="7" spans="1:8">
      <c r="A7" s="757"/>
      <c r="B7" s="758"/>
      <c r="C7" s="474" t="s">
        <v>419</v>
      </c>
      <c r="D7" s="474" t="s">
        <v>420</v>
      </c>
      <c r="E7" s="474" t="s">
        <v>421</v>
      </c>
      <c r="F7" s="474" t="s">
        <v>422</v>
      </c>
      <c r="G7" s="474" t="s">
        <v>423</v>
      </c>
      <c r="H7" s="474" t="s">
        <v>64</v>
      </c>
    </row>
    <row r="8" spans="1:8">
      <c r="A8" s="470">
        <v>1</v>
      </c>
      <c r="B8" s="469" t="s">
        <v>51</v>
      </c>
      <c r="C8" s="647">
        <v>50442643</v>
      </c>
      <c r="D8" s="647">
        <v>3052342.4600000009</v>
      </c>
      <c r="E8" s="647">
        <v>19301237</v>
      </c>
      <c r="F8" s="647"/>
      <c r="G8" s="647">
        <v>75859512</v>
      </c>
      <c r="H8" s="647">
        <f t="shared" ref="H8:H21" si="0">SUM(C8:G8)</f>
        <v>148655734.46000001</v>
      </c>
    </row>
    <row r="9" spans="1:8">
      <c r="A9" s="470">
        <v>2</v>
      </c>
      <c r="B9" s="469" t="s">
        <v>52</v>
      </c>
      <c r="C9" s="647"/>
      <c r="D9" s="647"/>
      <c r="E9" s="647"/>
      <c r="F9" s="647"/>
      <c r="G9" s="647"/>
      <c r="H9" s="647">
        <f t="shared" si="0"/>
        <v>0</v>
      </c>
    </row>
    <row r="10" spans="1:8">
      <c r="A10" s="470">
        <v>3</v>
      </c>
      <c r="B10" s="469" t="s">
        <v>164</v>
      </c>
      <c r="C10" s="647"/>
      <c r="D10" s="647">
        <v>26130377.539999999</v>
      </c>
      <c r="E10" s="647"/>
      <c r="F10" s="647"/>
      <c r="G10" s="647"/>
      <c r="H10" s="647">
        <f t="shared" si="0"/>
        <v>26130377.539999999</v>
      </c>
    </row>
    <row r="11" spans="1:8">
      <c r="A11" s="470">
        <v>4</v>
      </c>
      <c r="B11" s="469" t="s">
        <v>53</v>
      </c>
      <c r="C11" s="647"/>
      <c r="D11" s="647"/>
      <c r="E11" s="647"/>
      <c r="F11" s="647"/>
      <c r="G11" s="647"/>
      <c r="H11" s="647">
        <f t="shared" si="0"/>
        <v>0</v>
      </c>
    </row>
    <row r="12" spans="1:8">
      <c r="A12" s="470">
        <v>5</v>
      </c>
      <c r="B12" s="469" t="s">
        <v>54</v>
      </c>
      <c r="C12" s="647"/>
      <c r="D12" s="647"/>
      <c r="E12" s="647"/>
      <c r="F12" s="647"/>
      <c r="G12" s="647"/>
      <c r="H12" s="647">
        <f t="shared" si="0"/>
        <v>0</v>
      </c>
    </row>
    <row r="13" spans="1:8">
      <c r="A13" s="470">
        <v>6</v>
      </c>
      <c r="B13" s="469" t="s">
        <v>55</v>
      </c>
      <c r="C13" s="647">
        <v>108369568.90000001</v>
      </c>
      <c r="D13" s="647"/>
      <c r="E13" s="647"/>
      <c r="F13" s="647"/>
      <c r="G13" s="647"/>
      <c r="H13" s="647">
        <f t="shared" si="0"/>
        <v>108369568.90000001</v>
      </c>
    </row>
    <row r="14" spans="1:8">
      <c r="A14" s="470">
        <v>7</v>
      </c>
      <c r="B14" s="469" t="s">
        <v>56</v>
      </c>
      <c r="C14" s="647"/>
      <c r="D14" s="647">
        <v>3771480.41</v>
      </c>
      <c r="E14" s="647">
        <v>4167851.88</v>
      </c>
      <c r="F14" s="647">
        <v>13129189.747999994</v>
      </c>
      <c r="G14" s="647"/>
      <c r="H14" s="647">
        <f t="shared" si="0"/>
        <v>21068522.037999995</v>
      </c>
    </row>
    <row r="15" spans="1:8">
      <c r="A15" s="470">
        <v>8</v>
      </c>
      <c r="B15" s="471" t="s">
        <v>57</v>
      </c>
      <c r="C15" s="647">
        <v>19236809.816</v>
      </c>
      <c r="D15" s="647">
        <v>301386959.20691973</v>
      </c>
      <c r="E15" s="647">
        <v>1138819431.6491601</v>
      </c>
      <c r="F15" s="647">
        <v>299183470.80828458</v>
      </c>
      <c r="G15" s="647">
        <v>334345.63999999996</v>
      </c>
      <c r="H15" s="647">
        <f t="shared" si="0"/>
        <v>1758961017.1203644</v>
      </c>
    </row>
    <row r="16" spans="1:8">
      <c r="A16" s="470">
        <v>9</v>
      </c>
      <c r="B16" s="469" t="s">
        <v>58</v>
      </c>
      <c r="C16" s="647">
        <v>494448.66399999999</v>
      </c>
      <c r="D16" s="647">
        <v>2982535.2830861663</v>
      </c>
      <c r="E16" s="647">
        <v>29847042.670879677</v>
      </c>
      <c r="F16" s="647">
        <v>63369957.76371669</v>
      </c>
      <c r="G16" s="647"/>
      <c r="H16" s="647">
        <f t="shared" si="0"/>
        <v>96693984.38168253</v>
      </c>
    </row>
    <row r="17" spans="1:8">
      <c r="A17" s="470">
        <v>10</v>
      </c>
      <c r="B17" s="473" t="s">
        <v>431</v>
      </c>
      <c r="C17" s="647">
        <v>2658748.8699999987</v>
      </c>
      <c r="D17" s="647">
        <v>612763.1399999999</v>
      </c>
      <c r="E17" s="647">
        <v>2227644.6</v>
      </c>
      <c r="F17" s="647">
        <v>1060999.3399999994</v>
      </c>
      <c r="G17" s="647">
        <v>188345.18999999974</v>
      </c>
      <c r="H17" s="647">
        <f t="shared" si="0"/>
        <v>6748501.1399999987</v>
      </c>
    </row>
    <row r="18" spans="1:8">
      <c r="A18" s="470">
        <v>11</v>
      </c>
      <c r="B18" s="469" t="s">
        <v>60</v>
      </c>
      <c r="C18" s="647"/>
      <c r="D18" s="647"/>
      <c r="E18" s="647"/>
      <c r="F18" s="647"/>
      <c r="G18" s="647"/>
      <c r="H18" s="647">
        <f t="shared" si="0"/>
        <v>0</v>
      </c>
    </row>
    <row r="19" spans="1:8">
      <c r="A19" s="470">
        <v>12</v>
      </c>
      <c r="B19" s="469" t="s">
        <v>61</v>
      </c>
      <c r="C19" s="647"/>
      <c r="D19" s="647"/>
      <c r="E19" s="647"/>
      <c r="F19" s="647"/>
      <c r="G19" s="647"/>
      <c r="H19" s="647">
        <f t="shared" si="0"/>
        <v>0</v>
      </c>
    </row>
    <row r="20" spans="1:8">
      <c r="A20" s="472">
        <v>13</v>
      </c>
      <c r="B20" s="471" t="s">
        <v>144</v>
      </c>
      <c r="C20" s="647"/>
      <c r="D20" s="647"/>
      <c r="E20" s="647"/>
      <c r="F20" s="647"/>
      <c r="G20" s="647"/>
      <c r="H20" s="647">
        <f t="shared" si="0"/>
        <v>0</v>
      </c>
    </row>
    <row r="21" spans="1:8">
      <c r="A21" s="470">
        <v>14</v>
      </c>
      <c r="B21" s="469" t="s">
        <v>63</v>
      </c>
      <c r="C21" s="647">
        <v>81533840.479999989</v>
      </c>
      <c r="D21" s="647">
        <v>26407844.890000001</v>
      </c>
      <c r="E21" s="647">
        <v>12607535</v>
      </c>
      <c r="F21" s="647"/>
      <c r="G21" s="647">
        <v>40004854</v>
      </c>
      <c r="H21" s="647">
        <f t="shared" si="0"/>
        <v>160554074.37</v>
      </c>
    </row>
    <row r="22" spans="1:8">
      <c r="A22" s="468">
        <v>15</v>
      </c>
      <c r="B22" s="467" t="s">
        <v>64</v>
      </c>
      <c r="C22" s="647">
        <f>SUM(C18:C21)+SUM(C8:C16)</f>
        <v>260077310.86000001</v>
      </c>
      <c r="D22" s="647">
        <f t="shared" ref="D22:H22" si="1">SUM(D18:D21)+SUM(D8:D16)</f>
        <v>363731539.79000592</v>
      </c>
      <c r="E22" s="647">
        <f t="shared" si="1"/>
        <v>1204743098.2000399</v>
      </c>
      <c r="F22" s="647">
        <f t="shared" si="1"/>
        <v>375682618.32000124</v>
      </c>
      <c r="G22" s="647">
        <f t="shared" si="1"/>
        <v>116198711.64</v>
      </c>
      <c r="H22" s="647">
        <f t="shared" si="1"/>
        <v>2320433278.8100467</v>
      </c>
    </row>
    <row r="26" spans="1:8" ht="36">
      <c r="B26" s="384" t="s">
        <v>518</v>
      </c>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6"/>
  <sheetViews>
    <sheetView showGridLines="0" zoomScale="90" zoomScaleNormal="90" workbookViewId="0">
      <selection activeCell="E27" sqref="E27"/>
    </sheetView>
  </sheetViews>
  <sheetFormatPr defaultColWidth="9.21875" defaultRowHeight="12"/>
  <cols>
    <col min="1" max="1" width="11.77734375" style="477" bestFit="1" customWidth="1"/>
    <col min="2" max="2" width="74.109375" style="381" customWidth="1"/>
    <col min="3" max="7" width="18.77734375" style="381" customWidth="1"/>
    <col min="8" max="8" width="33.77734375" style="381" customWidth="1"/>
    <col min="9" max="16384" width="9.21875" style="381"/>
  </cols>
  <sheetData>
    <row r="1" spans="1:8" ht="13.8">
      <c r="A1" s="379" t="s">
        <v>30</v>
      </c>
      <c r="B1" s="476" t="str">
        <f>'Info '!C2</f>
        <v>JSC "CREDOBANK"</v>
      </c>
      <c r="C1" s="490"/>
      <c r="D1" s="490"/>
      <c r="E1" s="490"/>
      <c r="F1" s="490"/>
      <c r="G1" s="490"/>
      <c r="H1" s="490"/>
    </row>
    <row r="2" spans="1:8">
      <c r="A2" s="379" t="s">
        <v>31</v>
      </c>
      <c r="B2" s="475">
        <f>'1. key ratios '!B2</f>
        <v>45199</v>
      </c>
      <c r="C2" s="490"/>
      <c r="D2" s="490"/>
      <c r="E2" s="490"/>
      <c r="F2" s="490"/>
      <c r="G2" s="490"/>
      <c r="H2" s="490"/>
    </row>
    <row r="3" spans="1:8">
      <c r="A3" s="380" t="s">
        <v>424</v>
      </c>
      <c r="B3" s="490"/>
      <c r="C3" s="490"/>
      <c r="D3" s="490"/>
      <c r="E3" s="490"/>
      <c r="F3" s="490"/>
      <c r="G3" s="490"/>
      <c r="H3" s="490"/>
    </row>
    <row r="4" spans="1:8">
      <c r="A4" s="491"/>
      <c r="B4" s="490"/>
      <c r="C4" s="489" t="s">
        <v>0</v>
      </c>
      <c r="D4" s="489" t="s">
        <v>1</v>
      </c>
      <c r="E4" s="489" t="s">
        <v>2</v>
      </c>
      <c r="F4" s="489" t="s">
        <v>3</v>
      </c>
      <c r="G4" s="489" t="s">
        <v>4</v>
      </c>
      <c r="H4" s="489" t="s">
        <v>5</v>
      </c>
    </row>
    <row r="5" spans="1:8" ht="34.049999999999997" customHeight="1">
      <c r="A5" s="767" t="s">
        <v>425</v>
      </c>
      <c r="B5" s="768"/>
      <c r="C5" s="771" t="s">
        <v>426</v>
      </c>
      <c r="D5" s="771"/>
      <c r="E5" s="771" t="s">
        <v>663</v>
      </c>
      <c r="F5" s="765" t="s">
        <v>427</v>
      </c>
      <c r="G5" s="765" t="s">
        <v>428</v>
      </c>
      <c r="H5" s="487" t="s">
        <v>662</v>
      </c>
    </row>
    <row r="6" spans="1:8" ht="36">
      <c r="A6" s="769"/>
      <c r="B6" s="770"/>
      <c r="C6" s="488" t="s">
        <v>429</v>
      </c>
      <c r="D6" s="488" t="s">
        <v>430</v>
      </c>
      <c r="E6" s="771"/>
      <c r="F6" s="766"/>
      <c r="G6" s="766"/>
      <c r="H6" s="487" t="s">
        <v>661</v>
      </c>
    </row>
    <row r="7" spans="1:8">
      <c r="A7" s="485">
        <v>1</v>
      </c>
      <c r="B7" s="469" t="s">
        <v>51</v>
      </c>
      <c r="C7" s="648"/>
      <c r="D7" s="648">
        <v>148655734.46000001</v>
      </c>
      <c r="E7" s="648"/>
      <c r="F7" s="648"/>
      <c r="G7" s="648"/>
      <c r="H7" s="478">
        <f>C7+D7-E7-F7</f>
        <v>148655734.46000001</v>
      </c>
    </row>
    <row r="8" spans="1:8">
      <c r="A8" s="485">
        <v>2</v>
      </c>
      <c r="B8" s="469" t="s">
        <v>52</v>
      </c>
      <c r="C8" s="648"/>
      <c r="D8" s="648">
        <v>0</v>
      </c>
      <c r="E8" s="648"/>
      <c r="F8" s="648"/>
      <c r="G8" s="648"/>
      <c r="H8" s="478">
        <f t="shared" ref="H8:H20" si="0">C8+D8-E8-F8</f>
        <v>0</v>
      </c>
    </row>
    <row r="9" spans="1:8">
      <c r="A9" s="485">
        <v>3</v>
      </c>
      <c r="B9" s="469" t="s">
        <v>164</v>
      </c>
      <c r="C9" s="648"/>
      <c r="D9" s="648">
        <v>26130377.539999999</v>
      </c>
      <c r="E9" s="648"/>
      <c r="F9" s="648"/>
      <c r="G9" s="648"/>
      <c r="H9" s="478">
        <f t="shared" si="0"/>
        <v>26130377.539999999</v>
      </c>
    </row>
    <row r="10" spans="1:8">
      <c r="A10" s="485">
        <v>4</v>
      </c>
      <c r="B10" s="469" t="s">
        <v>53</v>
      </c>
      <c r="C10" s="648"/>
      <c r="D10" s="648">
        <v>0</v>
      </c>
      <c r="E10" s="648"/>
      <c r="F10" s="648"/>
      <c r="G10" s="648"/>
      <c r="H10" s="478">
        <f t="shared" si="0"/>
        <v>0</v>
      </c>
    </row>
    <row r="11" spans="1:8">
      <c r="A11" s="485">
        <v>5</v>
      </c>
      <c r="B11" s="469" t="s">
        <v>54</v>
      </c>
      <c r="C11" s="648"/>
      <c r="D11" s="648">
        <v>0</v>
      </c>
      <c r="E11" s="648"/>
      <c r="F11" s="648"/>
      <c r="G11" s="648"/>
      <c r="H11" s="478">
        <f t="shared" si="0"/>
        <v>0</v>
      </c>
    </row>
    <row r="12" spans="1:8">
      <c r="A12" s="485">
        <v>6</v>
      </c>
      <c r="B12" s="469" t="s">
        <v>55</v>
      </c>
      <c r="C12" s="648"/>
      <c r="D12" s="648">
        <v>108369568.90000001</v>
      </c>
      <c r="E12" s="648"/>
      <c r="F12" s="648"/>
      <c r="G12" s="648"/>
      <c r="H12" s="478">
        <f t="shared" si="0"/>
        <v>108369568.90000001</v>
      </c>
    </row>
    <row r="13" spans="1:8">
      <c r="A13" s="485">
        <v>7</v>
      </c>
      <c r="B13" s="469" t="s">
        <v>56</v>
      </c>
      <c r="C13" s="648"/>
      <c r="D13" s="648">
        <v>21131248</v>
      </c>
      <c r="E13" s="648">
        <v>62726</v>
      </c>
      <c r="F13" s="648"/>
      <c r="G13" s="649"/>
      <c r="H13" s="478">
        <f t="shared" si="0"/>
        <v>21068522</v>
      </c>
    </row>
    <row r="14" spans="1:8">
      <c r="A14" s="485">
        <v>8</v>
      </c>
      <c r="B14" s="471" t="s">
        <v>57</v>
      </c>
      <c r="C14" s="648">
        <v>14206927</v>
      </c>
      <c r="D14" s="649">
        <v>1784955967.3015299</v>
      </c>
      <c r="E14" s="648">
        <v>40201877</v>
      </c>
      <c r="F14" s="648"/>
      <c r="G14" s="649">
        <v>18586514</v>
      </c>
      <c r="H14" s="478">
        <f t="shared" si="0"/>
        <v>1758961017.3015299</v>
      </c>
    </row>
    <row r="15" spans="1:8">
      <c r="A15" s="485">
        <v>9</v>
      </c>
      <c r="B15" s="469" t="s">
        <v>58</v>
      </c>
      <c r="C15" s="648">
        <v>12583</v>
      </c>
      <c r="D15" s="649">
        <v>97495255</v>
      </c>
      <c r="E15" s="648">
        <v>813854</v>
      </c>
      <c r="F15" s="648"/>
      <c r="G15" s="649"/>
      <c r="H15" s="478">
        <f t="shared" si="0"/>
        <v>96693984</v>
      </c>
    </row>
    <row r="16" spans="1:8">
      <c r="A16" s="485">
        <v>10</v>
      </c>
      <c r="B16" s="473" t="s">
        <v>431</v>
      </c>
      <c r="C16" s="649">
        <v>13966994</v>
      </c>
      <c r="D16" s="649">
        <v>5115809.5599999996</v>
      </c>
      <c r="E16" s="649">
        <v>12334303</v>
      </c>
      <c r="F16" s="648"/>
      <c r="G16" s="649">
        <v>18586514</v>
      </c>
      <c r="H16" s="478">
        <f t="shared" si="0"/>
        <v>6748500.5599999987</v>
      </c>
    </row>
    <row r="17" spans="1:8">
      <c r="A17" s="485">
        <v>11</v>
      </c>
      <c r="B17" s="469" t="s">
        <v>60</v>
      </c>
      <c r="C17" s="648"/>
      <c r="D17" s="648"/>
      <c r="E17" s="648"/>
      <c r="F17" s="648"/>
      <c r="G17" s="648"/>
      <c r="H17" s="478">
        <f t="shared" si="0"/>
        <v>0</v>
      </c>
    </row>
    <row r="18" spans="1:8">
      <c r="A18" s="485">
        <v>12</v>
      </c>
      <c r="B18" s="469" t="s">
        <v>61</v>
      </c>
      <c r="C18" s="648"/>
      <c r="D18" s="648"/>
      <c r="E18" s="648"/>
      <c r="F18" s="648"/>
      <c r="G18" s="648"/>
      <c r="H18" s="478">
        <f t="shared" si="0"/>
        <v>0</v>
      </c>
    </row>
    <row r="19" spans="1:8">
      <c r="A19" s="486">
        <v>13</v>
      </c>
      <c r="B19" s="471" t="s">
        <v>144</v>
      </c>
      <c r="C19" s="648"/>
      <c r="D19" s="648"/>
      <c r="E19" s="648"/>
      <c r="F19" s="648"/>
      <c r="G19" s="648"/>
      <c r="H19" s="478">
        <f t="shared" si="0"/>
        <v>0</v>
      </c>
    </row>
    <row r="20" spans="1:8">
      <c r="A20" s="485">
        <v>14</v>
      </c>
      <c r="B20" s="469" t="s">
        <v>63</v>
      </c>
      <c r="C20" s="649"/>
      <c r="D20" s="649">
        <v>182991213.52000001</v>
      </c>
      <c r="E20" s="649">
        <v>3805276.19</v>
      </c>
      <c r="F20" s="648"/>
      <c r="G20" s="648"/>
      <c r="H20" s="478">
        <f t="shared" si="0"/>
        <v>179185937.33000001</v>
      </c>
    </row>
    <row r="21" spans="1:8" s="482" customFormat="1">
      <c r="A21" s="484">
        <v>15</v>
      </c>
      <c r="B21" s="483" t="s">
        <v>64</v>
      </c>
      <c r="C21" s="650">
        <f t="shared" ref="C21:G21" si="1">SUM(C7:C15)+SUM(C17:C20)</f>
        <v>14219510</v>
      </c>
      <c r="D21" s="650">
        <f t="shared" si="1"/>
        <v>2369729364.72153</v>
      </c>
      <c r="E21" s="650">
        <f t="shared" si="1"/>
        <v>44883733.189999998</v>
      </c>
      <c r="F21" s="650">
        <f t="shared" si="1"/>
        <v>0</v>
      </c>
      <c r="G21" s="650">
        <f t="shared" si="1"/>
        <v>18586514</v>
      </c>
      <c r="H21" s="478">
        <f t="shared" ref="H21" si="2">SUM(H7:H15)+SUM(H17:H20)</f>
        <v>2339065141.5315299</v>
      </c>
    </row>
    <row r="22" spans="1:8">
      <c r="A22" s="481">
        <v>16</v>
      </c>
      <c r="B22" s="480" t="s">
        <v>432</v>
      </c>
      <c r="C22" s="648">
        <f>C14+C15</f>
        <v>14219510</v>
      </c>
      <c r="D22" s="648">
        <f>SUM(D13:D15)</f>
        <v>1903582470.3015299</v>
      </c>
      <c r="E22" s="648">
        <v>41078457</v>
      </c>
      <c r="F22" s="648"/>
      <c r="G22" s="648">
        <v>18586514</v>
      </c>
      <c r="H22" s="478">
        <f>C22+D22-E22-F22</f>
        <v>1876723523.3015299</v>
      </c>
    </row>
    <row r="23" spans="1:8">
      <c r="A23" s="481">
        <v>17</v>
      </c>
      <c r="B23" s="480" t="s">
        <v>433</v>
      </c>
      <c r="C23" s="479"/>
      <c r="D23" s="648">
        <v>48483957</v>
      </c>
      <c r="E23" s="479"/>
      <c r="F23" s="479"/>
      <c r="G23" s="479"/>
      <c r="H23" s="478">
        <f>C23+D23-E23-F23</f>
        <v>48483957</v>
      </c>
    </row>
    <row r="26" spans="1:8" ht="42.45" customHeight="1">
      <c r="B26" s="384" t="s">
        <v>518</v>
      </c>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6"/>
  <sheetViews>
    <sheetView showGridLines="0" topLeftCell="C4" zoomScale="90" zoomScaleNormal="90" workbookViewId="0">
      <selection activeCell="G30" sqref="G30"/>
    </sheetView>
  </sheetViews>
  <sheetFormatPr defaultColWidth="9.21875" defaultRowHeight="12"/>
  <cols>
    <col min="1" max="1" width="11" style="381" bestFit="1" customWidth="1"/>
    <col min="2" max="2" width="93.44140625" style="381" customWidth="1"/>
    <col min="3" max="4" width="35" style="381" customWidth="1"/>
    <col min="5" max="5" width="15.109375" style="381" bestFit="1" customWidth="1"/>
    <col min="6" max="6" width="11.77734375" style="381" bestFit="1" customWidth="1"/>
    <col min="7" max="7" width="22" style="381" customWidth="1"/>
    <col min="8" max="8" width="19.88671875" style="381" customWidth="1"/>
    <col min="9" max="16384" width="9.21875" style="381"/>
  </cols>
  <sheetData>
    <row r="1" spans="1:8" ht="13.8">
      <c r="A1" s="379" t="s">
        <v>30</v>
      </c>
      <c r="B1" s="476" t="str">
        <f>'Info '!C2</f>
        <v>JSC "CREDOBANK"</v>
      </c>
      <c r="C1" s="490"/>
      <c r="D1" s="490"/>
      <c r="E1" s="490"/>
      <c r="F1" s="490"/>
      <c r="G1" s="490"/>
      <c r="H1" s="490"/>
    </row>
    <row r="2" spans="1:8">
      <c r="A2" s="379" t="s">
        <v>31</v>
      </c>
      <c r="B2" s="475">
        <f>'1. key ratios '!B2</f>
        <v>45199</v>
      </c>
      <c r="C2" s="490"/>
      <c r="D2" s="490"/>
      <c r="E2" s="490"/>
      <c r="F2" s="490"/>
      <c r="G2" s="490"/>
      <c r="H2" s="490"/>
    </row>
    <row r="3" spans="1:8">
      <c r="A3" s="380" t="s">
        <v>434</v>
      </c>
      <c r="B3" s="490"/>
      <c r="C3" s="490"/>
      <c r="D3" s="490"/>
      <c r="E3" s="490"/>
      <c r="F3" s="490"/>
      <c r="G3" s="490"/>
      <c r="H3" s="490"/>
    </row>
    <row r="4" spans="1:8">
      <c r="A4" s="491"/>
      <c r="B4" s="490"/>
      <c r="C4" s="489" t="s">
        <v>0</v>
      </c>
      <c r="D4" s="489" t="s">
        <v>1</v>
      </c>
      <c r="E4" s="489" t="s">
        <v>2</v>
      </c>
      <c r="F4" s="489" t="s">
        <v>3</v>
      </c>
      <c r="G4" s="489" t="s">
        <v>4</v>
      </c>
      <c r="H4" s="489" t="s">
        <v>5</v>
      </c>
    </row>
    <row r="5" spans="1:8" ht="41.55" customHeight="1">
      <c r="A5" s="753" t="s">
        <v>425</v>
      </c>
      <c r="B5" s="754"/>
      <c r="C5" s="771" t="s">
        <v>426</v>
      </c>
      <c r="D5" s="771"/>
      <c r="E5" s="771" t="s">
        <v>663</v>
      </c>
      <c r="F5" s="765" t="s">
        <v>427</v>
      </c>
      <c r="G5" s="765" t="s">
        <v>428</v>
      </c>
      <c r="H5" s="487" t="s">
        <v>662</v>
      </c>
    </row>
    <row r="6" spans="1:8" ht="24">
      <c r="A6" s="757"/>
      <c r="B6" s="758"/>
      <c r="C6" s="488" t="s">
        <v>429</v>
      </c>
      <c r="D6" s="488" t="s">
        <v>430</v>
      </c>
      <c r="E6" s="771"/>
      <c r="F6" s="766"/>
      <c r="G6" s="766"/>
      <c r="H6" s="487" t="s">
        <v>661</v>
      </c>
    </row>
    <row r="7" spans="1:8">
      <c r="A7" s="479">
        <v>1</v>
      </c>
      <c r="B7" s="494" t="s">
        <v>522</v>
      </c>
      <c r="C7" s="648">
        <v>201170.55358667689</v>
      </c>
      <c r="D7" s="648">
        <v>180990616.46192369</v>
      </c>
      <c r="E7" s="648">
        <v>629256.08386486908</v>
      </c>
      <c r="F7" s="648"/>
      <c r="G7" s="648">
        <v>180688.4</v>
      </c>
      <c r="H7" s="478">
        <f t="shared" ref="H7:H34" si="0">C7+D7-E7-F7</f>
        <v>180562530.93164551</v>
      </c>
    </row>
    <row r="8" spans="1:8">
      <c r="A8" s="479">
        <v>2</v>
      </c>
      <c r="B8" s="494" t="s">
        <v>435</v>
      </c>
      <c r="C8" s="648">
        <v>9262.906880801942</v>
      </c>
      <c r="D8" s="648">
        <v>145220962.57212073</v>
      </c>
      <c r="E8" s="648">
        <v>107657.87079365821</v>
      </c>
      <c r="F8" s="648"/>
      <c r="G8" s="648">
        <v>46069.289999999994</v>
      </c>
      <c r="H8" s="478">
        <f t="shared" si="0"/>
        <v>145122567.60820785</v>
      </c>
    </row>
    <row r="9" spans="1:8">
      <c r="A9" s="479">
        <v>3</v>
      </c>
      <c r="B9" s="494" t="s">
        <v>436</v>
      </c>
      <c r="C9" s="648">
        <v>82469.96994661662</v>
      </c>
      <c r="D9" s="648">
        <v>6154443.4842774076</v>
      </c>
      <c r="E9" s="648">
        <v>177161.07283661235</v>
      </c>
      <c r="F9" s="648"/>
      <c r="G9" s="648">
        <v>51842.229999999996</v>
      </c>
      <c r="H9" s="478">
        <f t="shared" si="0"/>
        <v>6059752.3813874116</v>
      </c>
    </row>
    <row r="10" spans="1:8">
      <c r="A10" s="479">
        <v>4</v>
      </c>
      <c r="B10" s="494" t="s">
        <v>523</v>
      </c>
      <c r="C10" s="648"/>
      <c r="D10" s="648">
        <v>13257241.053056121</v>
      </c>
      <c r="E10" s="648">
        <v>39247.589496133267</v>
      </c>
      <c r="F10" s="648"/>
      <c r="G10" s="648">
        <v>874.55</v>
      </c>
      <c r="H10" s="478">
        <f t="shared" si="0"/>
        <v>13217993.463559987</v>
      </c>
    </row>
    <row r="11" spans="1:8">
      <c r="A11" s="479">
        <v>5</v>
      </c>
      <c r="B11" s="494" t="s">
        <v>437</v>
      </c>
      <c r="C11" s="648">
        <v>8098.2990828087441</v>
      </c>
      <c r="D11" s="648">
        <v>28070795.450191073</v>
      </c>
      <c r="E11" s="648">
        <v>145597.5693936107</v>
      </c>
      <c r="F11" s="648"/>
      <c r="G11" s="648">
        <v>44977.988581999998</v>
      </c>
      <c r="H11" s="478">
        <f t="shared" si="0"/>
        <v>27933296.179880269</v>
      </c>
    </row>
    <row r="12" spans="1:8">
      <c r="A12" s="479">
        <v>6</v>
      </c>
      <c r="B12" s="494" t="s">
        <v>438</v>
      </c>
      <c r="C12" s="648">
        <v>62047.485985519124</v>
      </c>
      <c r="D12" s="648">
        <v>7057261.2626216225</v>
      </c>
      <c r="E12" s="648">
        <v>154902.46180484098</v>
      </c>
      <c r="F12" s="648"/>
      <c r="G12" s="648">
        <v>54486.810000000005</v>
      </c>
      <c r="H12" s="478">
        <f t="shared" si="0"/>
        <v>6964406.2868023012</v>
      </c>
    </row>
    <row r="13" spans="1:8">
      <c r="A13" s="479">
        <v>7</v>
      </c>
      <c r="B13" s="494" t="s">
        <v>439</v>
      </c>
      <c r="C13" s="648">
        <v>27670.789482332122</v>
      </c>
      <c r="D13" s="648">
        <v>3501728.8195785144</v>
      </c>
      <c r="E13" s="648">
        <v>100538.15602531385</v>
      </c>
      <c r="F13" s="648"/>
      <c r="G13" s="648">
        <v>59463.589999999975</v>
      </c>
      <c r="H13" s="478">
        <f t="shared" si="0"/>
        <v>3428861.453035533</v>
      </c>
    </row>
    <row r="14" spans="1:8">
      <c r="A14" s="479">
        <v>8</v>
      </c>
      <c r="B14" s="494" t="s">
        <v>440</v>
      </c>
      <c r="C14" s="648">
        <v>866205.79176581663</v>
      </c>
      <c r="D14" s="648">
        <v>135087814.7790783</v>
      </c>
      <c r="E14" s="648">
        <v>2721682.1923293136</v>
      </c>
      <c r="F14" s="648"/>
      <c r="G14" s="648">
        <v>1703665.4800000014</v>
      </c>
      <c r="H14" s="478">
        <f t="shared" si="0"/>
        <v>133232338.3785148</v>
      </c>
    </row>
    <row r="15" spans="1:8">
      <c r="A15" s="479">
        <v>9</v>
      </c>
      <c r="B15" s="494" t="s">
        <v>441</v>
      </c>
      <c r="C15" s="648">
        <v>174160.92895792585</v>
      </c>
      <c r="D15" s="648">
        <v>27763353.630934082</v>
      </c>
      <c r="E15" s="648">
        <v>549031.27711344871</v>
      </c>
      <c r="F15" s="648"/>
      <c r="G15" s="648">
        <v>198571.63792900002</v>
      </c>
      <c r="H15" s="478">
        <f t="shared" si="0"/>
        <v>27388483.282778557</v>
      </c>
    </row>
    <row r="16" spans="1:8">
      <c r="A16" s="479">
        <v>10</v>
      </c>
      <c r="B16" s="494" t="s">
        <v>442</v>
      </c>
      <c r="C16" s="648">
        <v>95731.828224545243</v>
      </c>
      <c r="D16" s="648">
        <v>13238984.650004312</v>
      </c>
      <c r="E16" s="648">
        <v>269691.93594175437</v>
      </c>
      <c r="F16" s="648"/>
      <c r="G16" s="648">
        <v>57286.660000000018</v>
      </c>
      <c r="H16" s="478">
        <f t="shared" si="0"/>
        <v>13065024.542287104</v>
      </c>
    </row>
    <row r="17" spans="1:8">
      <c r="A17" s="479">
        <v>11</v>
      </c>
      <c r="B17" s="494" t="s">
        <v>443</v>
      </c>
      <c r="C17" s="648">
        <v>68418.947420495781</v>
      </c>
      <c r="D17" s="648">
        <v>6638340.3470200859</v>
      </c>
      <c r="E17" s="648">
        <v>194581.21826711821</v>
      </c>
      <c r="F17" s="648"/>
      <c r="G17" s="648">
        <v>161345.16</v>
      </c>
      <c r="H17" s="478">
        <f t="shared" si="0"/>
        <v>6512178.0761734629</v>
      </c>
    </row>
    <row r="18" spans="1:8">
      <c r="A18" s="479">
        <v>12</v>
      </c>
      <c r="B18" s="494" t="s">
        <v>444</v>
      </c>
      <c r="C18" s="648">
        <v>443249.22451182152</v>
      </c>
      <c r="D18" s="648">
        <v>107041474.36570962</v>
      </c>
      <c r="E18" s="648">
        <v>1890432.7746302497</v>
      </c>
      <c r="F18" s="648"/>
      <c r="G18" s="648">
        <v>721636.87294999999</v>
      </c>
      <c r="H18" s="478">
        <f t="shared" si="0"/>
        <v>105594290.81559119</v>
      </c>
    </row>
    <row r="19" spans="1:8">
      <c r="A19" s="479">
        <v>13</v>
      </c>
      <c r="B19" s="494" t="s">
        <v>445</v>
      </c>
      <c r="C19" s="648">
        <v>320217.5491529904</v>
      </c>
      <c r="D19" s="648">
        <v>16301295.55255368</v>
      </c>
      <c r="E19" s="648">
        <v>472103.15254252596</v>
      </c>
      <c r="F19" s="648"/>
      <c r="G19" s="648">
        <v>200410.1415439999</v>
      </c>
      <c r="H19" s="478">
        <f t="shared" si="0"/>
        <v>16149409.949164145</v>
      </c>
    </row>
    <row r="20" spans="1:8">
      <c r="A20" s="479">
        <v>14</v>
      </c>
      <c r="B20" s="494" t="s">
        <v>446</v>
      </c>
      <c r="C20" s="648">
        <v>43323.142575319609</v>
      </c>
      <c r="D20" s="648">
        <v>49322920.21003513</v>
      </c>
      <c r="E20" s="648">
        <v>636415.91441688628</v>
      </c>
      <c r="F20" s="648"/>
      <c r="G20" s="648">
        <v>242481.14365000004</v>
      </c>
      <c r="H20" s="478">
        <f t="shared" si="0"/>
        <v>48729827.43819356</v>
      </c>
    </row>
    <row r="21" spans="1:8">
      <c r="A21" s="479">
        <v>15</v>
      </c>
      <c r="B21" s="494" t="s">
        <v>447</v>
      </c>
      <c r="C21" s="648">
        <v>191815.2187005145</v>
      </c>
      <c r="D21" s="648">
        <v>32308470.756486081</v>
      </c>
      <c r="E21" s="648">
        <v>1265174.1385254778</v>
      </c>
      <c r="F21" s="648"/>
      <c r="G21" s="648">
        <v>274490.64984699991</v>
      </c>
      <c r="H21" s="478">
        <f t="shared" si="0"/>
        <v>31235111.836661115</v>
      </c>
    </row>
    <row r="22" spans="1:8">
      <c r="A22" s="479">
        <v>16</v>
      </c>
      <c r="B22" s="494" t="s">
        <v>448</v>
      </c>
      <c r="C22" s="648">
        <v>64223.457106915361</v>
      </c>
      <c r="D22" s="648">
        <v>9943274.0543597881</v>
      </c>
      <c r="E22" s="648">
        <v>199135.4763572987</v>
      </c>
      <c r="F22" s="648"/>
      <c r="G22" s="648">
        <v>72345.310000000041</v>
      </c>
      <c r="H22" s="478">
        <f t="shared" si="0"/>
        <v>9808362.0351094063</v>
      </c>
    </row>
    <row r="23" spans="1:8">
      <c r="A23" s="479">
        <v>17</v>
      </c>
      <c r="B23" s="494" t="s">
        <v>526</v>
      </c>
      <c r="C23" s="648">
        <v>219.39</v>
      </c>
      <c r="D23" s="648">
        <v>784159.08379218273</v>
      </c>
      <c r="E23" s="648">
        <v>13058.222812471879</v>
      </c>
      <c r="F23" s="648"/>
      <c r="G23" s="648">
        <v>6776.46</v>
      </c>
      <c r="H23" s="478">
        <f t="shared" si="0"/>
        <v>771320.25097971084</v>
      </c>
    </row>
    <row r="24" spans="1:8">
      <c r="A24" s="479">
        <v>18</v>
      </c>
      <c r="B24" s="494" t="s">
        <v>449</v>
      </c>
      <c r="C24" s="648">
        <v>24558.079749252945</v>
      </c>
      <c r="D24" s="648">
        <v>2991058.8600322395</v>
      </c>
      <c r="E24" s="648">
        <v>81648.465626762059</v>
      </c>
      <c r="F24" s="648"/>
      <c r="G24" s="648">
        <v>23126.180000000004</v>
      </c>
      <c r="H24" s="478">
        <f t="shared" si="0"/>
        <v>2933968.4741547303</v>
      </c>
    </row>
    <row r="25" spans="1:8">
      <c r="A25" s="479">
        <v>19</v>
      </c>
      <c r="B25" s="494" t="s">
        <v>450</v>
      </c>
      <c r="C25" s="648">
        <v>22522.988168241096</v>
      </c>
      <c r="D25" s="648">
        <v>4836144.7349083042</v>
      </c>
      <c r="E25" s="648">
        <v>73494.047144166456</v>
      </c>
      <c r="F25" s="648"/>
      <c r="G25" s="648">
        <v>78389.060000000012</v>
      </c>
      <c r="H25" s="478">
        <f t="shared" si="0"/>
        <v>4785173.6759323794</v>
      </c>
    </row>
    <row r="26" spans="1:8">
      <c r="A26" s="479">
        <v>20</v>
      </c>
      <c r="B26" s="494" t="s">
        <v>525</v>
      </c>
      <c r="C26" s="648">
        <v>23262.402572368344</v>
      </c>
      <c r="D26" s="648">
        <v>13306805.171517929</v>
      </c>
      <c r="E26" s="648">
        <v>153798.41564044452</v>
      </c>
      <c r="F26" s="648"/>
      <c r="G26" s="648">
        <v>13794.74</v>
      </c>
      <c r="H26" s="478">
        <f t="shared" si="0"/>
        <v>13176269.158449853</v>
      </c>
    </row>
    <row r="27" spans="1:8">
      <c r="A27" s="479">
        <v>21</v>
      </c>
      <c r="B27" s="494" t="s">
        <v>451</v>
      </c>
      <c r="C27" s="648">
        <v>0.18</v>
      </c>
      <c r="D27" s="648">
        <v>1909822.926821199</v>
      </c>
      <c r="E27" s="648">
        <v>34626.331413007974</v>
      </c>
      <c r="F27" s="648"/>
      <c r="G27" s="648">
        <v>408.50999999999982</v>
      </c>
      <c r="H27" s="478">
        <f t="shared" si="0"/>
        <v>1875196.7754081909</v>
      </c>
    </row>
    <row r="28" spans="1:8">
      <c r="A28" s="479">
        <v>22</v>
      </c>
      <c r="B28" s="494" t="s">
        <v>452</v>
      </c>
      <c r="C28" s="648">
        <v>632.49</v>
      </c>
      <c r="D28" s="648">
        <v>627617.3270089858</v>
      </c>
      <c r="E28" s="648">
        <v>8695.9775002967199</v>
      </c>
      <c r="F28" s="648"/>
      <c r="G28" s="648">
        <v>26601.720000000005</v>
      </c>
      <c r="H28" s="478">
        <f t="shared" si="0"/>
        <v>619553.83950868913</v>
      </c>
    </row>
    <row r="29" spans="1:8">
      <c r="A29" s="479">
        <v>23</v>
      </c>
      <c r="B29" s="494" t="s">
        <v>453</v>
      </c>
      <c r="C29" s="648">
        <v>4114553.6994424104</v>
      </c>
      <c r="D29" s="648">
        <v>417224489.71308607</v>
      </c>
      <c r="E29" s="648">
        <v>10578055.445028357</v>
      </c>
      <c r="F29" s="648"/>
      <c r="G29" s="648">
        <v>4675360.080793987</v>
      </c>
      <c r="H29" s="478">
        <f t="shared" si="0"/>
        <v>410760987.96750009</v>
      </c>
    </row>
    <row r="30" spans="1:8">
      <c r="A30" s="479">
        <v>24</v>
      </c>
      <c r="B30" s="494" t="s">
        <v>524</v>
      </c>
      <c r="C30" s="648">
        <v>5494477.9107780345</v>
      </c>
      <c r="D30" s="648">
        <v>765697326.85180306</v>
      </c>
      <c r="E30" s="648">
        <v>16184666.256915625</v>
      </c>
      <c r="F30" s="648"/>
      <c r="G30" s="648">
        <v>6992078.686784016</v>
      </c>
      <c r="H30" s="478">
        <f t="shared" si="0"/>
        <v>755007138.50566554</v>
      </c>
    </row>
    <row r="31" spans="1:8">
      <c r="A31" s="479">
        <v>25</v>
      </c>
      <c r="B31" s="494" t="s">
        <v>454</v>
      </c>
      <c r="C31" s="648">
        <v>1405164.9513210636</v>
      </c>
      <c r="D31" s="648">
        <v>141048036.43982178</v>
      </c>
      <c r="E31" s="648">
        <v>3055730.2051247768</v>
      </c>
      <c r="F31" s="648"/>
      <c r="G31" s="648">
        <v>2008585.5879199938</v>
      </c>
      <c r="H31" s="478">
        <f t="shared" si="0"/>
        <v>139397471.18601808</v>
      </c>
    </row>
    <row r="32" spans="1:8">
      <c r="A32" s="479">
        <v>26</v>
      </c>
      <c r="B32" s="494" t="s">
        <v>521</v>
      </c>
      <c r="C32" s="648">
        <v>476052.92484459846</v>
      </c>
      <c r="D32" s="648">
        <v>56413711.458437234</v>
      </c>
      <c r="E32" s="648">
        <v>1342074.9301864137</v>
      </c>
      <c r="F32" s="648"/>
      <c r="G32" s="648">
        <v>690757.06000000157</v>
      </c>
      <c r="H32" s="478">
        <f t="shared" si="0"/>
        <v>55547689.453095421</v>
      </c>
    </row>
    <row r="33" spans="1:8">
      <c r="A33" s="479">
        <v>27</v>
      </c>
      <c r="B33" s="479" t="s">
        <v>455</v>
      </c>
      <c r="C33" s="648"/>
      <c r="D33" s="648">
        <v>182991213.52000001</v>
      </c>
      <c r="E33" s="648">
        <v>3805276.19</v>
      </c>
      <c r="F33" s="648"/>
      <c r="G33" s="648"/>
      <c r="H33" s="478">
        <f t="shared" si="0"/>
        <v>179185937.33000001</v>
      </c>
    </row>
    <row r="34" spans="1:8">
      <c r="A34" s="479">
        <v>28</v>
      </c>
      <c r="B34" s="483" t="s">
        <v>64</v>
      </c>
      <c r="C34" s="650">
        <f>SUM(C7:C33)</f>
        <v>14219511.110257071</v>
      </c>
      <c r="D34" s="650">
        <f>SUM(D7:D33)</f>
        <v>2369729363.537179</v>
      </c>
      <c r="E34" s="650">
        <f>SUM(E7:E33)</f>
        <v>44883733.371731438</v>
      </c>
      <c r="F34" s="650">
        <f>SUM(F7:F33)</f>
        <v>0</v>
      </c>
      <c r="G34" s="650">
        <f>SUM(G7:G33)</f>
        <v>18586514</v>
      </c>
      <c r="H34" s="478">
        <f t="shared" si="0"/>
        <v>2339065141.2757049</v>
      </c>
    </row>
    <row r="36" spans="1:8">
      <c r="B36" s="493"/>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5"/>
  <sheetViews>
    <sheetView showGridLines="0" zoomScaleNormal="100" workbookViewId="0">
      <selection activeCell="C11" sqref="C11:C14"/>
    </sheetView>
  </sheetViews>
  <sheetFormatPr defaultColWidth="9.21875" defaultRowHeight="12"/>
  <cols>
    <col min="1" max="1" width="11.77734375" style="381" bestFit="1" customWidth="1"/>
    <col min="2" max="2" width="108" style="381" bestFit="1" customWidth="1"/>
    <col min="3" max="3" width="35.5546875" style="381" customWidth="1"/>
    <col min="4" max="4" width="38.44140625" style="381" customWidth="1"/>
    <col min="5" max="16384" width="9.21875" style="381"/>
  </cols>
  <sheetData>
    <row r="1" spans="1:4" ht="13.8">
      <c r="A1" s="379" t="s">
        <v>30</v>
      </c>
      <c r="B1" s="476" t="str">
        <f>'Info '!C2</f>
        <v>JSC "CREDOBANK"</v>
      </c>
    </row>
    <row r="2" spans="1:4">
      <c r="A2" s="379" t="s">
        <v>31</v>
      </c>
      <c r="B2" s="475">
        <f>'1. key ratios '!B2</f>
        <v>45199</v>
      </c>
    </row>
    <row r="3" spans="1:4">
      <c r="A3" s="380" t="s">
        <v>456</v>
      </c>
    </row>
    <row r="5" spans="1:4">
      <c r="A5" s="772" t="s">
        <v>670</v>
      </c>
      <c r="B5" s="772"/>
      <c r="C5" s="474" t="s">
        <v>473</v>
      </c>
      <c r="D5" s="474" t="s">
        <v>514</v>
      </c>
    </row>
    <row r="6" spans="1:4">
      <c r="A6" s="502">
        <v>1</v>
      </c>
      <c r="B6" s="495" t="s">
        <v>669</v>
      </c>
      <c r="C6" s="652">
        <v>42220071.000000007</v>
      </c>
      <c r="D6" s="497"/>
    </row>
    <row r="7" spans="1:4">
      <c r="A7" s="499">
        <v>2</v>
      </c>
      <c r="B7" s="495" t="s">
        <v>668</v>
      </c>
      <c r="C7" s="647">
        <f>SUM(C8:C9)</f>
        <v>30423280</v>
      </c>
      <c r="D7" s="497">
        <f>SUM(D8:D9)</f>
        <v>0</v>
      </c>
    </row>
    <row r="8" spans="1:4">
      <c r="A8" s="501">
        <v>2.1</v>
      </c>
      <c r="B8" s="500" t="s">
        <v>529</v>
      </c>
      <c r="C8" s="652">
        <v>3929846</v>
      </c>
      <c r="D8" s="497"/>
    </row>
    <row r="9" spans="1:4">
      <c r="A9" s="501">
        <v>2.2000000000000002</v>
      </c>
      <c r="B9" s="500" t="s">
        <v>527</v>
      </c>
      <c r="C9" s="652">
        <v>26493434</v>
      </c>
      <c r="D9" s="497"/>
    </row>
    <row r="10" spans="1:4">
      <c r="A10" s="502">
        <v>3</v>
      </c>
      <c r="B10" s="495" t="s">
        <v>667</v>
      </c>
      <c r="C10" s="647">
        <f>SUM(C11:C13)</f>
        <v>31877235</v>
      </c>
      <c r="D10" s="497">
        <f>SUM(D11:D13)</f>
        <v>0</v>
      </c>
    </row>
    <row r="11" spans="1:4">
      <c r="A11" s="501">
        <v>3.1</v>
      </c>
      <c r="B11" s="500" t="s">
        <v>458</v>
      </c>
      <c r="C11" s="653">
        <v>18586514</v>
      </c>
      <c r="D11" s="497"/>
    </row>
    <row r="12" spans="1:4">
      <c r="A12" s="501">
        <v>3.2</v>
      </c>
      <c r="B12" s="500" t="s">
        <v>666</v>
      </c>
      <c r="C12" s="653">
        <v>5758363</v>
      </c>
      <c r="D12" s="497"/>
    </row>
    <row r="13" spans="1:4">
      <c r="A13" s="501">
        <v>3.3</v>
      </c>
      <c r="B13" s="500" t="s">
        <v>528</v>
      </c>
      <c r="C13" s="652">
        <v>7532358</v>
      </c>
      <c r="D13" s="497"/>
    </row>
    <row r="14" spans="1:4">
      <c r="A14" s="499">
        <v>4</v>
      </c>
      <c r="B14" s="498" t="s">
        <v>665</v>
      </c>
      <c r="C14" s="652">
        <v>312341</v>
      </c>
      <c r="D14" s="497"/>
    </row>
    <row r="15" spans="1:4">
      <c r="A15" s="496">
        <v>5</v>
      </c>
      <c r="B15" s="495" t="s">
        <v>664</v>
      </c>
      <c r="C15" s="647">
        <f>C6+C7-C10+C14</f>
        <v>41078457</v>
      </c>
      <c r="D15" s="467">
        <f>D6+D7-D10+D14</f>
        <v>0</v>
      </c>
    </row>
  </sheetData>
  <mergeCells count="1">
    <mergeCell ref="A5:B5"/>
  </mergeCells>
  <pageMargins left="0.7" right="0.7" top="0.75" bottom="0.75" header="0.3" footer="0.3"/>
  <pageSetup orientation="portrait" horizontalDpi="4294967292" verticalDpi="0" r:id="rId1"/>
  <ignoredErrors>
    <ignoredError sqref="C10"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3"/>
  <sheetViews>
    <sheetView showGridLines="0" zoomScaleNormal="100" workbookViewId="0">
      <selection activeCell="C17" sqref="C17"/>
    </sheetView>
  </sheetViews>
  <sheetFormatPr defaultColWidth="9.21875" defaultRowHeight="12"/>
  <cols>
    <col min="1" max="1" width="11.77734375" style="381" bestFit="1" customWidth="1"/>
    <col min="2" max="2" width="128.88671875" style="381" bestFit="1" customWidth="1"/>
    <col min="3" max="3" width="37" style="381" customWidth="1"/>
    <col min="4" max="4" width="50.5546875" style="381" customWidth="1"/>
    <col min="5" max="16384" width="9.21875" style="381"/>
  </cols>
  <sheetData>
    <row r="1" spans="1:4" ht="13.8">
      <c r="A1" s="379" t="s">
        <v>30</v>
      </c>
      <c r="B1" s="476" t="str">
        <f>'Info '!C2</f>
        <v>JSC "CREDOBANK"</v>
      </c>
    </row>
    <row r="2" spans="1:4">
      <c r="A2" s="379" t="s">
        <v>31</v>
      </c>
      <c r="B2" s="475">
        <f>'1. key ratios '!B2</f>
        <v>45199</v>
      </c>
    </row>
    <row r="3" spans="1:4">
      <c r="A3" s="380" t="s">
        <v>460</v>
      </c>
    </row>
    <row r="4" spans="1:4">
      <c r="A4" s="380"/>
    </row>
    <row r="5" spans="1:4" ht="15" customHeight="1">
      <c r="A5" s="773" t="s">
        <v>530</v>
      </c>
      <c r="B5" s="774"/>
      <c r="C5" s="777" t="s">
        <v>461</v>
      </c>
      <c r="D5" s="777" t="s">
        <v>462</v>
      </c>
    </row>
    <row r="6" spans="1:4">
      <c r="A6" s="775"/>
      <c r="B6" s="776"/>
      <c r="C6" s="777"/>
      <c r="D6" s="777"/>
    </row>
    <row r="7" spans="1:4">
      <c r="A7" s="467">
        <v>1</v>
      </c>
      <c r="B7" s="467" t="s">
        <v>457</v>
      </c>
      <c r="C7" s="648">
        <v>15053101</v>
      </c>
      <c r="D7" s="503"/>
    </row>
    <row r="8" spans="1:4">
      <c r="A8" s="497">
        <v>2</v>
      </c>
      <c r="B8" s="497" t="s">
        <v>463</v>
      </c>
      <c r="C8" s="648">
        <v>18262729</v>
      </c>
      <c r="D8" s="503"/>
    </row>
    <row r="9" spans="1:4">
      <c r="A9" s="497">
        <v>3</v>
      </c>
      <c r="B9" s="506" t="s">
        <v>673</v>
      </c>
      <c r="C9" s="648">
        <v>19039.496969943557</v>
      </c>
      <c r="D9" s="503"/>
    </row>
    <row r="10" spans="1:4">
      <c r="A10" s="497">
        <v>4</v>
      </c>
      <c r="B10" s="497" t="s">
        <v>464</v>
      </c>
      <c r="C10" s="650">
        <f>SUM(C11:C17)</f>
        <v>19115358.307463914</v>
      </c>
      <c r="D10" s="503"/>
    </row>
    <row r="11" spans="1:4">
      <c r="A11" s="497">
        <v>5</v>
      </c>
      <c r="B11" s="505" t="s">
        <v>672</v>
      </c>
      <c r="C11" s="648"/>
      <c r="D11" s="503"/>
    </row>
    <row r="12" spans="1:4">
      <c r="A12" s="497">
        <v>6</v>
      </c>
      <c r="B12" s="505" t="s">
        <v>465</v>
      </c>
      <c r="C12" s="649">
        <v>526567.36523851333</v>
      </c>
      <c r="D12" s="503"/>
    </row>
    <row r="13" spans="1:4">
      <c r="A13" s="497">
        <v>7</v>
      </c>
      <c r="B13" s="505" t="s">
        <v>468</v>
      </c>
      <c r="C13" s="649">
        <v>18586514</v>
      </c>
      <c r="D13" s="503"/>
    </row>
    <row r="14" spans="1:4">
      <c r="A14" s="497">
        <v>8</v>
      </c>
      <c r="B14" s="505" t="s">
        <v>466</v>
      </c>
      <c r="C14" s="648"/>
      <c r="D14" s="497"/>
    </row>
    <row r="15" spans="1:4">
      <c r="A15" s="497">
        <v>9</v>
      </c>
      <c r="B15" s="505" t="s">
        <v>467</v>
      </c>
      <c r="C15" s="648"/>
      <c r="D15" s="497"/>
    </row>
    <row r="16" spans="1:4">
      <c r="A16" s="497">
        <v>10</v>
      </c>
      <c r="B16" s="505" t="s">
        <v>469</v>
      </c>
      <c r="C16" s="648"/>
      <c r="D16" s="497"/>
    </row>
    <row r="17" spans="1:4">
      <c r="A17" s="497">
        <v>11</v>
      </c>
      <c r="B17" s="505" t="s">
        <v>671</v>
      </c>
      <c r="C17" s="648">
        <v>2276.9422253994899</v>
      </c>
      <c r="D17" s="503"/>
    </row>
    <row r="18" spans="1:4">
      <c r="A18" s="467">
        <v>12</v>
      </c>
      <c r="B18" s="504" t="s">
        <v>459</v>
      </c>
      <c r="C18" s="650">
        <f>C7+C8+C9-C10</f>
        <v>14219511.189506028</v>
      </c>
      <c r="D18" s="503"/>
    </row>
    <row r="21" spans="1:4">
      <c r="B21" s="379"/>
    </row>
    <row r="22" spans="1:4">
      <c r="B22" s="379"/>
    </row>
    <row r="23" spans="1:4">
      <c r="B23" s="38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28"/>
  <sheetViews>
    <sheetView showGridLines="0" topLeftCell="K1" zoomScale="90" zoomScaleNormal="90" workbookViewId="0">
      <selection activeCell="T8" activeCellId="1" sqref="L8 T8"/>
    </sheetView>
  </sheetViews>
  <sheetFormatPr defaultColWidth="9.21875" defaultRowHeight="12"/>
  <cols>
    <col min="1" max="1" width="11.77734375" style="490" bestFit="1" customWidth="1"/>
    <col min="2" max="2" width="63.88671875" style="490" customWidth="1"/>
    <col min="3" max="3" width="15.5546875" style="490" customWidth="1"/>
    <col min="4" max="18" width="22.21875" style="490" customWidth="1"/>
    <col min="19" max="19" width="23.21875" style="490" bestFit="1" customWidth="1"/>
    <col min="20" max="26" width="22.21875" style="490" customWidth="1"/>
    <col min="27" max="27" width="23.21875" style="490" bestFit="1" customWidth="1"/>
    <col min="28" max="28" width="20" style="490" customWidth="1"/>
    <col min="29" max="16384" width="9.21875" style="490"/>
  </cols>
  <sheetData>
    <row r="1" spans="1:28" ht="13.8">
      <c r="A1" s="379" t="s">
        <v>30</v>
      </c>
      <c r="B1" s="476" t="str">
        <f>'Info '!C2</f>
        <v>JSC "CREDOBANK"</v>
      </c>
    </row>
    <row r="2" spans="1:28">
      <c r="A2" s="379" t="s">
        <v>31</v>
      </c>
      <c r="B2" s="475">
        <f>'1. key ratios '!B2</f>
        <v>45199</v>
      </c>
      <c r="C2" s="491"/>
    </row>
    <row r="3" spans="1:28">
      <c r="A3" s="380" t="s">
        <v>470</v>
      </c>
    </row>
    <row r="5" spans="1:28" ht="15" customHeight="1">
      <c r="A5" s="779" t="s">
        <v>685</v>
      </c>
      <c r="B5" s="780"/>
      <c r="C5" s="785" t="s">
        <v>471</v>
      </c>
      <c r="D5" s="786"/>
      <c r="E5" s="786"/>
      <c r="F5" s="786"/>
      <c r="G5" s="786"/>
      <c r="H5" s="786"/>
      <c r="I5" s="786"/>
      <c r="J5" s="786"/>
      <c r="K5" s="786"/>
      <c r="L5" s="786"/>
      <c r="M5" s="786"/>
      <c r="N5" s="786"/>
      <c r="O5" s="786"/>
      <c r="P5" s="786"/>
      <c r="Q5" s="786"/>
      <c r="R5" s="786"/>
      <c r="S5" s="786"/>
      <c r="T5" s="515"/>
      <c r="U5" s="515"/>
      <c r="V5" s="515"/>
      <c r="W5" s="515"/>
      <c r="X5" s="515"/>
      <c r="Y5" s="515"/>
      <c r="Z5" s="515"/>
      <c r="AA5" s="514"/>
      <c r="AB5" s="509"/>
    </row>
    <row r="6" spans="1:28" ht="12" customHeight="1">
      <c r="A6" s="781"/>
      <c r="B6" s="782"/>
      <c r="C6" s="787" t="s">
        <v>64</v>
      </c>
      <c r="D6" s="789" t="s">
        <v>684</v>
      </c>
      <c r="E6" s="789"/>
      <c r="F6" s="789"/>
      <c r="G6" s="789"/>
      <c r="H6" s="789" t="s">
        <v>683</v>
      </c>
      <c r="I6" s="789"/>
      <c r="J6" s="789"/>
      <c r="K6" s="789"/>
      <c r="L6" s="512"/>
      <c r="M6" s="790" t="s">
        <v>682</v>
      </c>
      <c r="N6" s="790"/>
      <c r="O6" s="790"/>
      <c r="P6" s="790"/>
      <c r="Q6" s="790"/>
      <c r="R6" s="790"/>
      <c r="S6" s="766"/>
      <c r="T6" s="513"/>
      <c r="U6" s="778" t="s">
        <v>681</v>
      </c>
      <c r="V6" s="778"/>
      <c r="W6" s="778"/>
      <c r="X6" s="778"/>
      <c r="Y6" s="778"/>
      <c r="Z6" s="778"/>
      <c r="AA6" s="771"/>
      <c r="AB6" s="512"/>
    </row>
    <row r="7" spans="1:28" ht="24">
      <c r="A7" s="783"/>
      <c r="B7" s="784"/>
      <c r="C7" s="788"/>
      <c r="D7" s="511"/>
      <c r="E7" s="487" t="s">
        <v>472</v>
      </c>
      <c r="F7" s="487" t="s">
        <v>679</v>
      </c>
      <c r="G7" s="489" t="s">
        <v>680</v>
      </c>
      <c r="H7" s="491"/>
      <c r="I7" s="487" t="s">
        <v>472</v>
      </c>
      <c r="J7" s="487" t="s">
        <v>679</v>
      </c>
      <c r="K7" s="489" t="s">
        <v>680</v>
      </c>
      <c r="L7" s="510"/>
      <c r="M7" s="487" t="s">
        <v>472</v>
      </c>
      <c r="N7" s="487" t="s">
        <v>679</v>
      </c>
      <c r="O7" s="487" t="s">
        <v>678</v>
      </c>
      <c r="P7" s="487" t="s">
        <v>677</v>
      </c>
      <c r="Q7" s="487" t="s">
        <v>676</v>
      </c>
      <c r="R7" s="487" t="s">
        <v>675</v>
      </c>
      <c r="S7" s="487" t="s">
        <v>674</v>
      </c>
      <c r="T7" s="510"/>
      <c r="U7" s="487" t="s">
        <v>472</v>
      </c>
      <c r="V7" s="487" t="s">
        <v>679</v>
      </c>
      <c r="W7" s="487" t="s">
        <v>678</v>
      </c>
      <c r="X7" s="487" t="s">
        <v>677</v>
      </c>
      <c r="Y7" s="487" t="s">
        <v>676</v>
      </c>
      <c r="Z7" s="487" t="s">
        <v>675</v>
      </c>
      <c r="AA7" s="487" t="s">
        <v>674</v>
      </c>
      <c r="AB7" s="509"/>
    </row>
    <row r="8" spans="1:28">
      <c r="A8" s="508">
        <v>1</v>
      </c>
      <c r="B8" s="483" t="s">
        <v>473</v>
      </c>
      <c r="C8" s="650">
        <f>SUM(C9:C14)</f>
        <v>1917801980.2273972</v>
      </c>
      <c r="D8" s="650">
        <f t="shared" ref="D8:AA8" si="0">SUM(D9:D14)</f>
        <v>1817959858.3347297</v>
      </c>
      <c r="E8" s="650">
        <f t="shared" si="0"/>
        <v>9679022.6555887628</v>
      </c>
      <c r="F8" s="650">
        <f t="shared" si="0"/>
        <v>0</v>
      </c>
      <c r="G8" s="650">
        <f t="shared" si="0"/>
        <v>0</v>
      </c>
      <c r="H8" s="650">
        <f t="shared" si="0"/>
        <v>85622610.782410488</v>
      </c>
      <c r="I8" s="650">
        <f t="shared" si="0"/>
        <v>3312554.8053338677</v>
      </c>
      <c r="J8" s="650">
        <f t="shared" si="0"/>
        <v>15026744.650020249</v>
      </c>
      <c r="K8" s="650">
        <f t="shared" si="0"/>
        <v>0</v>
      </c>
      <c r="L8" s="650">
        <f t="shared" si="0"/>
        <v>13966994.600257082</v>
      </c>
      <c r="M8" s="650">
        <f t="shared" si="0"/>
        <v>332449.54077474884</v>
      </c>
      <c r="N8" s="650">
        <f t="shared" si="0"/>
        <v>297742.98816878261</v>
      </c>
      <c r="O8" s="650">
        <f t="shared" si="0"/>
        <v>12434469.110735824</v>
      </c>
      <c r="P8" s="650">
        <f t="shared" si="0"/>
        <v>0</v>
      </c>
      <c r="Q8" s="650">
        <f t="shared" si="0"/>
        <v>0</v>
      </c>
      <c r="R8" s="650">
        <f t="shared" si="0"/>
        <v>0</v>
      </c>
      <c r="S8" s="650">
        <f t="shared" si="0"/>
        <v>0</v>
      </c>
      <c r="T8" s="650">
        <f t="shared" si="0"/>
        <v>252516.51000000004</v>
      </c>
      <c r="U8" s="650">
        <f t="shared" si="0"/>
        <v>0</v>
      </c>
      <c r="V8" s="650">
        <f t="shared" si="0"/>
        <v>17288.760000000002</v>
      </c>
      <c r="W8" s="650">
        <f t="shared" si="0"/>
        <v>0</v>
      </c>
      <c r="X8" s="650">
        <f t="shared" si="0"/>
        <v>0</v>
      </c>
      <c r="Y8" s="650">
        <f t="shared" si="0"/>
        <v>0</v>
      </c>
      <c r="Z8" s="650">
        <f t="shared" si="0"/>
        <v>0</v>
      </c>
      <c r="AA8" s="650">
        <f t="shared" si="0"/>
        <v>0</v>
      </c>
    </row>
    <row r="9" spans="1:28">
      <c r="A9" s="479">
        <v>1.1000000000000001</v>
      </c>
      <c r="B9" s="499" t="s">
        <v>474</v>
      </c>
      <c r="C9" s="499"/>
      <c r="D9" s="479"/>
      <c r="E9" s="479"/>
      <c r="F9" s="479"/>
      <c r="G9" s="479"/>
      <c r="H9" s="479"/>
      <c r="I9" s="479"/>
      <c r="J9" s="479"/>
      <c r="K9" s="479"/>
      <c r="L9" s="479"/>
      <c r="M9" s="479"/>
      <c r="N9" s="479"/>
      <c r="O9" s="479"/>
      <c r="P9" s="479"/>
      <c r="Q9" s="479"/>
      <c r="R9" s="479"/>
      <c r="S9" s="479"/>
      <c r="T9" s="479"/>
      <c r="U9" s="479"/>
      <c r="V9" s="479"/>
      <c r="W9" s="479"/>
      <c r="X9" s="479"/>
      <c r="Y9" s="479"/>
      <c r="Z9" s="479"/>
      <c r="AA9" s="479"/>
    </row>
    <row r="10" spans="1:28">
      <c r="A10" s="479">
        <v>1.2</v>
      </c>
      <c r="B10" s="499" t="s">
        <v>475</v>
      </c>
      <c r="C10" s="49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row>
    <row r="11" spans="1:28">
      <c r="A11" s="479">
        <v>1.3</v>
      </c>
      <c r="B11" s="499" t="s">
        <v>476</v>
      </c>
      <c r="C11" s="499"/>
      <c r="D11" s="479"/>
      <c r="E11" s="479"/>
      <c r="F11" s="479"/>
      <c r="G11" s="479"/>
      <c r="H11" s="479"/>
      <c r="I11" s="479"/>
      <c r="J11" s="479"/>
      <c r="K11" s="479"/>
      <c r="L11" s="479"/>
      <c r="M11" s="479"/>
      <c r="N11" s="479"/>
      <c r="O11" s="479"/>
      <c r="P11" s="479"/>
      <c r="Q11" s="479"/>
      <c r="R11" s="479"/>
      <c r="S11" s="479"/>
      <c r="T11" s="479"/>
      <c r="U11" s="479"/>
      <c r="V11" s="479"/>
      <c r="W11" s="479"/>
      <c r="X11" s="479"/>
      <c r="Y11" s="479"/>
      <c r="Z11" s="479"/>
      <c r="AA11" s="479"/>
    </row>
    <row r="12" spans="1:28">
      <c r="A12" s="479">
        <v>1.4</v>
      </c>
      <c r="B12" s="499" t="s">
        <v>477</v>
      </c>
      <c r="C12" s="499"/>
      <c r="D12" s="648"/>
      <c r="E12" s="479"/>
      <c r="F12" s="479"/>
      <c r="G12" s="479"/>
      <c r="H12" s="479"/>
      <c r="I12" s="479"/>
      <c r="J12" s="479"/>
      <c r="K12" s="479"/>
      <c r="L12" s="479"/>
      <c r="M12" s="479"/>
      <c r="N12" s="479"/>
      <c r="O12" s="479"/>
      <c r="P12" s="479"/>
      <c r="Q12" s="479"/>
      <c r="R12" s="479"/>
      <c r="S12" s="479"/>
      <c r="T12" s="479"/>
      <c r="U12" s="479"/>
      <c r="V12" s="479"/>
      <c r="W12" s="479"/>
      <c r="X12" s="479"/>
      <c r="Y12" s="479"/>
      <c r="Z12" s="479"/>
      <c r="AA12" s="479"/>
    </row>
    <row r="13" spans="1:28">
      <c r="A13" s="479">
        <v>1.5</v>
      </c>
      <c r="B13" s="499" t="s">
        <v>478</v>
      </c>
      <c r="C13" s="654">
        <f>D13+H13+L13+T13</f>
        <v>98990514.46935147</v>
      </c>
      <c r="D13" s="648">
        <v>96387706.75592728</v>
      </c>
      <c r="E13" s="648">
        <v>33313.001174150086</v>
      </c>
      <c r="F13" s="479"/>
      <c r="G13" s="479"/>
      <c r="H13" s="648">
        <v>2567758.5860364656</v>
      </c>
      <c r="I13" s="648"/>
      <c r="J13" s="648">
        <v>92711.573958588502</v>
      </c>
      <c r="K13" s="648"/>
      <c r="L13" s="648">
        <v>32063.51738773095</v>
      </c>
      <c r="M13" s="479"/>
      <c r="N13" s="479"/>
      <c r="O13" s="648">
        <v>32063.51738773095</v>
      </c>
      <c r="P13" s="479"/>
      <c r="Q13" s="479"/>
      <c r="R13" s="479"/>
      <c r="S13" s="479"/>
      <c r="T13" s="648">
        <v>2985.61</v>
      </c>
      <c r="U13" s="648"/>
      <c r="V13" s="648"/>
      <c r="W13" s="479"/>
      <c r="X13" s="479"/>
      <c r="Y13" s="479"/>
      <c r="Z13" s="479"/>
      <c r="AA13" s="479"/>
    </row>
    <row r="14" spans="1:28">
      <c r="A14" s="479">
        <v>1.6</v>
      </c>
      <c r="B14" s="499" t="s">
        <v>479</v>
      </c>
      <c r="C14" s="654">
        <f>D14+H14+L14+T14</f>
        <v>1818811465.7580457</v>
      </c>
      <c r="D14" s="648">
        <v>1721572151.5788023</v>
      </c>
      <c r="E14" s="648">
        <v>9645709.6544146128</v>
      </c>
      <c r="F14" s="479"/>
      <c r="G14" s="479"/>
      <c r="H14" s="648">
        <v>83054852.196374029</v>
      </c>
      <c r="I14" s="648">
        <v>3312554.8053338677</v>
      </c>
      <c r="J14" s="648">
        <v>14934033.07606166</v>
      </c>
      <c r="K14" s="648"/>
      <c r="L14" s="648">
        <v>13934931.082869351</v>
      </c>
      <c r="M14" s="648">
        <v>332449.54077474884</v>
      </c>
      <c r="N14" s="649">
        <v>297742.98816878261</v>
      </c>
      <c r="O14" s="649">
        <v>12402405.593348093</v>
      </c>
      <c r="P14" s="649"/>
      <c r="Q14" s="479"/>
      <c r="R14" s="479"/>
      <c r="S14" s="479"/>
      <c r="T14" s="648">
        <v>249530.90000000005</v>
      </c>
      <c r="U14" s="648"/>
      <c r="V14" s="648">
        <v>17288.760000000002</v>
      </c>
      <c r="W14" s="479"/>
      <c r="X14" s="659"/>
      <c r="Y14" s="479"/>
      <c r="Z14" s="479"/>
      <c r="AA14" s="479"/>
    </row>
    <row r="15" spans="1:28">
      <c r="A15" s="508">
        <v>2</v>
      </c>
      <c r="B15" s="483" t="s">
        <v>480</v>
      </c>
      <c r="C15" s="655">
        <f t="shared" ref="C15:C20" si="1">D15+H15+L15+T15</f>
        <v>48483957</v>
      </c>
      <c r="D15" s="656">
        <f>SUM(D16:D21)</f>
        <v>48483957</v>
      </c>
      <c r="E15" s="656">
        <f t="shared" ref="E15:AA15" si="2">SUM(E16:E21)</f>
        <v>0</v>
      </c>
      <c r="F15" s="656">
        <f t="shared" si="2"/>
        <v>0</v>
      </c>
      <c r="G15" s="656">
        <f t="shared" si="2"/>
        <v>0</v>
      </c>
      <c r="H15" s="656">
        <f t="shared" si="2"/>
        <v>0</v>
      </c>
      <c r="I15" s="656">
        <f t="shared" si="2"/>
        <v>0</v>
      </c>
      <c r="J15" s="656">
        <f t="shared" si="2"/>
        <v>0</v>
      </c>
      <c r="K15" s="656">
        <f t="shared" si="2"/>
        <v>0</v>
      </c>
      <c r="L15" s="656">
        <f t="shared" si="2"/>
        <v>0</v>
      </c>
      <c r="M15" s="656">
        <f t="shared" si="2"/>
        <v>0</v>
      </c>
      <c r="N15" s="656">
        <f t="shared" si="2"/>
        <v>0</v>
      </c>
      <c r="O15" s="656">
        <f t="shared" si="2"/>
        <v>0</v>
      </c>
      <c r="P15" s="656">
        <f t="shared" si="2"/>
        <v>0</v>
      </c>
      <c r="Q15" s="656">
        <f t="shared" si="2"/>
        <v>0</v>
      </c>
      <c r="R15" s="656">
        <f t="shared" si="2"/>
        <v>0</v>
      </c>
      <c r="S15" s="656">
        <f t="shared" si="2"/>
        <v>0</v>
      </c>
      <c r="T15" s="656">
        <f t="shared" si="2"/>
        <v>0</v>
      </c>
      <c r="U15" s="656">
        <f t="shared" si="2"/>
        <v>0</v>
      </c>
      <c r="V15" s="656">
        <f t="shared" si="2"/>
        <v>0</v>
      </c>
      <c r="W15" s="656">
        <f t="shared" si="2"/>
        <v>0</v>
      </c>
      <c r="X15" s="656">
        <f t="shared" si="2"/>
        <v>0</v>
      </c>
      <c r="Y15" s="656">
        <f t="shared" si="2"/>
        <v>0</v>
      </c>
      <c r="Z15" s="656">
        <f t="shared" si="2"/>
        <v>0</v>
      </c>
      <c r="AA15" s="656">
        <f t="shared" si="2"/>
        <v>0</v>
      </c>
    </row>
    <row r="16" spans="1:28">
      <c r="A16" s="479">
        <v>2.1</v>
      </c>
      <c r="B16" s="499" t="s">
        <v>474</v>
      </c>
      <c r="C16" s="654">
        <f t="shared" si="1"/>
        <v>0</v>
      </c>
      <c r="D16" s="648"/>
      <c r="E16" s="648"/>
      <c r="F16" s="648"/>
      <c r="G16" s="648"/>
      <c r="H16" s="648"/>
      <c r="I16" s="648"/>
      <c r="J16" s="648"/>
      <c r="K16" s="648"/>
      <c r="L16" s="648"/>
      <c r="M16" s="648"/>
      <c r="N16" s="648"/>
      <c r="O16" s="648"/>
      <c r="P16" s="648"/>
      <c r="Q16" s="648"/>
      <c r="R16" s="648"/>
      <c r="S16" s="648"/>
      <c r="T16" s="648"/>
      <c r="U16" s="648"/>
      <c r="V16" s="648"/>
      <c r="W16" s="648"/>
      <c r="X16" s="648"/>
      <c r="Y16" s="648"/>
      <c r="Z16" s="648"/>
      <c r="AA16" s="648"/>
    </row>
    <row r="17" spans="1:27">
      <c r="A17" s="479">
        <v>2.2000000000000002</v>
      </c>
      <c r="B17" s="499" t="s">
        <v>475</v>
      </c>
      <c r="C17" s="654">
        <f t="shared" si="1"/>
        <v>22353579.460000001</v>
      </c>
      <c r="D17" s="648">
        <v>22353579.460000001</v>
      </c>
      <c r="E17" s="648"/>
      <c r="F17" s="648"/>
      <c r="G17" s="648"/>
      <c r="H17" s="648"/>
      <c r="I17" s="648"/>
      <c r="J17" s="648"/>
      <c r="K17" s="648"/>
      <c r="L17" s="648"/>
      <c r="M17" s="648"/>
      <c r="N17" s="648"/>
      <c r="O17" s="648"/>
      <c r="P17" s="648"/>
      <c r="Q17" s="648"/>
      <c r="R17" s="648"/>
      <c r="S17" s="648"/>
      <c r="T17" s="648"/>
      <c r="U17" s="648"/>
      <c r="V17" s="648"/>
      <c r="W17" s="648"/>
      <c r="X17" s="648"/>
      <c r="Y17" s="648"/>
      <c r="Z17" s="648"/>
      <c r="AA17" s="648"/>
    </row>
    <row r="18" spans="1:27">
      <c r="A18" s="479">
        <v>2.2999999999999998</v>
      </c>
      <c r="B18" s="499" t="s">
        <v>476</v>
      </c>
      <c r="C18" s="654">
        <f t="shared" si="1"/>
        <v>26130377.539999999</v>
      </c>
      <c r="D18" s="648">
        <v>26130377.539999999</v>
      </c>
      <c r="E18" s="648"/>
      <c r="F18" s="648"/>
      <c r="G18" s="648"/>
      <c r="H18" s="648"/>
      <c r="I18" s="648"/>
      <c r="J18" s="648"/>
      <c r="K18" s="648"/>
      <c r="L18" s="648"/>
      <c r="M18" s="648"/>
      <c r="N18" s="648"/>
      <c r="O18" s="648"/>
      <c r="P18" s="648"/>
      <c r="Q18" s="648"/>
      <c r="R18" s="648"/>
      <c r="S18" s="648"/>
      <c r="T18" s="648"/>
      <c r="U18" s="648"/>
      <c r="V18" s="648"/>
      <c r="W18" s="648"/>
      <c r="X18" s="648"/>
      <c r="Y18" s="648"/>
      <c r="Z18" s="648"/>
      <c r="AA18" s="648"/>
    </row>
    <row r="19" spans="1:27">
      <c r="A19" s="479">
        <v>2.4</v>
      </c>
      <c r="B19" s="499" t="s">
        <v>477</v>
      </c>
      <c r="C19" s="654">
        <f t="shared" si="1"/>
        <v>0</v>
      </c>
      <c r="D19" s="648"/>
      <c r="E19" s="648"/>
      <c r="F19" s="648"/>
      <c r="G19" s="648"/>
      <c r="H19" s="648"/>
      <c r="I19" s="648"/>
      <c r="J19" s="648"/>
      <c r="K19" s="648"/>
      <c r="L19" s="648"/>
      <c r="M19" s="648"/>
      <c r="N19" s="648"/>
      <c r="O19" s="648"/>
      <c r="P19" s="648"/>
      <c r="Q19" s="648"/>
      <c r="R19" s="648"/>
      <c r="S19" s="648"/>
      <c r="T19" s="648"/>
      <c r="U19" s="648"/>
      <c r="V19" s="648"/>
      <c r="W19" s="648"/>
      <c r="X19" s="648"/>
      <c r="Y19" s="648"/>
      <c r="Z19" s="648"/>
      <c r="AA19" s="648"/>
    </row>
    <row r="20" spans="1:27">
      <c r="A20" s="479">
        <v>2.5</v>
      </c>
      <c r="B20" s="499" t="s">
        <v>478</v>
      </c>
      <c r="C20" s="654">
        <f t="shared" si="1"/>
        <v>0</v>
      </c>
      <c r="D20" s="648"/>
      <c r="E20" s="648"/>
      <c r="F20" s="648"/>
      <c r="G20" s="648"/>
      <c r="H20" s="648"/>
      <c r="I20" s="648"/>
      <c r="J20" s="648"/>
      <c r="K20" s="648"/>
      <c r="L20" s="648"/>
      <c r="M20" s="648"/>
      <c r="N20" s="648"/>
      <c r="O20" s="648"/>
      <c r="P20" s="648"/>
      <c r="Q20" s="648"/>
      <c r="R20" s="648"/>
      <c r="S20" s="648"/>
      <c r="T20" s="648"/>
      <c r="U20" s="648"/>
      <c r="V20" s="648"/>
      <c r="W20" s="648"/>
      <c r="X20" s="648"/>
      <c r="Y20" s="648"/>
      <c r="Z20" s="648"/>
      <c r="AA20" s="648"/>
    </row>
    <row r="21" spans="1:27">
      <c r="A21" s="479">
        <v>2.6</v>
      </c>
      <c r="B21" s="499" t="s">
        <v>479</v>
      </c>
      <c r="C21" s="654">
        <f>D21+H21+L21+T21</f>
        <v>0</v>
      </c>
      <c r="D21" s="648"/>
      <c r="E21" s="648"/>
      <c r="F21" s="648"/>
      <c r="G21" s="648"/>
      <c r="H21" s="648"/>
      <c r="I21" s="648"/>
      <c r="J21" s="648"/>
      <c r="K21" s="648"/>
      <c r="L21" s="648"/>
      <c r="M21" s="648"/>
      <c r="N21" s="648"/>
      <c r="O21" s="648"/>
      <c r="P21" s="648"/>
      <c r="Q21" s="648"/>
      <c r="R21" s="648"/>
      <c r="S21" s="648"/>
      <c r="T21" s="648"/>
      <c r="U21" s="648"/>
      <c r="V21" s="648"/>
      <c r="W21" s="648"/>
      <c r="X21" s="648"/>
      <c r="Y21" s="648"/>
      <c r="Z21" s="648"/>
      <c r="AA21" s="648"/>
    </row>
    <row r="22" spans="1:27">
      <c r="A22" s="508">
        <v>3</v>
      </c>
      <c r="B22" s="483" t="s">
        <v>520</v>
      </c>
      <c r="C22" s="650">
        <f>C27+C28</f>
        <v>48217748.61999999</v>
      </c>
      <c r="D22" s="650"/>
      <c r="E22" s="507"/>
      <c r="F22" s="507"/>
      <c r="G22" s="507"/>
      <c r="H22" s="483"/>
      <c r="I22" s="507"/>
      <c r="J22" s="507"/>
      <c r="K22" s="507"/>
      <c r="L22" s="483"/>
      <c r="M22" s="507"/>
      <c r="N22" s="507"/>
      <c r="O22" s="507"/>
      <c r="P22" s="507"/>
      <c r="Q22" s="507"/>
      <c r="R22" s="507"/>
      <c r="S22" s="507"/>
      <c r="T22" s="483"/>
      <c r="U22" s="507"/>
      <c r="V22" s="507"/>
      <c r="W22" s="507"/>
      <c r="X22" s="507"/>
      <c r="Y22" s="507"/>
      <c r="Z22" s="507"/>
      <c r="AA22" s="507"/>
    </row>
    <row r="23" spans="1:27">
      <c r="A23" s="479">
        <v>3.1</v>
      </c>
      <c r="B23" s="499" t="s">
        <v>474</v>
      </c>
      <c r="C23" s="657"/>
      <c r="D23" s="650"/>
      <c r="E23" s="507"/>
      <c r="F23" s="507"/>
      <c r="G23" s="507"/>
      <c r="H23" s="483"/>
      <c r="I23" s="507"/>
      <c r="J23" s="507"/>
      <c r="K23" s="507"/>
      <c r="L23" s="483"/>
      <c r="M23" s="507"/>
      <c r="N23" s="507"/>
      <c r="O23" s="507"/>
      <c r="P23" s="507"/>
      <c r="Q23" s="507"/>
      <c r="R23" s="507"/>
      <c r="S23" s="507"/>
      <c r="T23" s="483"/>
      <c r="U23" s="507"/>
      <c r="V23" s="507"/>
      <c r="W23" s="507"/>
      <c r="X23" s="507"/>
      <c r="Y23" s="507"/>
      <c r="Z23" s="507"/>
      <c r="AA23" s="507"/>
    </row>
    <row r="24" spans="1:27">
      <c r="A24" s="479">
        <v>3.2</v>
      </c>
      <c r="B24" s="499" t="s">
        <v>475</v>
      </c>
      <c r="C24" s="657"/>
      <c r="D24" s="650"/>
      <c r="E24" s="507"/>
      <c r="F24" s="507"/>
      <c r="G24" s="507"/>
      <c r="H24" s="483"/>
      <c r="I24" s="507"/>
      <c r="J24" s="507"/>
      <c r="K24" s="507"/>
      <c r="L24" s="483"/>
      <c r="M24" s="507"/>
      <c r="N24" s="507"/>
      <c r="O24" s="507"/>
      <c r="P24" s="507"/>
      <c r="Q24" s="507"/>
      <c r="R24" s="507"/>
      <c r="S24" s="507"/>
      <c r="T24" s="483"/>
      <c r="U24" s="507"/>
      <c r="V24" s="507"/>
      <c r="W24" s="507"/>
      <c r="X24" s="507"/>
      <c r="Y24" s="507"/>
      <c r="Z24" s="507"/>
      <c r="AA24" s="507"/>
    </row>
    <row r="25" spans="1:27">
      <c r="A25" s="479">
        <v>3.3</v>
      </c>
      <c r="B25" s="499" t="s">
        <v>476</v>
      </c>
      <c r="C25" s="657"/>
      <c r="D25" s="650"/>
      <c r="E25" s="507"/>
      <c r="F25" s="507"/>
      <c r="G25" s="507"/>
      <c r="H25" s="483"/>
      <c r="I25" s="507"/>
      <c r="J25" s="507"/>
      <c r="K25" s="507"/>
      <c r="L25" s="483"/>
      <c r="M25" s="507"/>
      <c r="N25" s="507"/>
      <c r="O25" s="507"/>
      <c r="P25" s="507"/>
      <c r="Q25" s="507"/>
      <c r="R25" s="507"/>
      <c r="S25" s="507"/>
      <c r="T25" s="483"/>
      <c r="U25" s="507"/>
      <c r="V25" s="507"/>
      <c r="W25" s="507"/>
      <c r="X25" s="507"/>
      <c r="Y25" s="507"/>
      <c r="Z25" s="507"/>
      <c r="AA25" s="507"/>
    </row>
    <row r="26" spans="1:27">
      <c r="A26" s="479">
        <v>3.4</v>
      </c>
      <c r="B26" s="499" t="s">
        <v>477</v>
      </c>
      <c r="C26" s="657"/>
      <c r="D26" s="650"/>
      <c r="E26" s="507"/>
      <c r="F26" s="507"/>
      <c r="G26" s="507"/>
      <c r="H26" s="483"/>
      <c r="I26" s="507"/>
      <c r="J26" s="507"/>
      <c r="K26" s="507"/>
      <c r="L26" s="483"/>
      <c r="M26" s="507"/>
      <c r="N26" s="507"/>
      <c r="O26" s="507"/>
      <c r="P26" s="507"/>
      <c r="Q26" s="507"/>
      <c r="R26" s="507"/>
      <c r="S26" s="507"/>
      <c r="T26" s="483"/>
      <c r="U26" s="507"/>
      <c r="V26" s="507"/>
      <c r="W26" s="507"/>
      <c r="X26" s="507"/>
      <c r="Y26" s="507"/>
      <c r="Z26" s="507"/>
      <c r="AA26" s="507"/>
    </row>
    <row r="27" spans="1:27">
      <c r="A27" s="479">
        <v>3.5</v>
      </c>
      <c r="B27" s="499" t="s">
        <v>478</v>
      </c>
      <c r="C27" s="658">
        <f>D27</f>
        <v>2714579</v>
      </c>
      <c r="D27" s="648">
        <v>2714579</v>
      </c>
      <c r="E27" s="507"/>
      <c r="F27" s="507"/>
      <c r="G27" s="507"/>
      <c r="H27" s="483"/>
      <c r="I27" s="507"/>
      <c r="J27" s="507"/>
      <c r="K27" s="507"/>
      <c r="L27" s="483"/>
      <c r="M27" s="507"/>
      <c r="N27" s="507"/>
      <c r="O27" s="507"/>
      <c r="P27" s="507"/>
      <c r="Q27" s="507"/>
      <c r="R27" s="507"/>
      <c r="S27" s="507"/>
      <c r="T27" s="483"/>
      <c r="U27" s="507"/>
      <c r="V27" s="507"/>
      <c r="W27" s="507"/>
      <c r="X27" s="507"/>
      <c r="Y27" s="507"/>
      <c r="Z27" s="507"/>
      <c r="AA27" s="507"/>
    </row>
    <row r="28" spans="1:27">
      <c r="A28" s="479">
        <v>3.6</v>
      </c>
      <c r="B28" s="499" t="s">
        <v>479</v>
      </c>
      <c r="C28" s="658">
        <v>45503169.61999999</v>
      </c>
      <c r="D28" s="650"/>
      <c r="E28" s="507"/>
      <c r="F28" s="507"/>
      <c r="G28" s="507"/>
      <c r="H28" s="483"/>
      <c r="I28" s="507"/>
      <c r="J28" s="507"/>
      <c r="K28" s="507"/>
      <c r="L28" s="483"/>
      <c r="M28" s="507"/>
      <c r="N28" s="507"/>
      <c r="O28" s="507"/>
      <c r="P28" s="507"/>
      <c r="Q28" s="507"/>
      <c r="R28" s="507"/>
      <c r="S28" s="507"/>
      <c r="T28" s="483"/>
      <c r="U28" s="507"/>
      <c r="V28" s="507"/>
      <c r="W28" s="507"/>
      <c r="X28" s="507"/>
      <c r="Y28" s="507"/>
      <c r="Z28" s="507"/>
      <c r="AA28" s="507"/>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2"/>
  <sheetViews>
    <sheetView showGridLines="0" zoomScaleNormal="100" workbookViewId="0">
      <selection activeCell="G30" sqref="G30"/>
    </sheetView>
  </sheetViews>
  <sheetFormatPr defaultColWidth="9.21875" defaultRowHeight="12"/>
  <cols>
    <col min="1" max="1" width="11.77734375" style="490" bestFit="1" customWidth="1"/>
    <col min="2" max="2" width="90.21875" style="490" bestFit="1" customWidth="1"/>
    <col min="3" max="3" width="20.21875" style="490" customWidth="1"/>
    <col min="4" max="4" width="22.21875" style="490" customWidth="1"/>
    <col min="5" max="7" width="17.109375" style="490" customWidth="1"/>
    <col min="8" max="8" width="22.21875" style="490" customWidth="1"/>
    <col min="9" max="10" width="17.109375" style="490" customWidth="1"/>
    <col min="11" max="27" width="22.21875" style="490" customWidth="1"/>
    <col min="28" max="16384" width="9.21875" style="490"/>
  </cols>
  <sheetData>
    <row r="1" spans="1:27" ht="13.8">
      <c r="A1" s="379" t="s">
        <v>30</v>
      </c>
      <c r="B1" s="476" t="str">
        <f>'Info '!C2</f>
        <v>JSC "CREDOBANK"</v>
      </c>
    </row>
    <row r="2" spans="1:27">
      <c r="A2" s="379" t="s">
        <v>31</v>
      </c>
      <c r="B2" s="475">
        <f>'1. key ratios '!B2</f>
        <v>45199</v>
      </c>
    </row>
    <row r="3" spans="1:27">
      <c r="A3" s="380" t="s">
        <v>482</v>
      </c>
      <c r="C3" s="492"/>
    </row>
    <row r="4" spans="1:27" ht="12.6" thickBot="1">
      <c r="A4" s="380"/>
      <c r="B4" s="492"/>
      <c r="C4" s="492"/>
    </row>
    <row r="5" spans="1:27" ht="13.5" customHeight="1">
      <c r="A5" s="791" t="s">
        <v>688</v>
      </c>
      <c r="B5" s="792"/>
      <c r="C5" s="800" t="s">
        <v>687</v>
      </c>
      <c r="D5" s="801"/>
      <c r="E5" s="801"/>
      <c r="F5" s="801"/>
      <c r="G5" s="801"/>
      <c r="H5" s="801"/>
      <c r="I5" s="801"/>
      <c r="J5" s="801"/>
      <c r="K5" s="801"/>
      <c r="L5" s="801"/>
      <c r="M5" s="801"/>
      <c r="N5" s="801"/>
      <c r="O5" s="801"/>
      <c r="P5" s="801"/>
      <c r="Q5" s="801"/>
      <c r="R5" s="801"/>
      <c r="S5" s="802"/>
      <c r="T5" s="515"/>
      <c r="U5" s="515"/>
      <c r="V5" s="515"/>
      <c r="W5" s="515"/>
      <c r="X5" s="515"/>
      <c r="Y5" s="515"/>
      <c r="Z5" s="515"/>
      <c r="AA5" s="514"/>
    </row>
    <row r="6" spans="1:27" ht="12" customHeight="1">
      <c r="A6" s="793"/>
      <c r="B6" s="794"/>
      <c r="C6" s="797" t="s">
        <v>64</v>
      </c>
      <c r="D6" s="789" t="s">
        <v>684</v>
      </c>
      <c r="E6" s="789"/>
      <c r="F6" s="789"/>
      <c r="G6" s="789"/>
      <c r="H6" s="789" t="s">
        <v>683</v>
      </c>
      <c r="I6" s="789"/>
      <c r="J6" s="789"/>
      <c r="K6" s="789"/>
      <c r="L6" s="512"/>
      <c r="M6" s="790" t="s">
        <v>682</v>
      </c>
      <c r="N6" s="790"/>
      <c r="O6" s="790"/>
      <c r="P6" s="790"/>
      <c r="Q6" s="790"/>
      <c r="R6" s="790"/>
      <c r="S6" s="799"/>
      <c r="T6" s="515"/>
      <c r="U6" s="778" t="s">
        <v>681</v>
      </c>
      <c r="V6" s="778"/>
      <c r="W6" s="778"/>
      <c r="X6" s="778"/>
      <c r="Y6" s="778"/>
      <c r="Z6" s="778"/>
      <c r="AA6" s="771"/>
    </row>
    <row r="7" spans="1:27" ht="24">
      <c r="A7" s="795"/>
      <c r="B7" s="796"/>
      <c r="C7" s="798"/>
      <c r="D7" s="511"/>
      <c r="E7" s="487" t="s">
        <v>472</v>
      </c>
      <c r="F7" s="487" t="s">
        <v>679</v>
      </c>
      <c r="G7" s="489" t="s">
        <v>680</v>
      </c>
      <c r="H7" s="491"/>
      <c r="I7" s="487" t="s">
        <v>472</v>
      </c>
      <c r="J7" s="487" t="s">
        <v>679</v>
      </c>
      <c r="K7" s="489" t="s">
        <v>680</v>
      </c>
      <c r="L7" s="510"/>
      <c r="M7" s="487" t="s">
        <v>472</v>
      </c>
      <c r="N7" s="487" t="s">
        <v>679</v>
      </c>
      <c r="O7" s="487" t="s">
        <v>678</v>
      </c>
      <c r="P7" s="487" t="s">
        <v>677</v>
      </c>
      <c r="Q7" s="487" t="s">
        <v>676</v>
      </c>
      <c r="R7" s="487" t="s">
        <v>675</v>
      </c>
      <c r="S7" s="543" t="s">
        <v>674</v>
      </c>
      <c r="T7" s="542"/>
      <c r="U7" s="487" t="s">
        <v>472</v>
      </c>
      <c r="V7" s="487" t="s">
        <v>679</v>
      </c>
      <c r="W7" s="487" t="s">
        <v>678</v>
      </c>
      <c r="X7" s="487" t="s">
        <v>677</v>
      </c>
      <c r="Y7" s="487" t="s">
        <v>676</v>
      </c>
      <c r="Z7" s="487" t="s">
        <v>675</v>
      </c>
      <c r="AA7" s="487" t="s">
        <v>674</v>
      </c>
    </row>
    <row r="8" spans="1:27">
      <c r="A8" s="541">
        <v>1</v>
      </c>
      <c r="B8" s="540" t="s">
        <v>473</v>
      </c>
      <c r="C8" s="660">
        <f>D8+H8+L8+T8</f>
        <v>1917801980.2273972</v>
      </c>
      <c r="D8" s="648">
        <v>1817959858.3347297</v>
      </c>
      <c r="E8" s="648">
        <v>9679022.6555887628</v>
      </c>
      <c r="F8" s="648">
        <v>0</v>
      </c>
      <c r="G8" s="648">
        <v>0</v>
      </c>
      <c r="H8" s="648">
        <v>85622610.782410488</v>
      </c>
      <c r="I8" s="648">
        <v>3312554.8053338677</v>
      </c>
      <c r="J8" s="648">
        <v>15026744.650020249</v>
      </c>
      <c r="K8" s="648">
        <v>0</v>
      </c>
      <c r="L8" s="648">
        <v>13966994.600257082</v>
      </c>
      <c r="M8" s="648">
        <v>332449.54077474884</v>
      </c>
      <c r="N8" s="648">
        <v>297742.98816878261</v>
      </c>
      <c r="O8" s="648">
        <v>12434469.110735824</v>
      </c>
      <c r="P8" s="648">
        <v>0</v>
      </c>
      <c r="Q8" s="648">
        <v>0</v>
      </c>
      <c r="R8" s="648">
        <v>0</v>
      </c>
      <c r="S8" s="648">
        <v>0</v>
      </c>
      <c r="T8" s="648">
        <v>252516.51000000004</v>
      </c>
      <c r="U8" s="648">
        <v>0</v>
      </c>
      <c r="V8" s="648">
        <v>17288.760000000002</v>
      </c>
      <c r="W8" s="648">
        <v>0</v>
      </c>
      <c r="X8" s="648">
        <v>0</v>
      </c>
      <c r="Y8" s="648">
        <v>0</v>
      </c>
      <c r="Z8" s="648">
        <v>0</v>
      </c>
      <c r="AA8" s="661">
        <v>0</v>
      </c>
    </row>
    <row r="9" spans="1:27">
      <c r="A9" s="533">
        <v>1.1000000000000001</v>
      </c>
      <c r="B9" s="539" t="s">
        <v>483</v>
      </c>
      <c r="C9" s="662">
        <f>D9+H9+L9+T9</f>
        <v>857929324.30324852</v>
      </c>
      <c r="D9" s="649">
        <v>822802446.59902692</v>
      </c>
      <c r="E9" s="649">
        <v>3406300.2505160421</v>
      </c>
      <c r="F9" s="479"/>
      <c r="G9" s="479"/>
      <c r="H9" s="649">
        <v>31718651.577240434</v>
      </c>
      <c r="I9" s="649">
        <v>1028911.8477032753</v>
      </c>
      <c r="J9" s="649">
        <v>4578003.4126056079</v>
      </c>
      <c r="K9" s="649"/>
      <c r="L9" s="649">
        <v>3207236.3269811491</v>
      </c>
      <c r="M9" s="649">
        <v>310104.13854942867</v>
      </c>
      <c r="N9" s="649">
        <v>53503.394642286774</v>
      </c>
      <c r="O9" s="649">
        <v>2473547.61150544</v>
      </c>
      <c r="P9" s="649"/>
      <c r="Q9" s="479"/>
      <c r="R9" s="479"/>
      <c r="S9" s="479"/>
      <c r="T9" s="648">
        <v>200989.80000000002</v>
      </c>
      <c r="U9" s="648"/>
      <c r="V9" s="648">
        <v>17288.760000000002</v>
      </c>
      <c r="W9" s="479"/>
      <c r="X9" s="479"/>
      <c r="Y9" s="479"/>
      <c r="Z9" s="479"/>
      <c r="AA9" s="521"/>
    </row>
    <row r="10" spans="1:27">
      <c r="A10" s="537" t="s">
        <v>14</v>
      </c>
      <c r="B10" s="538" t="s">
        <v>484</v>
      </c>
      <c r="C10" s="663">
        <f>SUM(C11:C14)</f>
        <v>530935372.32141703</v>
      </c>
      <c r="D10" s="664">
        <f t="shared" ref="D10:AA10" si="0">SUM(D11:D14)</f>
        <v>515059414.67701632</v>
      </c>
      <c r="E10" s="664">
        <f t="shared" si="0"/>
        <v>1484375.5778893344</v>
      </c>
      <c r="F10" s="664">
        <f t="shared" si="0"/>
        <v>0</v>
      </c>
      <c r="G10" s="664">
        <f t="shared" si="0"/>
        <v>0</v>
      </c>
      <c r="H10" s="664">
        <f t="shared" si="0"/>
        <v>14616353.687339453</v>
      </c>
      <c r="I10" s="664">
        <f t="shared" si="0"/>
        <v>476498.23277164646</v>
      </c>
      <c r="J10" s="664">
        <f t="shared" si="0"/>
        <v>2668526.0974884983</v>
      </c>
      <c r="K10" s="664">
        <f t="shared" si="0"/>
        <v>0</v>
      </c>
      <c r="L10" s="664">
        <f t="shared" si="0"/>
        <v>1235110.167061185</v>
      </c>
      <c r="M10" s="664">
        <f t="shared" si="0"/>
        <v>291052.7582905537</v>
      </c>
      <c r="N10" s="664">
        <f t="shared" si="0"/>
        <v>13515.124059902126</v>
      </c>
      <c r="O10" s="664">
        <f t="shared" si="0"/>
        <v>896372.56017794355</v>
      </c>
      <c r="P10" s="664">
        <f t="shared" si="0"/>
        <v>0</v>
      </c>
      <c r="Q10" s="664">
        <f t="shared" si="0"/>
        <v>0</v>
      </c>
      <c r="R10" s="664">
        <f t="shared" si="0"/>
        <v>0</v>
      </c>
      <c r="S10" s="663">
        <f t="shared" si="0"/>
        <v>0</v>
      </c>
      <c r="T10" s="663">
        <f t="shared" si="0"/>
        <v>24493.79</v>
      </c>
      <c r="U10" s="664">
        <f t="shared" si="0"/>
        <v>0</v>
      </c>
      <c r="V10" s="663"/>
      <c r="W10" s="663"/>
      <c r="X10" s="663">
        <f t="shared" si="0"/>
        <v>0</v>
      </c>
      <c r="Y10" s="663">
        <f t="shared" si="0"/>
        <v>0</v>
      </c>
      <c r="Z10" s="663">
        <f t="shared" si="0"/>
        <v>0</v>
      </c>
      <c r="AA10" s="663">
        <f t="shared" si="0"/>
        <v>0</v>
      </c>
    </row>
    <row r="11" spans="1:27" ht="14.4">
      <c r="A11" s="535" t="s">
        <v>485</v>
      </c>
      <c r="B11" s="536" t="s">
        <v>486</v>
      </c>
      <c r="C11" s="662">
        <f>D11+H11+L11+T11</f>
        <v>327329673.12005156</v>
      </c>
      <c r="D11" s="639">
        <v>319296932.57538444</v>
      </c>
      <c r="E11" s="639">
        <v>755789.31524935167</v>
      </c>
      <c r="F11" s="479"/>
      <c r="G11" s="479"/>
      <c r="H11" s="639">
        <v>7561077.9467186322</v>
      </c>
      <c r="I11" s="665">
        <v>90476.382472072466</v>
      </c>
      <c r="J11" s="666">
        <v>1170691.9476494198</v>
      </c>
      <c r="K11" s="649"/>
      <c r="L11" s="666">
        <v>447168.80794844549</v>
      </c>
      <c r="M11" s="665">
        <v>291052.7582905537</v>
      </c>
      <c r="N11" s="479"/>
      <c r="O11" s="649">
        <v>156116.0496578918</v>
      </c>
      <c r="P11" s="666"/>
      <c r="Q11" s="479"/>
      <c r="R11" s="479"/>
      <c r="S11" s="479"/>
      <c r="T11" s="667">
        <v>24493.79</v>
      </c>
      <c r="U11" s="651"/>
      <c r="V11" s="479"/>
      <c r="W11" s="479"/>
      <c r="X11" s="479"/>
      <c r="Y11" s="479"/>
      <c r="Z11" s="479"/>
      <c r="AA11" s="521"/>
    </row>
    <row r="12" spans="1:27" ht="14.4">
      <c r="A12" s="535" t="s">
        <v>487</v>
      </c>
      <c r="B12" s="536" t="s">
        <v>488</v>
      </c>
      <c r="C12" s="662">
        <f t="shared" ref="C12:C15" si="1">D12+H12+L12+T12</f>
        <v>108014087.39909483</v>
      </c>
      <c r="D12" s="639">
        <v>104424263.60571143</v>
      </c>
      <c r="E12" s="639">
        <v>351583.7332626204</v>
      </c>
      <c r="F12" s="479"/>
      <c r="G12" s="479"/>
      <c r="H12" s="639">
        <v>3165283.0626764009</v>
      </c>
      <c r="I12" s="668"/>
      <c r="J12" s="665">
        <v>1136557.2806875985</v>
      </c>
      <c r="K12" s="649"/>
      <c r="L12" s="666">
        <v>424540.73070699931</v>
      </c>
      <c r="M12" s="479"/>
      <c r="N12" s="648">
        <v>13515.124059902126</v>
      </c>
      <c r="O12" s="649">
        <v>411025.60664709716</v>
      </c>
      <c r="P12" s="666"/>
      <c r="Q12" s="479"/>
      <c r="R12" s="479"/>
      <c r="S12" s="479"/>
      <c r="T12" s="479"/>
      <c r="U12" s="479"/>
      <c r="V12" s="479"/>
      <c r="W12" s="479"/>
      <c r="X12" s="479"/>
      <c r="Y12" s="479"/>
      <c r="Z12" s="479"/>
      <c r="AA12" s="521"/>
    </row>
    <row r="13" spans="1:27" ht="14.4">
      <c r="A13" s="535" t="s">
        <v>489</v>
      </c>
      <c r="B13" s="536" t="s">
        <v>490</v>
      </c>
      <c r="C13" s="662">
        <f t="shared" si="1"/>
        <v>48546974.719953828</v>
      </c>
      <c r="D13" s="639">
        <v>48093013.800691098</v>
      </c>
      <c r="E13" s="639">
        <v>163924.98383877671</v>
      </c>
      <c r="F13" s="479"/>
      <c r="G13" s="479"/>
      <c r="H13" s="639">
        <v>453960.91926273302</v>
      </c>
      <c r="I13" s="669">
        <v>180350.18770526367</v>
      </c>
      <c r="J13" s="666"/>
      <c r="K13" s="649"/>
      <c r="L13" s="666"/>
      <c r="M13" s="479"/>
      <c r="N13" s="479"/>
      <c r="O13" s="649"/>
      <c r="P13" s="666"/>
      <c r="Q13" s="479"/>
      <c r="R13" s="479"/>
      <c r="S13" s="479"/>
      <c r="T13" s="479"/>
      <c r="U13" s="479"/>
      <c r="V13" s="479"/>
      <c r="W13" s="479"/>
      <c r="X13" s="479"/>
      <c r="Y13" s="479"/>
      <c r="Z13" s="479"/>
      <c r="AA13" s="521"/>
    </row>
    <row r="14" spans="1:27" ht="14.4">
      <c r="A14" s="535" t="s">
        <v>491</v>
      </c>
      <c r="B14" s="536" t="s">
        <v>492</v>
      </c>
      <c r="C14" s="662">
        <f t="shared" si="1"/>
        <v>47044637.082316794</v>
      </c>
      <c r="D14" s="639">
        <v>43245204.695229366</v>
      </c>
      <c r="E14" s="639">
        <v>213077.54553858575</v>
      </c>
      <c r="F14" s="479"/>
      <c r="G14" s="479"/>
      <c r="H14" s="639">
        <v>3436031.7586816866</v>
      </c>
      <c r="I14" s="668">
        <v>205671.66259431033</v>
      </c>
      <c r="J14" s="648">
        <v>361276.86915147997</v>
      </c>
      <c r="K14" s="649"/>
      <c r="L14" s="666">
        <v>363400.62840574019</v>
      </c>
      <c r="M14" s="479"/>
      <c r="N14" s="479"/>
      <c r="O14" s="649">
        <v>329230.90387295454</v>
      </c>
      <c r="P14" s="666"/>
      <c r="Q14" s="479"/>
      <c r="R14" s="479"/>
      <c r="S14" s="479"/>
      <c r="T14" s="479"/>
      <c r="U14" s="479"/>
      <c r="V14" s="479"/>
      <c r="W14" s="479"/>
      <c r="X14" s="479"/>
      <c r="Y14" s="479"/>
      <c r="Z14" s="479"/>
      <c r="AA14" s="521"/>
    </row>
    <row r="15" spans="1:27" ht="14.4">
      <c r="A15" s="534">
        <v>1.2</v>
      </c>
      <c r="B15" s="532" t="s">
        <v>686</v>
      </c>
      <c r="C15" s="662">
        <f t="shared" si="1"/>
        <v>12400411.981369933</v>
      </c>
      <c r="D15" s="665">
        <v>5184558.6542684045</v>
      </c>
      <c r="E15" s="666">
        <v>702064.93267716025</v>
      </c>
      <c r="F15" s="479"/>
      <c r="G15" s="479"/>
      <c r="H15" s="670">
        <v>4656817.8657883806</v>
      </c>
      <c r="I15" s="670">
        <v>136762.63020242512</v>
      </c>
      <c r="J15" s="670">
        <v>1525069.0215236449</v>
      </c>
      <c r="K15" s="648"/>
      <c r="L15" s="670">
        <v>2546072.0525465868</v>
      </c>
      <c r="M15" s="648">
        <v>223311.90371819522</v>
      </c>
      <c r="N15" s="648">
        <v>46091.034550300901</v>
      </c>
      <c r="O15" s="649">
        <v>1964377.3953859541</v>
      </c>
      <c r="P15" s="649"/>
      <c r="Q15" s="479"/>
      <c r="R15" s="479"/>
      <c r="S15" s="479"/>
      <c r="T15" s="648">
        <v>12963.408766563045</v>
      </c>
      <c r="U15" s="479"/>
      <c r="V15" s="648">
        <v>10492.2950425857</v>
      </c>
      <c r="W15" s="479"/>
      <c r="X15" s="479"/>
      <c r="Y15" s="479"/>
      <c r="Z15" s="479"/>
      <c r="AA15" s="521"/>
    </row>
    <row r="16" spans="1:27">
      <c r="A16" s="533">
        <v>1.3</v>
      </c>
      <c r="B16" s="532" t="s">
        <v>531</v>
      </c>
      <c r="C16" s="531"/>
      <c r="D16" s="531"/>
      <c r="E16" s="531"/>
      <c r="F16" s="531"/>
      <c r="G16" s="531"/>
      <c r="H16" s="531"/>
      <c r="I16" s="531"/>
      <c r="J16" s="531"/>
      <c r="K16" s="531"/>
      <c r="L16" s="531"/>
      <c r="M16" s="531"/>
      <c r="N16" s="531"/>
      <c r="O16" s="531"/>
      <c r="P16" s="531"/>
      <c r="Q16" s="531"/>
      <c r="R16" s="531"/>
      <c r="S16" s="531"/>
      <c r="T16" s="531"/>
      <c r="U16" s="530"/>
      <c r="V16" s="530"/>
      <c r="W16" s="530"/>
      <c r="X16" s="530"/>
      <c r="Y16" s="530"/>
      <c r="Z16" s="530"/>
      <c r="AA16" s="529"/>
    </row>
    <row r="17" spans="1:27">
      <c r="A17" s="526" t="s">
        <v>493</v>
      </c>
      <c r="B17" s="528" t="s">
        <v>494</v>
      </c>
      <c r="C17" s="671">
        <f>D17+H17+L17+T17</f>
        <v>839730410.35181224</v>
      </c>
      <c r="D17" s="649">
        <v>805871443.35667193</v>
      </c>
      <c r="E17" s="649">
        <v>3366339.8749052212</v>
      </c>
      <c r="F17" s="479"/>
      <c r="G17" s="479"/>
      <c r="H17" s="649">
        <v>30671312.151431106</v>
      </c>
      <c r="I17" s="649">
        <v>985929.9116733179</v>
      </c>
      <c r="J17" s="649">
        <v>4500511.5794003503</v>
      </c>
      <c r="K17" s="649"/>
      <c r="L17" s="649">
        <v>2986665.043709306</v>
      </c>
      <c r="M17" s="649">
        <v>310104.13854942867</v>
      </c>
      <c r="N17" s="649">
        <v>53503.394642286774</v>
      </c>
      <c r="O17" s="672">
        <v>2273967.4030704047</v>
      </c>
      <c r="P17" s="649"/>
      <c r="Q17" s="479"/>
      <c r="R17" s="479"/>
      <c r="S17" s="479"/>
      <c r="T17" s="649">
        <v>200989.80000000002</v>
      </c>
      <c r="U17" s="649"/>
      <c r="V17" s="648">
        <v>17288.760000000002</v>
      </c>
      <c r="W17" s="479"/>
      <c r="X17" s="479"/>
      <c r="Y17" s="479"/>
      <c r="Z17" s="479"/>
      <c r="AA17" s="521"/>
    </row>
    <row r="18" spans="1:27">
      <c r="A18" s="524" t="s">
        <v>495</v>
      </c>
      <c r="B18" s="525" t="s">
        <v>496</v>
      </c>
      <c r="C18" s="671">
        <f t="shared" ref="C18:C21" si="2">D18+H18+L18+T18</f>
        <v>518024668.68673533</v>
      </c>
      <c r="D18" s="649">
        <v>502962320.15506399</v>
      </c>
      <c r="E18" s="649">
        <v>1436800.1235031891</v>
      </c>
      <c r="F18" s="479">
        <v>0</v>
      </c>
      <c r="G18" s="479">
        <v>0</v>
      </c>
      <c r="H18" s="649">
        <v>13869353.700605741</v>
      </c>
      <c r="I18" s="649">
        <v>393495.38847733609</v>
      </c>
      <c r="J18" s="649">
        <v>2544816.5942676626</v>
      </c>
      <c r="K18" s="479"/>
      <c r="L18" s="649">
        <v>1168501.0410655711</v>
      </c>
      <c r="M18" s="648">
        <v>291052.7582905537</v>
      </c>
      <c r="N18" s="648">
        <v>13515.124059902126</v>
      </c>
      <c r="O18" s="649">
        <v>833842.27520979708</v>
      </c>
      <c r="P18" s="479"/>
      <c r="Q18" s="479">
        <v>0</v>
      </c>
      <c r="R18" s="479">
        <v>0</v>
      </c>
      <c r="S18" s="479">
        <v>0</v>
      </c>
      <c r="T18" s="648">
        <v>24493.79</v>
      </c>
      <c r="U18" s="479"/>
      <c r="V18" s="648"/>
      <c r="W18" s="479"/>
      <c r="X18" s="479">
        <v>0</v>
      </c>
      <c r="Y18" s="479">
        <v>0</v>
      </c>
      <c r="Z18" s="479">
        <v>0</v>
      </c>
      <c r="AA18" s="521">
        <v>0</v>
      </c>
    </row>
    <row r="19" spans="1:27">
      <c r="A19" s="526" t="s">
        <v>497</v>
      </c>
      <c r="B19" s="527" t="s">
        <v>498</v>
      </c>
      <c r="C19" s="671">
        <f t="shared" si="2"/>
        <v>1412267462.2027564</v>
      </c>
      <c r="D19" s="649">
        <v>1362786824.0238507</v>
      </c>
      <c r="E19" s="649">
        <v>5743834.4659456359</v>
      </c>
      <c r="F19" s="479"/>
      <c r="G19" s="479"/>
      <c r="H19" s="649">
        <v>45445956.178994343</v>
      </c>
      <c r="I19" s="649">
        <v>1143055.517186647</v>
      </c>
      <c r="J19" s="649">
        <v>6972254.1217283495</v>
      </c>
      <c r="K19" s="649"/>
      <c r="L19" s="649">
        <v>2340911.3599111345</v>
      </c>
      <c r="M19" s="649">
        <v>203890.02904044499</v>
      </c>
      <c r="N19" s="649">
        <v>65091.733832209313</v>
      </c>
      <c r="O19" s="649">
        <v>1672866.1458171555</v>
      </c>
      <c r="P19" s="649"/>
      <c r="Q19" s="479"/>
      <c r="R19" s="479"/>
      <c r="S19" s="479"/>
      <c r="T19" s="648">
        <v>1693770.6400000004</v>
      </c>
      <c r="U19" s="648"/>
      <c r="V19" s="648">
        <v>15511.239999999998</v>
      </c>
      <c r="W19" s="479"/>
      <c r="X19" s="479"/>
      <c r="Y19" s="479"/>
      <c r="Z19" s="479"/>
      <c r="AA19" s="521"/>
    </row>
    <row r="20" spans="1:27">
      <c r="A20" s="524" t="s">
        <v>499</v>
      </c>
      <c r="B20" s="525" t="s">
        <v>496</v>
      </c>
      <c r="C20" s="671">
        <f t="shared" si="2"/>
        <v>601568424.80999994</v>
      </c>
      <c r="D20" s="649">
        <v>588411908</v>
      </c>
      <c r="E20" s="649">
        <v>1805787</v>
      </c>
      <c r="F20" s="479"/>
      <c r="G20" s="479"/>
      <c r="H20" s="649">
        <v>12301210</v>
      </c>
      <c r="I20" s="649">
        <v>300183</v>
      </c>
      <c r="J20" s="649">
        <v>2264962</v>
      </c>
      <c r="K20" s="649"/>
      <c r="L20" s="649">
        <v>660180</v>
      </c>
      <c r="M20" s="648">
        <v>194843.58929931995</v>
      </c>
      <c r="N20" s="648">
        <v>3902.4744145939731</v>
      </c>
      <c r="O20" s="649">
        <v>461434</v>
      </c>
      <c r="P20" s="479"/>
      <c r="Q20" s="479"/>
      <c r="R20" s="479"/>
      <c r="S20" s="479"/>
      <c r="T20" s="648">
        <v>195126.80999999997</v>
      </c>
      <c r="U20" s="479"/>
      <c r="V20" s="479"/>
      <c r="W20" s="479"/>
      <c r="X20" s="479"/>
      <c r="Y20" s="479"/>
      <c r="Z20" s="479"/>
      <c r="AA20" s="521"/>
    </row>
    <row r="21" spans="1:27">
      <c r="A21" s="523">
        <v>1.4</v>
      </c>
      <c r="B21" s="522" t="s">
        <v>500</v>
      </c>
      <c r="C21" s="671">
        <f t="shared" si="2"/>
        <v>91408</v>
      </c>
      <c r="D21" s="649">
        <v>91408</v>
      </c>
      <c r="E21" s="479"/>
      <c r="F21" s="479"/>
      <c r="G21" s="479"/>
      <c r="H21" s="479"/>
      <c r="I21" s="479"/>
      <c r="J21" s="479"/>
      <c r="K21" s="479"/>
      <c r="L21" s="479"/>
      <c r="M21" s="479"/>
      <c r="N21" s="479"/>
      <c r="O21" s="479"/>
      <c r="P21" s="479"/>
      <c r="Q21" s="479"/>
      <c r="R21" s="479"/>
      <c r="S21" s="479"/>
      <c r="T21" s="479"/>
      <c r="U21" s="479"/>
      <c r="V21" s="479"/>
      <c r="W21" s="479"/>
      <c r="X21" s="479"/>
      <c r="Y21" s="479"/>
      <c r="Z21" s="479"/>
      <c r="AA21" s="521"/>
    </row>
    <row r="22" spans="1:27" ht="12.6" thickBot="1">
      <c r="A22" s="520">
        <v>1.5</v>
      </c>
      <c r="B22" s="519" t="s">
        <v>501</v>
      </c>
      <c r="C22" s="518"/>
      <c r="D22" s="517"/>
      <c r="E22" s="517"/>
      <c r="F22" s="517"/>
      <c r="G22" s="517"/>
      <c r="H22" s="517"/>
      <c r="I22" s="517"/>
      <c r="J22" s="517"/>
      <c r="K22" s="517"/>
      <c r="L22" s="517"/>
      <c r="M22" s="517"/>
      <c r="N22" s="517"/>
      <c r="O22" s="517"/>
      <c r="P22" s="517"/>
      <c r="Q22" s="517"/>
      <c r="R22" s="517"/>
      <c r="S22" s="517"/>
      <c r="T22" s="517"/>
      <c r="U22" s="517"/>
      <c r="V22" s="517"/>
      <c r="W22" s="517"/>
      <c r="X22" s="517"/>
      <c r="Y22" s="517"/>
      <c r="Z22" s="517"/>
      <c r="AA22" s="516"/>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5"/>
  <sheetViews>
    <sheetView showGridLines="0" topLeftCell="G5" zoomScale="90" zoomScaleNormal="90" workbookViewId="0">
      <selection activeCell="C12" sqref="C12"/>
    </sheetView>
  </sheetViews>
  <sheetFormatPr defaultColWidth="9.21875" defaultRowHeight="12"/>
  <cols>
    <col min="1" max="1" width="11.77734375" style="490" bestFit="1" customWidth="1"/>
    <col min="2" max="2" width="93.44140625" style="490" customWidth="1"/>
    <col min="3" max="3" width="14.6640625" style="490" customWidth="1"/>
    <col min="4" max="5" width="16.109375" style="490" customWidth="1"/>
    <col min="6" max="6" width="16.109375" style="509" customWidth="1"/>
    <col min="7" max="7" width="25.21875" style="509" customWidth="1"/>
    <col min="8" max="8" width="16.109375" style="490" customWidth="1"/>
    <col min="9" max="11" width="16.109375" style="509" customWidth="1"/>
    <col min="12" max="12" width="26.21875" style="509" customWidth="1"/>
    <col min="13" max="16384" width="9.21875" style="490"/>
  </cols>
  <sheetData>
    <row r="1" spans="1:12" ht="13.8">
      <c r="A1" s="379" t="s">
        <v>30</v>
      </c>
      <c r="B1" s="476" t="str">
        <f>'Info '!C2</f>
        <v>JSC "CREDOBANK"</v>
      </c>
      <c r="F1" s="490"/>
      <c r="G1" s="490"/>
      <c r="I1" s="490"/>
      <c r="J1" s="490"/>
      <c r="K1" s="490"/>
      <c r="L1" s="490"/>
    </row>
    <row r="2" spans="1:12">
      <c r="A2" s="379" t="s">
        <v>31</v>
      </c>
      <c r="B2" s="475">
        <f>'1. key ratios '!B2</f>
        <v>45199</v>
      </c>
      <c r="F2" s="490"/>
      <c r="G2" s="490"/>
      <c r="I2" s="490"/>
      <c r="J2" s="490"/>
      <c r="K2" s="490"/>
      <c r="L2" s="490"/>
    </row>
    <row r="3" spans="1:12">
      <c r="A3" s="380" t="s">
        <v>502</v>
      </c>
      <c r="F3" s="490"/>
      <c r="G3" s="490"/>
      <c r="I3" s="490"/>
      <c r="J3" s="490"/>
      <c r="K3" s="490"/>
      <c r="L3" s="490"/>
    </row>
    <row r="4" spans="1:12">
      <c r="F4" s="490"/>
      <c r="G4" s="490"/>
      <c r="I4" s="490"/>
      <c r="J4" s="490"/>
      <c r="K4" s="490"/>
      <c r="L4" s="490"/>
    </row>
    <row r="5" spans="1:12" ht="37.5" customHeight="1">
      <c r="A5" s="753" t="s">
        <v>519</v>
      </c>
      <c r="B5" s="754"/>
      <c r="C5" s="803" t="s">
        <v>503</v>
      </c>
      <c r="D5" s="804"/>
      <c r="E5" s="804"/>
      <c r="F5" s="804"/>
      <c r="G5" s="804"/>
      <c r="H5" s="803" t="s">
        <v>663</v>
      </c>
      <c r="I5" s="805"/>
      <c r="J5" s="805"/>
      <c r="K5" s="805"/>
      <c r="L5" s="806"/>
    </row>
    <row r="6" spans="1:12" ht="39.450000000000003" customHeight="1">
      <c r="A6" s="757"/>
      <c r="B6" s="758"/>
      <c r="C6" s="382"/>
      <c r="D6" s="488" t="s">
        <v>684</v>
      </c>
      <c r="E6" s="488" t="s">
        <v>683</v>
      </c>
      <c r="F6" s="488" t="s">
        <v>682</v>
      </c>
      <c r="G6" s="488" t="s">
        <v>681</v>
      </c>
      <c r="H6" s="510"/>
      <c r="I6" s="488" t="s">
        <v>684</v>
      </c>
      <c r="J6" s="488" t="s">
        <v>683</v>
      </c>
      <c r="K6" s="488" t="s">
        <v>682</v>
      </c>
      <c r="L6" s="488" t="s">
        <v>681</v>
      </c>
    </row>
    <row r="7" spans="1:12">
      <c r="A7" s="479">
        <v>1</v>
      </c>
      <c r="B7" s="494" t="s">
        <v>522</v>
      </c>
      <c r="C7" s="673">
        <f>SUM(D7:G7)</f>
        <v>32536052.555510353</v>
      </c>
      <c r="D7" s="648">
        <v>31535406.04278506</v>
      </c>
      <c r="E7" s="648">
        <v>799475.95913861855</v>
      </c>
      <c r="F7" s="648">
        <v>201170.55358667689</v>
      </c>
      <c r="G7" s="674"/>
      <c r="H7" s="648">
        <f>SUM(I7:L7)</f>
        <v>629256.08386486908</v>
      </c>
      <c r="I7" s="675">
        <v>327506.69005186367</v>
      </c>
      <c r="J7" s="675">
        <v>131290.14768579241</v>
      </c>
      <c r="K7" s="675">
        <v>170459.24612721294</v>
      </c>
      <c r="L7" s="675"/>
    </row>
    <row r="8" spans="1:12">
      <c r="A8" s="479">
        <v>2</v>
      </c>
      <c r="B8" s="494" t="s">
        <v>435</v>
      </c>
      <c r="C8" s="673">
        <f t="shared" ref="C8:C33" si="0">SUM(D8:G8)</f>
        <v>10730279.039001519</v>
      </c>
      <c r="D8" s="648">
        <v>10593398.818600539</v>
      </c>
      <c r="E8" s="648">
        <v>127617.31352017794</v>
      </c>
      <c r="F8" s="675">
        <v>9262.9068808019401</v>
      </c>
      <c r="G8" s="675"/>
      <c r="H8" s="648">
        <f t="shared" ref="H8:H33" si="1">SUM(I8:L8)</f>
        <v>107657.87079365815</v>
      </c>
      <c r="I8" s="675">
        <v>83987.549054443938</v>
      </c>
      <c r="J8" s="675">
        <v>15840.317111032626</v>
      </c>
      <c r="K8" s="675">
        <v>7830.0046281815939</v>
      </c>
      <c r="L8" s="675"/>
    </row>
    <row r="9" spans="1:12">
      <c r="A9" s="479">
        <v>3</v>
      </c>
      <c r="B9" s="494" t="s">
        <v>436</v>
      </c>
      <c r="C9" s="673">
        <f t="shared" si="0"/>
        <v>6236913.4542240286</v>
      </c>
      <c r="D9" s="648">
        <v>5832020.436127211</v>
      </c>
      <c r="E9" s="648">
        <v>322423.04815020144</v>
      </c>
      <c r="F9" s="676">
        <v>82469.96994661662</v>
      </c>
      <c r="G9" s="676"/>
      <c r="H9" s="648">
        <f t="shared" si="1"/>
        <v>177161.07283661253</v>
      </c>
      <c r="I9" s="676">
        <v>64235.114807935875</v>
      </c>
      <c r="J9" s="676">
        <v>50414.828132119343</v>
      </c>
      <c r="K9" s="676">
        <v>62511.129896557301</v>
      </c>
      <c r="L9" s="676"/>
    </row>
    <row r="10" spans="1:12">
      <c r="A10" s="479">
        <v>4</v>
      </c>
      <c r="B10" s="494" t="s">
        <v>523</v>
      </c>
      <c r="C10" s="673">
        <f t="shared" si="0"/>
        <v>13257241.053056121</v>
      </c>
      <c r="D10" s="648">
        <v>13253047.916912634</v>
      </c>
      <c r="E10" s="648">
        <v>4193.1361434867877</v>
      </c>
      <c r="F10" s="676"/>
      <c r="G10" s="676"/>
      <c r="H10" s="648">
        <f t="shared" si="1"/>
        <v>39247.589496133267</v>
      </c>
      <c r="I10" s="676">
        <v>38822.643301529024</v>
      </c>
      <c r="J10" s="676">
        <v>424.94619460424201</v>
      </c>
      <c r="K10" s="676"/>
      <c r="L10" s="676"/>
    </row>
    <row r="11" spans="1:12">
      <c r="A11" s="479">
        <v>5</v>
      </c>
      <c r="B11" s="494" t="s">
        <v>437</v>
      </c>
      <c r="C11" s="673">
        <f t="shared" si="0"/>
        <v>28078893.749273889</v>
      </c>
      <c r="D11" s="648">
        <v>27865813.717767257</v>
      </c>
      <c r="E11" s="648">
        <v>204981.73242382219</v>
      </c>
      <c r="F11" s="676">
        <v>8098.2990828087441</v>
      </c>
      <c r="G11" s="676"/>
      <c r="H11" s="648">
        <f t="shared" si="1"/>
        <v>145597.56939361081</v>
      </c>
      <c r="I11" s="676">
        <v>115714.41311846219</v>
      </c>
      <c r="J11" s="676">
        <v>23037.603349402114</v>
      </c>
      <c r="K11" s="676">
        <v>6845.5529257465241</v>
      </c>
      <c r="L11" s="676"/>
    </row>
    <row r="12" spans="1:12">
      <c r="A12" s="479">
        <v>6</v>
      </c>
      <c r="B12" s="494" t="s">
        <v>438</v>
      </c>
      <c r="C12" s="673">
        <f t="shared" si="0"/>
        <v>7119308.7486071438</v>
      </c>
      <c r="D12" s="648">
        <v>6596260.1344091287</v>
      </c>
      <c r="E12" s="648">
        <v>461001.12821249547</v>
      </c>
      <c r="F12" s="676">
        <v>62047.485985519132</v>
      </c>
      <c r="G12" s="676"/>
      <c r="H12" s="648">
        <f t="shared" si="1"/>
        <v>154902.46180484127</v>
      </c>
      <c r="I12" s="676">
        <v>49605.862088710637</v>
      </c>
      <c r="J12" s="676">
        <v>52037.391955213403</v>
      </c>
      <c r="K12" s="676">
        <v>53259.207760917234</v>
      </c>
      <c r="L12" s="676"/>
    </row>
    <row r="13" spans="1:12">
      <c r="A13" s="479">
        <v>7</v>
      </c>
      <c r="B13" s="494" t="s">
        <v>439</v>
      </c>
      <c r="C13" s="673">
        <f t="shared" si="0"/>
        <v>3529399.6090608477</v>
      </c>
      <c r="D13" s="648">
        <v>3191423.9543887181</v>
      </c>
      <c r="E13" s="648">
        <v>310304.86518979707</v>
      </c>
      <c r="F13" s="676">
        <v>27670.789482332122</v>
      </c>
      <c r="G13" s="676"/>
      <c r="H13" s="648">
        <f t="shared" si="1"/>
        <v>100538.15602531377</v>
      </c>
      <c r="I13" s="676">
        <v>29076.681905382462</v>
      </c>
      <c r="J13" s="676">
        <v>48069.753716164203</v>
      </c>
      <c r="K13" s="676">
        <v>23391.7204037671</v>
      </c>
      <c r="L13" s="676"/>
    </row>
    <row r="14" spans="1:12">
      <c r="A14" s="479">
        <v>8</v>
      </c>
      <c r="B14" s="494" t="s">
        <v>440</v>
      </c>
      <c r="C14" s="673">
        <f t="shared" si="0"/>
        <v>135954020.57084423</v>
      </c>
      <c r="D14" s="648">
        <v>129203782.8106866</v>
      </c>
      <c r="E14" s="648">
        <v>5884031.9683918217</v>
      </c>
      <c r="F14" s="676">
        <v>833559.17176581733</v>
      </c>
      <c r="G14" s="676">
        <v>32646.620000000003</v>
      </c>
      <c r="H14" s="648">
        <f t="shared" si="1"/>
        <v>2721682.1923293052</v>
      </c>
      <c r="I14" s="676">
        <v>1170558.7657664644</v>
      </c>
      <c r="J14" s="676">
        <v>843990.90409975382</v>
      </c>
      <c r="K14" s="676">
        <v>706769.75126467203</v>
      </c>
      <c r="L14" s="676">
        <v>362.77119841534972</v>
      </c>
    </row>
    <row r="15" spans="1:12">
      <c r="A15" s="479">
        <v>9</v>
      </c>
      <c r="B15" s="494" t="s">
        <v>441</v>
      </c>
      <c r="C15" s="673">
        <f t="shared" si="0"/>
        <v>27937514.559892006</v>
      </c>
      <c r="D15" s="648">
        <v>26790500.749878444</v>
      </c>
      <c r="E15" s="648">
        <v>972852.88105563645</v>
      </c>
      <c r="F15" s="676">
        <v>172373.02895792582</v>
      </c>
      <c r="G15" s="676">
        <v>1787.9</v>
      </c>
      <c r="H15" s="648">
        <f t="shared" si="1"/>
        <v>549031.27711344894</v>
      </c>
      <c r="I15" s="676">
        <v>241489.5382476821</v>
      </c>
      <c r="J15" s="676">
        <v>160789.33685445957</v>
      </c>
      <c r="K15" s="676">
        <v>146730.46785826472</v>
      </c>
      <c r="L15" s="676">
        <v>21.934153042592701</v>
      </c>
    </row>
    <row r="16" spans="1:12">
      <c r="A16" s="479">
        <v>10</v>
      </c>
      <c r="B16" s="494" t="s">
        <v>442</v>
      </c>
      <c r="C16" s="673">
        <f t="shared" si="0"/>
        <v>13334716.478228852</v>
      </c>
      <c r="D16" s="648">
        <v>12684578.649696534</v>
      </c>
      <c r="E16" s="648">
        <v>554406.00030777266</v>
      </c>
      <c r="F16" s="676">
        <v>95731.828224545228</v>
      </c>
      <c r="G16" s="676"/>
      <c r="H16" s="648">
        <f t="shared" si="1"/>
        <v>269691.93594175437</v>
      </c>
      <c r="I16" s="676">
        <v>102293.75161291537</v>
      </c>
      <c r="J16" s="676">
        <v>85872.864951288473</v>
      </c>
      <c r="K16" s="676">
        <v>81525.319377550521</v>
      </c>
      <c r="L16" s="676"/>
    </row>
    <row r="17" spans="1:12">
      <c r="A17" s="479">
        <v>11</v>
      </c>
      <c r="B17" s="494" t="s">
        <v>443</v>
      </c>
      <c r="C17" s="673">
        <f t="shared" si="0"/>
        <v>6706759.2944405852</v>
      </c>
      <c r="D17" s="648">
        <v>6205309.8779994026</v>
      </c>
      <c r="E17" s="648">
        <v>433030.46902068687</v>
      </c>
      <c r="F17" s="676">
        <v>50499.437420495757</v>
      </c>
      <c r="G17" s="676">
        <v>17919.509999999998</v>
      </c>
      <c r="H17" s="648">
        <f t="shared" si="1"/>
        <v>194581.21826711841</v>
      </c>
      <c r="I17" s="676">
        <v>61502.533589219063</v>
      </c>
      <c r="J17" s="676">
        <v>89736.11401961997</v>
      </c>
      <c r="K17" s="676">
        <v>43142.00684693591</v>
      </c>
      <c r="L17" s="676">
        <v>200.56381134348101</v>
      </c>
    </row>
    <row r="18" spans="1:12">
      <c r="A18" s="479">
        <v>12</v>
      </c>
      <c r="B18" s="494" t="s">
        <v>444</v>
      </c>
      <c r="C18" s="673">
        <f t="shared" si="0"/>
        <v>107484723.59022158</v>
      </c>
      <c r="D18" s="648">
        <v>100989952.69592616</v>
      </c>
      <c r="E18" s="648">
        <v>6051521.6697835866</v>
      </c>
      <c r="F18" s="676">
        <v>422797.71451182157</v>
      </c>
      <c r="G18" s="676">
        <v>20451.509999999998</v>
      </c>
      <c r="H18" s="648">
        <f t="shared" si="1"/>
        <v>1890432.774630252</v>
      </c>
      <c r="I18" s="676">
        <v>780111.79118029051</v>
      </c>
      <c r="J18" s="676">
        <v>748037.69465933973</v>
      </c>
      <c r="K18" s="676">
        <v>362054.38561227982</v>
      </c>
      <c r="L18" s="676">
        <v>228.90317834189199</v>
      </c>
    </row>
    <row r="19" spans="1:12">
      <c r="A19" s="479">
        <v>13</v>
      </c>
      <c r="B19" s="494" t="s">
        <v>445</v>
      </c>
      <c r="C19" s="673">
        <f t="shared" si="0"/>
        <v>16621513.101706667</v>
      </c>
      <c r="D19" s="648">
        <v>15685678.994530436</v>
      </c>
      <c r="E19" s="648">
        <v>615616.55802324135</v>
      </c>
      <c r="F19" s="676">
        <v>320217.54915299051</v>
      </c>
      <c r="G19" s="676"/>
      <c r="H19" s="648">
        <f t="shared" si="1"/>
        <v>472103.15254252637</v>
      </c>
      <c r="I19" s="676">
        <v>125139.2535966914</v>
      </c>
      <c r="J19" s="676">
        <v>93567.190437557249</v>
      </c>
      <c r="K19" s="676">
        <v>253396.70850827775</v>
      </c>
      <c r="L19" s="676"/>
    </row>
    <row r="20" spans="1:12">
      <c r="A20" s="479">
        <v>14</v>
      </c>
      <c r="B20" s="494" t="s">
        <v>446</v>
      </c>
      <c r="C20" s="673">
        <f t="shared" si="0"/>
        <v>49366243.352610424</v>
      </c>
      <c r="D20" s="648">
        <v>45766279.931869388</v>
      </c>
      <c r="E20" s="648">
        <v>3556640.2781657218</v>
      </c>
      <c r="F20" s="676">
        <v>43323.142575319594</v>
      </c>
      <c r="G20" s="676"/>
      <c r="H20" s="648">
        <f t="shared" si="1"/>
        <v>636415.91441688628</v>
      </c>
      <c r="I20" s="676">
        <v>224104.9195156256</v>
      </c>
      <c r="J20" s="676">
        <v>376780.48604011198</v>
      </c>
      <c r="K20" s="676">
        <v>35530.508861148752</v>
      </c>
      <c r="L20" s="676"/>
    </row>
    <row r="21" spans="1:12">
      <c r="A21" s="479">
        <v>15</v>
      </c>
      <c r="B21" s="494" t="s">
        <v>447</v>
      </c>
      <c r="C21" s="673">
        <f t="shared" si="0"/>
        <v>32500285.975186598</v>
      </c>
      <c r="D21" s="648">
        <v>27789826.680844087</v>
      </c>
      <c r="E21" s="648">
        <v>4518644.0756419962</v>
      </c>
      <c r="F21" s="676">
        <v>171745.24870051449</v>
      </c>
      <c r="G21" s="676">
        <v>20069.97</v>
      </c>
      <c r="H21" s="648">
        <f t="shared" si="1"/>
        <v>1265174.1385254764</v>
      </c>
      <c r="I21" s="676">
        <v>256847.79451242267</v>
      </c>
      <c r="J21" s="676">
        <v>859780.1420333687</v>
      </c>
      <c r="K21" s="676">
        <v>145949.06996096874</v>
      </c>
      <c r="L21" s="676">
        <v>2597.132018716391</v>
      </c>
    </row>
    <row r="22" spans="1:12">
      <c r="A22" s="479">
        <v>16</v>
      </c>
      <c r="B22" s="494" t="s">
        <v>448</v>
      </c>
      <c r="C22" s="673">
        <f t="shared" si="0"/>
        <v>10007497.511466699</v>
      </c>
      <c r="D22" s="648">
        <v>9387671.6101956144</v>
      </c>
      <c r="E22" s="648">
        <v>555602.44416416867</v>
      </c>
      <c r="F22" s="676">
        <v>64223.457106915361</v>
      </c>
      <c r="G22" s="676"/>
      <c r="H22" s="648">
        <f t="shared" si="1"/>
        <v>199135.47635729925</v>
      </c>
      <c r="I22" s="676">
        <v>73241.585241581663</v>
      </c>
      <c r="J22" s="676">
        <v>71409.41533268262</v>
      </c>
      <c r="K22" s="676">
        <v>54484.475783034977</v>
      </c>
      <c r="L22" s="676"/>
    </row>
    <row r="23" spans="1:12">
      <c r="A23" s="479">
        <v>17</v>
      </c>
      <c r="B23" s="494" t="s">
        <v>526</v>
      </c>
      <c r="C23" s="673">
        <f t="shared" si="0"/>
        <v>784378.47379218286</v>
      </c>
      <c r="D23" s="648">
        <v>759098.44191045023</v>
      </c>
      <c r="E23" s="648">
        <v>25060.641881732565</v>
      </c>
      <c r="F23" s="676">
        <v>219.39</v>
      </c>
      <c r="G23" s="676"/>
      <c r="H23" s="648">
        <f t="shared" si="1"/>
        <v>13058.222812471871</v>
      </c>
      <c r="I23" s="676">
        <v>7974.871840155849</v>
      </c>
      <c r="J23" s="676">
        <v>4897.8989606006635</v>
      </c>
      <c r="K23" s="676">
        <v>185.45201171535899</v>
      </c>
      <c r="L23" s="676"/>
    </row>
    <row r="24" spans="1:12">
      <c r="A24" s="479">
        <v>18</v>
      </c>
      <c r="B24" s="494" t="s">
        <v>449</v>
      </c>
      <c r="C24" s="673">
        <f t="shared" si="0"/>
        <v>3015616.9397814926</v>
      </c>
      <c r="D24" s="648">
        <v>2844055.5365571966</v>
      </c>
      <c r="E24" s="648">
        <v>147003.32347504262</v>
      </c>
      <c r="F24" s="676">
        <v>24558.079749252945</v>
      </c>
      <c r="G24" s="676"/>
      <c r="H24" s="648">
        <f t="shared" si="1"/>
        <v>81648.465626761987</v>
      </c>
      <c r="I24" s="676">
        <v>38318.283190780974</v>
      </c>
      <c r="J24" s="676">
        <v>22398.78692651866</v>
      </c>
      <c r="K24" s="676">
        <v>20931.39550946236</v>
      </c>
      <c r="L24" s="676"/>
    </row>
    <row r="25" spans="1:12">
      <c r="A25" s="479">
        <v>19</v>
      </c>
      <c r="B25" s="494" t="s">
        <v>450</v>
      </c>
      <c r="C25" s="673">
        <f t="shared" si="0"/>
        <v>4858667.7230765447</v>
      </c>
      <c r="D25" s="648">
        <v>4722712.7143659797</v>
      </c>
      <c r="E25" s="648">
        <v>113432.02054232404</v>
      </c>
      <c r="F25" s="676">
        <v>22522.988168241103</v>
      </c>
      <c r="G25" s="676"/>
      <c r="H25" s="648">
        <f t="shared" si="1"/>
        <v>73494.047144166572</v>
      </c>
      <c r="I25" s="676">
        <v>35598.398171363864</v>
      </c>
      <c r="J25" s="676">
        <v>18529.95111789439</v>
      </c>
      <c r="K25" s="676">
        <v>19365.697854908321</v>
      </c>
      <c r="L25" s="676"/>
    </row>
    <row r="26" spans="1:12">
      <c r="A26" s="479">
        <v>20</v>
      </c>
      <c r="B26" s="494" t="s">
        <v>525</v>
      </c>
      <c r="C26" s="673">
        <f t="shared" si="0"/>
        <v>13330067.574090291</v>
      </c>
      <c r="D26" s="648">
        <v>13118175.600691434</v>
      </c>
      <c r="E26" s="648">
        <v>188629.57082648866</v>
      </c>
      <c r="F26" s="676">
        <v>17079.552572368342</v>
      </c>
      <c r="G26" s="676">
        <v>6182.85</v>
      </c>
      <c r="H26" s="648">
        <f t="shared" si="1"/>
        <v>153798.41564044476</v>
      </c>
      <c r="I26" s="676">
        <v>114133.48737383472</v>
      </c>
      <c r="J26" s="676">
        <v>25158.252992168331</v>
      </c>
      <c r="K26" s="676">
        <v>14437.473830821564</v>
      </c>
      <c r="L26" s="676">
        <v>69.201443620112599</v>
      </c>
    </row>
    <row r="27" spans="1:12">
      <c r="A27" s="479">
        <v>21</v>
      </c>
      <c r="B27" s="494" t="s">
        <v>451</v>
      </c>
      <c r="C27" s="673">
        <f t="shared" si="0"/>
        <v>1909823.1068211992</v>
      </c>
      <c r="D27" s="648">
        <v>1857100.7646239456</v>
      </c>
      <c r="E27" s="648">
        <v>52722.162197253732</v>
      </c>
      <c r="F27" s="676">
        <v>0.18</v>
      </c>
      <c r="G27" s="676"/>
      <c r="H27" s="648">
        <f t="shared" si="1"/>
        <v>34626.331413007982</v>
      </c>
      <c r="I27" s="676">
        <v>15144.644899688588</v>
      </c>
      <c r="J27" s="676">
        <v>19481.639898536938</v>
      </c>
      <c r="K27" s="676">
        <v>4.6614782453507898E-2</v>
      </c>
      <c r="L27" s="676"/>
    </row>
    <row r="28" spans="1:12">
      <c r="A28" s="479">
        <v>22</v>
      </c>
      <c r="B28" s="494" t="s">
        <v>452</v>
      </c>
      <c r="C28" s="673">
        <f t="shared" si="0"/>
        <v>628249.8170089859</v>
      </c>
      <c r="D28" s="648">
        <v>612254.96348209237</v>
      </c>
      <c r="E28" s="648">
        <v>15362.363526893512</v>
      </c>
      <c r="F28" s="676">
        <v>632.49</v>
      </c>
      <c r="G28" s="676"/>
      <c r="H28" s="648">
        <f t="shared" si="1"/>
        <v>8695.9775002967199</v>
      </c>
      <c r="I28" s="676">
        <v>6426.8853072766024</v>
      </c>
      <c r="J28" s="676">
        <v>1734.4436543909762</v>
      </c>
      <c r="K28" s="676">
        <v>534.64853862914197</v>
      </c>
      <c r="L28" s="676"/>
    </row>
    <row r="29" spans="1:12">
      <c r="A29" s="479">
        <v>23</v>
      </c>
      <c r="B29" s="494" t="s">
        <v>453</v>
      </c>
      <c r="C29" s="673">
        <f t="shared" si="0"/>
        <v>421339043.41253</v>
      </c>
      <c r="D29" s="648">
        <v>397204181.52673751</v>
      </c>
      <c r="E29" s="648">
        <v>20020308.18635004</v>
      </c>
      <c r="F29" s="676">
        <v>4086487.2694424111</v>
      </c>
      <c r="G29" s="676">
        <v>28066.43</v>
      </c>
      <c r="H29" s="648">
        <f t="shared" si="1"/>
        <v>10578055.44502856</v>
      </c>
      <c r="I29" s="676">
        <v>3824860.7509325272</v>
      </c>
      <c r="J29" s="676">
        <v>3356823.0652547311</v>
      </c>
      <c r="K29" s="676">
        <v>3396108.259608584</v>
      </c>
      <c r="L29" s="676">
        <v>263.36923271828186</v>
      </c>
    </row>
    <row r="30" spans="1:12">
      <c r="A30" s="479">
        <v>24</v>
      </c>
      <c r="B30" s="494" t="s">
        <v>524</v>
      </c>
      <c r="C30" s="673">
        <f t="shared" si="0"/>
        <v>771191804.76258445</v>
      </c>
      <c r="D30" s="648">
        <v>733218009.32292747</v>
      </c>
      <c r="E30" s="648">
        <v>32479317.528878972</v>
      </c>
      <c r="F30" s="676">
        <v>5407070.3807780547</v>
      </c>
      <c r="G30" s="676">
        <v>87407.53</v>
      </c>
      <c r="H30" s="648">
        <f t="shared" si="1"/>
        <v>16184666.256915098</v>
      </c>
      <c r="I30" s="676">
        <v>6886623.504149545</v>
      </c>
      <c r="J30" s="676">
        <v>4707136.6625586255</v>
      </c>
      <c r="K30" s="676">
        <v>4579505.1111301519</v>
      </c>
      <c r="L30" s="676">
        <v>11400.979076775395</v>
      </c>
    </row>
    <row r="31" spans="1:12">
      <c r="A31" s="479">
        <v>25</v>
      </c>
      <c r="B31" s="494" t="s">
        <v>454</v>
      </c>
      <c r="C31" s="673">
        <f t="shared" si="0"/>
        <v>142453201.39114273</v>
      </c>
      <c r="D31" s="648">
        <v>136328507.5022631</v>
      </c>
      <c r="E31" s="648">
        <v>4719528.9375585718</v>
      </c>
      <c r="F31" s="676">
        <v>1382172.6613210619</v>
      </c>
      <c r="G31" s="676">
        <v>22992.29</v>
      </c>
      <c r="H31" s="648">
        <f t="shared" si="1"/>
        <v>3055730.2051247638</v>
      </c>
      <c r="I31" s="676">
        <v>1215554.9581448121</v>
      </c>
      <c r="J31" s="676">
        <v>728982.88919368177</v>
      </c>
      <c r="K31" s="676">
        <v>1110940.1943105732</v>
      </c>
      <c r="L31" s="676">
        <v>252.16347569688602</v>
      </c>
    </row>
    <row r="32" spans="1:12">
      <c r="A32" s="479">
        <v>26</v>
      </c>
      <c r="B32" s="494" t="s">
        <v>521</v>
      </c>
      <c r="C32" s="673">
        <f t="shared" si="0"/>
        <v>56889764.383281834</v>
      </c>
      <c r="D32" s="648">
        <v>53924808.938597687</v>
      </c>
      <c r="E32" s="648">
        <v>2488902.5198395457</v>
      </c>
      <c r="F32" s="676">
        <v>461061.02484459843</v>
      </c>
      <c r="G32" s="676">
        <v>14991.900000000001</v>
      </c>
      <c r="H32" s="648">
        <f t="shared" si="1"/>
        <v>1342074.9301864137</v>
      </c>
      <c r="I32" s="676">
        <v>605569.23074999393</v>
      </c>
      <c r="J32" s="676">
        <v>344000.19925089739</v>
      </c>
      <c r="K32" s="676">
        <v>392348.8725848812</v>
      </c>
      <c r="L32" s="676">
        <v>156.62760064121781</v>
      </c>
    </row>
    <row r="33" spans="1:12">
      <c r="A33" s="479">
        <v>27</v>
      </c>
      <c r="B33" s="545" t="s">
        <v>64</v>
      </c>
      <c r="C33" s="677">
        <f t="shared" si="0"/>
        <v>1917801980.2274413</v>
      </c>
      <c r="D33" s="656">
        <f>SUM(D7:D32)</f>
        <v>1817959858.334774</v>
      </c>
      <c r="E33" s="656">
        <f t="shared" ref="E33:G33" si="2">SUM(E7:E32)</f>
        <v>85622610.7824101</v>
      </c>
      <c r="F33" s="656">
        <f t="shared" si="2"/>
        <v>13966994.600257091</v>
      </c>
      <c r="G33" s="656">
        <f t="shared" si="2"/>
        <v>252516.51</v>
      </c>
      <c r="H33" s="650">
        <f t="shared" si="1"/>
        <v>41078457.181731097</v>
      </c>
      <c r="I33" s="656">
        <f t="shared" ref="I33:L33" si="3">SUM(I7:I32)</f>
        <v>16494443.902351201</v>
      </c>
      <c r="J33" s="656">
        <f t="shared" si="3"/>
        <v>12880222.926380556</v>
      </c>
      <c r="K33" s="656">
        <f t="shared" si="3"/>
        <v>11688236.707810026</v>
      </c>
      <c r="L33" s="656">
        <f t="shared" si="3"/>
        <v>15553.645189311597</v>
      </c>
    </row>
    <row r="35" spans="1:12">
      <c r="B35" s="544"/>
      <c r="C35" s="544"/>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3"/>
  <sheetViews>
    <sheetView showGridLines="0" topLeftCell="C1" zoomScale="90" zoomScaleNormal="90" workbookViewId="0">
      <selection activeCell="C6" sqref="C6:K11"/>
    </sheetView>
  </sheetViews>
  <sheetFormatPr defaultColWidth="8.77734375" defaultRowHeight="12"/>
  <cols>
    <col min="1" max="1" width="11.77734375" style="546" bestFit="1" customWidth="1"/>
    <col min="2" max="2" width="68.77734375" style="546" customWidth="1"/>
    <col min="3" max="11" width="28.21875" style="546" customWidth="1"/>
    <col min="12" max="16384" width="8.77734375" style="546"/>
  </cols>
  <sheetData>
    <row r="1" spans="1:11" s="490" customFormat="1" ht="13.8">
      <c r="A1" s="379" t="s">
        <v>30</v>
      </c>
      <c r="B1" s="476" t="str">
        <f>'Info '!C2</f>
        <v>JSC "CREDOBANK"</v>
      </c>
    </row>
    <row r="2" spans="1:11" s="490" customFormat="1">
      <c r="A2" s="379" t="s">
        <v>31</v>
      </c>
      <c r="B2" s="475">
        <f>'1. key ratios '!B2</f>
        <v>45199</v>
      </c>
    </row>
    <row r="3" spans="1:11" s="490" customFormat="1">
      <c r="A3" s="380" t="s">
        <v>504</v>
      </c>
    </row>
    <row r="4" spans="1:11">
      <c r="C4" s="549" t="s">
        <v>698</v>
      </c>
      <c r="D4" s="549" t="s">
        <v>697</v>
      </c>
      <c r="E4" s="549" t="s">
        <v>696</v>
      </c>
      <c r="F4" s="549" t="s">
        <v>695</v>
      </c>
      <c r="G4" s="549" t="s">
        <v>694</v>
      </c>
      <c r="H4" s="549" t="s">
        <v>693</v>
      </c>
      <c r="I4" s="549" t="s">
        <v>692</v>
      </c>
      <c r="J4" s="549" t="s">
        <v>691</v>
      </c>
      <c r="K4" s="549" t="s">
        <v>690</v>
      </c>
    </row>
    <row r="5" spans="1:11" ht="103.95" customHeight="1">
      <c r="A5" s="807" t="s">
        <v>689</v>
      </c>
      <c r="B5" s="808"/>
      <c r="C5" s="548" t="s">
        <v>505</v>
      </c>
      <c r="D5" s="548" t="s">
        <v>506</v>
      </c>
      <c r="E5" s="548" t="s">
        <v>507</v>
      </c>
      <c r="F5" s="548" t="s">
        <v>508</v>
      </c>
      <c r="G5" s="548" t="s">
        <v>509</v>
      </c>
      <c r="H5" s="548" t="s">
        <v>510</v>
      </c>
      <c r="I5" s="548" t="s">
        <v>511</v>
      </c>
      <c r="J5" s="548" t="s">
        <v>512</v>
      </c>
      <c r="K5" s="548" t="s">
        <v>513</v>
      </c>
    </row>
    <row r="6" spans="1:11">
      <c r="A6" s="479">
        <v>1</v>
      </c>
      <c r="B6" s="479" t="s">
        <v>473</v>
      </c>
      <c r="C6" s="648">
        <v>4946313.8270000024</v>
      </c>
      <c r="D6" s="648">
        <v>91408</v>
      </c>
      <c r="E6" s="648"/>
      <c r="F6" s="648">
        <v>1597.5715524799177</v>
      </c>
      <c r="G6" s="648">
        <v>501793260.38749886</v>
      </c>
      <c r="H6" s="648"/>
      <c r="I6" s="648">
        <v>68168894.353488341</v>
      </c>
      <c r="J6" s="648">
        <v>264820344.2122694</v>
      </c>
      <c r="K6" s="648">
        <v>1077980161.8756309</v>
      </c>
    </row>
    <row r="7" spans="1:11">
      <c r="A7" s="479">
        <v>2</v>
      </c>
      <c r="B7" s="479" t="s">
        <v>514</v>
      </c>
      <c r="C7" s="648"/>
      <c r="D7" s="648"/>
      <c r="E7" s="648"/>
      <c r="F7" s="648"/>
      <c r="G7" s="648"/>
      <c r="H7" s="648"/>
      <c r="I7" s="648"/>
      <c r="J7" s="648"/>
      <c r="K7" s="648"/>
    </row>
    <row r="8" spans="1:11">
      <c r="A8" s="479">
        <v>3</v>
      </c>
      <c r="B8" s="479" t="s">
        <v>481</v>
      </c>
      <c r="C8" s="648">
        <v>1339150</v>
      </c>
      <c r="D8" s="648"/>
      <c r="E8" s="648"/>
      <c r="F8" s="648"/>
      <c r="G8" s="648">
        <v>379000</v>
      </c>
      <c r="H8" s="648"/>
      <c r="I8" s="648"/>
      <c r="J8" s="648"/>
      <c r="K8" s="648">
        <v>46499598.619999997</v>
      </c>
    </row>
    <row r="9" spans="1:11">
      <c r="A9" s="479">
        <v>4</v>
      </c>
      <c r="B9" s="499" t="s">
        <v>515</v>
      </c>
      <c r="C9" s="678"/>
      <c r="D9" s="678"/>
      <c r="E9" s="678"/>
      <c r="F9" s="678"/>
      <c r="G9" s="678">
        <v>1192994.8310655709</v>
      </c>
      <c r="H9" s="678"/>
      <c r="I9" s="678">
        <v>340000.41028299922</v>
      </c>
      <c r="J9" s="678">
        <v>1654659.602360737</v>
      </c>
      <c r="K9" s="678">
        <v>11031856.266547794</v>
      </c>
    </row>
    <row r="10" spans="1:11">
      <c r="A10" s="479">
        <v>5</v>
      </c>
      <c r="B10" s="499" t="s">
        <v>516</v>
      </c>
      <c r="C10" s="678"/>
      <c r="D10" s="678"/>
      <c r="E10" s="678"/>
      <c r="F10" s="678"/>
      <c r="G10" s="678"/>
      <c r="H10" s="678"/>
      <c r="I10" s="678"/>
      <c r="J10" s="678"/>
      <c r="K10" s="678"/>
    </row>
    <row r="11" spans="1:11">
      <c r="A11" s="479">
        <v>6</v>
      </c>
      <c r="B11" s="499" t="s">
        <v>517</v>
      </c>
      <c r="C11" s="678"/>
      <c r="D11" s="678"/>
      <c r="E11" s="678"/>
      <c r="F11" s="678"/>
      <c r="G11" s="678"/>
      <c r="H11" s="678"/>
      <c r="I11" s="678"/>
      <c r="J11" s="678"/>
      <c r="K11" s="678"/>
    </row>
    <row r="13" spans="1:11" ht="13.8">
      <c r="B13" s="547"/>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0"/>
  <sheetViews>
    <sheetView showGridLines="0" tabSelected="1" topLeftCell="P1" zoomScale="90" zoomScaleNormal="90" workbookViewId="0">
      <selection activeCell="V27" sqref="V27"/>
    </sheetView>
  </sheetViews>
  <sheetFormatPr defaultColWidth="8.77734375" defaultRowHeight="14.4"/>
  <cols>
    <col min="1" max="1" width="10" style="550" bestFit="1" customWidth="1"/>
    <col min="2" max="2" width="71.77734375" style="550" customWidth="1"/>
    <col min="3" max="3" width="12" style="550" bestFit="1" customWidth="1"/>
    <col min="4" max="7" width="15.5546875" style="550" customWidth="1"/>
    <col min="8" max="8" width="12" style="550" bestFit="1" customWidth="1"/>
    <col min="9" max="12" width="17.21875" style="550" customWidth="1"/>
    <col min="13" max="13" width="10.6640625" style="550" bestFit="1" customWidth="1"/>
    <col min="14" max="17" width="16.21875" style="550" customWidth="1"/>
    <col min="18" max="18" width="12.21875" style="550" bestFit="1" customWidth="1"/>
    <col min="19" max="19" width="46.88671875" style="550" bestFit="1" customWidth="1"/>
    <col min="20" max="20" width="43.44140625" style="550" bestFit="1" customWidth="1"/>
    <col min="21" max="21" width="45.88671875" style="550" bestFit="1" customWidth="1"/>
    <col min="22" max="22" width="43.33203125" style="550" bestFit="1" customWidth="1"/>
    <col min="23" max="16384" width="8.77734375" style="550"/>
  </cols>
  <sheetData>
    <row r="1" spans="1:22">
      <c r="A1" s="379" t="s">
        <v>30</v>
      </c>
      <c r="B1" s="476" t="str">
        <f>'Info '!C2</f>
        <v>JSC "CREDOBANK"</v>
      </c>
    </row>
    <row r="2" spans="1:22">
      <c r="A2" s="379" t="s">
        <v>31</v>
      </c>
      <c r="B2" s="475">
        <f>'1. key ratios '!B2</f>
        <v>45199</v>
      </c>
    </row>
    <row r="3" spans="1:22">
      <c r="A3" s="380" t="s">
        <v>532</v>
      </c>
      <c r="B3" s="490"/>
    </row>
    <row r="4" spans="1:22">
      <c r="A4" s="380"/>
      <c r="B4" s="490"/>
    </row>
    <row r="5" spans="1:22" ht="24" customHeight="1">
      <c r="A5" s="809" t="s">
        <v>533</v>
      </c>
      <c r="B5" s="810"/>
      <c r="C5" s="814" t="s">
        <v>699</v>
      </c>
      <c r="D5" s="814"/>
      <c r="E5" s="814"/>
      <c r="F5" s="814"/>
      <c r="G5" s="814"/>
      <c r="H5" s="814" t="s">
        <v>551</v>
      </c>
      <c r="I5" s="814"/>
      <c r="J5" s="814"/>
      <c r="K5" s="814"/>
      <c r="L5" s="814"/>
      <c r="M5" s="814" t="s">
        <v>663</v>
      </c>
      <c r="N5" s="814"/>
      <c r="O5" s="814"/>
      <c r="P5" s="814"/>
      <c r="Q5" s="814"/>
      <c r="R5" s="813" t="s">
        <v>534</v>
      </c>
      <c r="S5" s="813" t="s">
        <v>548</v>
      </c>
      <c r="T5" s="813" t="s">
        <v>549</v>
      </c>
      <c r="U5" s="813" t="s">
        <v>710</v>
      </c>
      <c r="V5" s="813" t="s">
        <v>711</v>
      </c>
    </row>
    <row r="6" spans="1:22" ht="36" customHeight="1">
      <c r="A6" s="811"/>
      <c r="B6" s="812"/>
      <c r="C6" s="559"/>
      <c r="D6" s="488" t="s">
        <v>684</v>
      </c>
      <c r="E6" s="488" t="s">
        <v>683</v>
      </c>
      <c r="F6" s="488" t="s">
        <v>682</v>
      </c>
      <c r="G6" s="488" t="s">
        <v>681</v>
      </c>
      <c r="H6" s="559"/>
      <c r="I6" s="488" t="s">
        <v>684</v>
      </c>
      <c r="J6" s="488" t="s">
        <v>683</v>
      </c>
      <c r="K6" s="488" t="s">
        <v>682</v>
      </c>
      <c r="L6" s="488" t="s">
        <v>681</v>
      </c>
      <c r="M6" s="559"/>
      <c r="N6" s="488" t="s">
        <v>684</v>
      </c>
      <c r="O6" s="488" t="s">
        <v>683</v>
      </c>
      <c r="P6" s="488" t="s">
        <v>682</v>
      </c>
      <c r="Q6" s="488" t="s">
        <v>681</v>
      </c>
      <c r="R6" s="813"/>
      <c r="S6" s="813"/>
      <c r="T6" s="813"/>
      <c r="U6" s="813"/>
      <c r="V6" s="813"/>
    </row>
    <row r="7" spans="1:22">
      <c r="A7" s="554">
        <v>1</v>
      </c>
      <c r="B7" s="558" t="s">
        <v>542</v>
      </c>
      <c r="C7" s="679">
        <f>SUM(D7:G7)</f>
        <v>18034095.200000033</v>
      </c>
      <c r="D7" s="678">
        <v>17637723.620000035</v>
      </c>
      <c r="E7" s="678">
        <v>245746.50000000006</v>
      </c>
      <c r="F7" s="678">
        <v>118693.27</v>
      </c>
      <c r="G7" s="678">
        <v>31931.81</v>
      </c>
      <c r="H7" s="679">
        <f>SUM(I7:L7)</f>
        <v>18178753.263102774</v>
      </c>
      <c r="I7" s="678">
        <v>17740632.219038378</v>
      </c>
      <c r="J7" s="678">
        <v>255532.37926038567</v>
      </c>
      <c r="K7" s="678">
        <v>150509.08480400994</v>
      </c>
      <c r="L7" s="678">
        <v>32079.579999999998</v>
      </c>
      <c r="M7" s="679">
        <f>SUM(N7:Q7)</f>
        <v>365011.87198848027</v>
      </c>
      <c r="N7" s="678">
        <v>183495.45011837946</v>
      </c>
      <c r="O7" s="678">
        <v>58204.046096053236</v>
      </c>
      <c r="P7" s="678">
        <v>123009.14246813132</v>
      </c>
      <c r="Q7" s="678">
        <v>303.23330591626188</v>
      </c>
      <c r="R7" s="678">
        <v>11283</v>
      </c>
      <c r="S7" s="680">
        <v>0.23999999999999996</v>
      </c>
      <c r="T7" s="680">
        <v>0.31</v>
      </c>
      <c r="U7" s="680">
        <v>0.23</v>
      </c>
      <c r="V7" s="678">
        <v>36.220641999999998</v>
      </c>
    </row>
    <row r="8" spans="1:22">
      <c r="A8" s="554">
        <v>2</v>
      </c>
      <c r="B8" s="557" t="s">
        <v>541</v>
      </c>
      <c r="C8" s="679">
        <f t="shared" ref="C8:C18" si="0">SUM(D8:G8)</f>
        <v>866734873.72479844</v>
      </c>
      <c r="D8" s="678">
        <v>813545968.56929851</v>
      </c>
      <c r="E8" s="678">
        <v>47636711.544999875</v>
      </c>
      <c r="F8" s="678">
        <v>5470225.5304999994</v>
      </c>
      <c r="G8" s="678">
        <v>81968.08</v>
      </c>
      <c r="H8" s="679">
        <f t="shared" ref="H8:H18" si="1">SUM(I8:L8)</f>
        <v>862752493.67453134</v>
      </c>
      <c r="I8" s="678">
        <v>805932778.70006156</v>
      </c>
      <c r="J8" s="678">
        <v>49880096.60232839</v>
      </c>
      <c r="K8" s="678">
        <v>6857592.9221413471</v>
      </c>
      <c r="L8" s="678">
        <v>82025.45</v>
      </c>
      <c r="M8" s="679">
        <f t="shared" ref="M8:M18" si="2">SUM(N8:Q8)</f>
        <v>21681908.179148983</v>
      </c>
      <c r="N8" s="678">
        <v>8522453.892237911</v>
      </c>
      <c r="O8" s="678">
        <v>7308276.1967244176</v>
      </c>
      <c r="P8" s="678">
        <v>5850440.4108876437</v>
      </c>
      <c r="Q8" s="678">
        <v>737.67929901087143</v>
      </c>
      <c r="R8" s="681">
        <v>180163</v>
      </c>
      <c r="S8" s="680">
        <v>0.26</v>
      </c>
      <c r="T8" s="680">
        <v>0.36</v>
      </c>
      <c r="U8" s="680">
        <v>0.24</v>
      </c>
      <c r="V8" s="678">
        <v>34.365155000000001</v>
      </c>
    </row>
    <row r="9" spans="1:22">
      <c r="A9" s="554">
        <v>3</v>
      </c>
      <c r="B9" s="557" t="s">
        <v>540</v>
      </c>
      <c r="C9" s="679">
        <f t="shared" si="0"/>
        <v>0</v>
      </c>
      <c r="D9" s="678"/>
      <c r="E9" s="678">
        <v>0</v>
      </c>
      <c r="F9" s="678">
        <v>0</v>
      </c>
      <c r="G9" s="678">
        <v>0</v>
      </c>
      <c r="H9" s="679">
        <f t="shared" si="1"/>
        <v>0</v>
      </c>
      <c r="I9" s="678">
        <v>0</v>
      </c>
      <c r="J9" s="678">
        <v>0</v>
      </c>
      <c r="K9" s="678">
        <v>0</v>
      </c>
      <c r="L9" s="678">
        <v>0</v>
      </c>
      <c r="M9" s="679">
        <f t="shared" si="2"/>
        <v>0</v>
      </c>
      <c r="N9" s="678">
        <v>0</v>
      </c>
      <c r="O9" s="678">
        <v>0</v>
      </c>
      <c r="P9" s="678">
        <v>0</v>
      </c>
      <c r="Q9" s="678">
        <v>0</v>
      </c>
      <c r="R9" s="678">
        <v>0</v>
      </c>
      <c r="S9" s="680"/>
      <c r="T9" s="680"/>
      <c r="U9" s="680"/>
      <c r="V9" s="678">
        <v>0</v>
      </c>
    </row>
    <row r="10" spans="1:22">
      <c r="A10" s="554">
        <v>4</v>
      </c>
      <c r="B10" s="557" t="s">
        <v>539</v>
      </c>
      <c r="C10" s="679">
        <f t="shared" si="0"/>
        <v>170488590.56000146</v>
      </c>
      <c r="D10" s="678">
        <v>166096733.63000146</v>
      </c>
      <c r="E10" s="678">
        <v>2841508.9400000041</v>
      </c>
      <c r="F10" s="678">
        <v>1550347.99</v>
      </c>
      <c r="G10" s="678">
        <v>0</v>
      </c>
      <c r="H10" s="679">
        <f t="shared" si="1"/>
        <v>171461570.85333857</v>
      </c>
      <c r="I10" s="678">
        <v>166148214.04133803</v>
      </c>
      <c r="J10" s="678">
        <v>3104358.9614077508</v>
      </c>
      <c r="K10" s="678">
        <v>2208997.8505927813</v>
      </c>
      <c r="L10" s="678">
        <v>0</v>
      </c>
      <c r="M10" s="679">
        <f t="shared" si="2"/>
        <v>4899614.3391660508</v>
      </c>
      <c r="N10" s="678">
        <v>2305327.0548070655</v>
      </c>
      <c r="O10" s="678">
        <v>727004.84091427142</v>
      </c>
      <c r="P10" s="678">
        <v>1867282.4434447144</v>
      </c>
      <c r="Q10" s="678">
        <v>0</v>
      </c>
      <c r="R10" s="681">
        <v>234746</v>
      </c>
      <c r="S10" s="680">
        <v>7.0000000000000021E-2</v>
      </c>
      <c r="T10" s="680">
        <v>0.2434911705410569</v>
      </c>
      <c r="U10" s="680">
        <v>0.06</v>
      </c>
      <c r="V10" s="678">
        <v>11.450877</v>
      </c>
    </row>
    <row r="11" spans="1:22">
      <c r="A11" s="554">
        <v>5</v>
      </c>
      <c r="B11" s="557" t="s">
        <v>538</v>
      </c>
      <c r="C11" s="679">
        <f t="shared" si="0"/>
        <v>19160.900000000001</v>
      </c>
      <c r="D11" s="678">
        <v>17027.88</v>
      </c>
      <c r="E11" s="678">
        <v>0</v>
      </c>
      <c r="F11" s="678">
        <v>2133.02</v>
      </c>
      <c r="G11" s="678">
        <v>0</v>
      </c>
      <c r="H11" s="679">
        <f t="shared" si="1"/>
        <v>19686.21</v>
      </c>
      <c r="I11" s="678">
        <v>17495.63</v>
      </c>
      <c r="J11" s="678">
        <v>0</v>
      </c>
      <c r="K11" s="678">
        <v>2190.58</v>
      </c>
      <c r="L11" s="678">
        <v>0</v>
      </c>
      <c r="M11" s="679">
        <f t="shared" si="2"/>
        <v>5403.8708940826291</v>
      </c>
      <c r="N11" s="678">
        <v>3552.1571978183001</v>
      </c>
      <c r="O11" s="678">
        <v>0</v>
      </c>
      <c r="P11" s="678">
        <v>1851.713696264329</v>
      </c>
      <c r="Q11" s="678">
        <v>0</v>
      </c>
      <c r="R11" s="681">
        <v>18</v>
      </c>
      <c r="S11" s="680">
        <v>0.29240519248896263</v>
      </c>
      <c r="T11" s="680">
        <v>0.33755045657807126</v>
      </c>
      <c r="U11" s="680">
        <v>0.34</v>
      </c>
      <c r="V11" s="678">
        <v>0.85688600000000004</v>
      </c>
    </row>
    <row r="12" spans="1:22">
      <c r="A12" s="554">
        <v>6</v>
      </c>
      <c r="B12" s="557" t="s">
        <v>537</v>
      </c>
      <c r="C12" s="679">
        <f t="shared" si="0"/>
        <v>23854866.899999995</v>
      </c>
      <c r="D12" s="678">
        <v>23058967.269999996</v>
      </c>
      <c r="E12" s="678">
        <v>372176.55999999994</v>
      </c>
      <c r="F12" s="678">
        <v>423723.07</v>
      </c>
      <c r="G12" s="678">
        <v>0</v>
      </c>
      <c r="H12" s="679">
        <f t="shared" si="1"/>
        <v>23854941.12530341</v>
      </c>
      <c r="I12" s="678">
        <v>23058808.598964371</v>
      </c>
      <c r="J12" s="678">
        <v>372268.51746368431</v>
      </c>
      <c r="K12" s="678">
        <v>423864.0088753567</v>
      </c>
      <c r="L12" s="678">
        <v>0</v>
      </c>
      <c r="M12" s="679">
        <f t="shared" si="2"/>
        <v>881028.76125087484</v>
      </c>
      <c r="N12" s="678">
        <v>356820.52759136405</v>
      </c>
      <c r="O12" s="678">
        <v>165904.64613928777</v>
      </c>
      <c r="P12" s="678">
        <v>358303.58752022299</v>
      </c>
      <c r="Q12" s="678">
        <v>0</v>
      </c>
      <c r="R12" s="681">
        <v>41193</v>
      </c>
      <c r="S12" s="680">
        <v>0.30691158261716456</v>
      </c>
      <c r="T12" s="680">
        <v>0.37363504342086123</v>
      </c>
      <c r="U12" s="680">
        <v>0.31</v>
      </c>
      <c r="V12" s="678">
        <v>306.450219</v>
      </c>
    </row>
    <row r="13" spans="1:22">
      <c r="A13" s="554">
        <v>7</v>
      </c>
      <c r="B13" s="557" t="s">
        <v>536</v>
      </c>
      <c r="C13" s="679">
        <f t="shared" si="0"/>
        <v>186446225.13080022</v>
      </c>
      <c r="D13" s="682">
        <f t="shared" ref="D13:L13" si="3">SUM(D14:D16)</f>
        <v>182691633.31080019</v>
      </c>
      <c r="E13" s="682">
        <f t="shared" si="3"/>
        <v>3652535.72</v>
      </c>
      <c r="F13" s="682">
        <f t="shared" si="3"/>
        <v>51028.05</v>
      </c>
      <c r="G13" s="682">
        <f t="shared" si="3"/>
        <v>51028.05</v>
      </c>
      <c r="H13" s="679">
        <f t="shared" si="1"/>
        <v>186117103.83516848</v>
      </c>
      <c r="I13" s="682">
        <f t="shared" si="3"/>
        <v>181181562.61548537</v>
      </c>
      <c r="J13" s="682">
        <f t="shared" si="3"/>
        <v>3792782.7244197093</v>
      </c>
      <c r="K13" s="682">
        <f t="shared" si="3"/>
        <v>1090820.4452633904</v>
      </c>
      <c r="L13" s="682">
        <f t="shared" si="3"/>
        <v>51938.05</v>
      </c>
      <c r="M13" s="679">
        <f t="shared" si="2"/>
        <v>2691465.3092598566</v>
      </c>
      <c r="N13" s="682">
        <f t="shared" ref="N13:R13" si="4">SUM(N14:N16)</f>
        <v>1215196.4867730485</v>
      </c>
      <c r="O13" s="682">
        <f t="shared" si="4"/>
        <v>588230.24750123732</v>
      </c>
      <c r="P13" s="682">
        <f t="shared" si="4"/>
        <v>877036.05442323058</v>
      </c>
      <c r="Q13" s="682">
        <f t="shared" si="4"/>
        <v>11002.520562339976</v>
      </c>
      <c r="R13" s="682">
        <f t="shared" si="4"/>
        <v>16502</v>
      </c>
      <c r="S13" s="683">
        <v>0.20598294411007492</v>
      </c>
      <c r="T13" s="683">
        <v>0.27794883233022472</v>
      </c>
      <c r="U13" s="683">
        <v>0.18</v>
      </c>
      <c r="V13" s="682">
        <v>72</v>
      </c>
    </row>
    <row r="14" spans="1:22">
      <c r="A14" s="552">
        <v>7.1</v>
      </c>
      <c r="B14" s="551" t="s">
        <v>545</v>
      </c>
      <c r="C14" s="679">
        <f t="shared" si="0"/>
        <v>81437045.788099945</v>
      </c>
      <c r="D14" s="678">
        <v>81152876.598099932</v>
      </c>
      <c r="E14" s="678">
        <v>277437.51000000007</v>
      </c>
      <c r="F14" s="678">
        <v>3365.84</v>
      </c>
      <c r="G14" s="678">
        <v>3365.84</v>
      </c>
      <c r="H14" s="679">
        <f t="shared" si="1"/>
        <v>81412202.839289904</v>
      </c>
      <c r="I14" s="678">
        <v>80732346.462230608</v>
      </c>
      <c r="J14" s="678">
        <v>282913.4805334885</v>
      </c>
      <c r="K14" s="678">
        <v>393577.05652579165</v>
      </c>
      <c r="L14" s="678">
        <v>3365.84</v>
      </c>
      <c r="M14" s="679">
        <f t="shared" si="2"/>
        <v>598931.83420304966</v>
      </c>
      <c r="N14" s="678">
        <v>261003.80121243553</v>
      </c>
      <c r="O14" s="678">
        <v>58069.053675929841</v>
      </c>
      <c r="P14" s="678">
        <v>279830.88314367703</v>
      </c>
      <c r="Q14" s="678">
        <v>28.096171007256999</v>
      </c>
      <c r="R14" s="681">
        <v>1223</v>
      </c>
      <c r="S14" s="680">
        <v>0.15486314499453818</v>
      </c>
      <c r="T14" s="680">
        <v>0.18486314499453818</v>
      </c>
      <c r="U14" s="680">
        <v>0.13</v>
      </c>
      <c r="V14" s="678">
        <v>118.687789</v>
      </c>
    </row>
    <row r="15" spans="1:22">
      <c r="A15" s="552">
        <v>7.2</v>
      </c>
      <c r="B15" s="551" t="s">
        <v>547</v>
      </c>
      <c r="C15" s="679">
        <f t="shared" si="0"/>
        <v>3597353.5453000017</v>
      </c>
      <c r="D15" s="678">
        <v>3568041.1653000019</v>
      </c>
      <c r="E15" s="678">
        <v>29312.379999999997</v>
      </c>
      <c r="F15" s="678">
        <v>0</v>
      </c>
      <c r="G15" s="678">
        <v>0</v>
      </c>
      <c r="H15" s="679">
        <f t="shared" si="1"/>
        <v>3588537.5704499953</v>
      </c>
      <c r="I15" s="678">
        <v>3557941.5304493811</v>
      </c>
      <c r="J15" s="678">
        <v>30596.040000614114</v>
      </c>
      <c r="K15" s="678">
        <v>0</v>
      </c>
      <c r="L15" s="678">
        <v>0</v>
      </c>
      <c r="M15" s="679">
        <f t="shared" si="2"/>
        <v>12046.250661847316</v>
      </c>
      <c r="N15" s="678">
        <v>10115.67790718498</v>
      </c>
      <c r="O15" s="678">
        <v>1930.572754662337</v>
      </c>
      <c r="P15" s="678">
        <v>0</v>
      </c>
      <c r="Q15" s="678">
        <v>0</v>
      </c>
      <c r="R15" s="681">
        <v>60</v>
      </c>
      <c r="S15" s="680">
        <v>0.1535763097949886</v>
      </c>
      <c r="T15" s="680">
        <v>0.18715261958997723</v>
      </c>
      <c r="U15" s="680">
        <v>0.13</v>
      </c>
      <c r="V15" s="678">
        <v>100.594059</v>
      </c>
    </row>
    <row r="16" spans="1:22">
      <c r="A16" s="552">
        <v>7.3</v>
      </c>
      <c r="B16" s="551" t="s">
        <v>544</v>
      </c>
      <c r="C16" s="679">
        <f t="shared" si="0"/>
        <v>101411825.79740027</v>
      </c>
      <c r="D16" s="678">
        <v>97970715.547400281</v>
      </c>
      <c r="E16" s="678">
        <v>3345785.83</v>
      </c>
      <c r="F16" s="678">
        <v>47662.210000000006</v>
      </c>
      <c r="G16" s="678">
        <v>47662.210000000006</v>
      </c>
      <c r="H16" s="679">
        <f t="shared" si="1"/>
        <v>101116363.42542858</v>
      </c>
      <c r="I16" s="678">
        <v>96891274.622805387</v>
      </c>
      <c r="J16" s="678">
        <v>3479273.2038856065</v>
      </c>
      <c r="K16" s="678">
        <v>697243.3887375989</v>
      </c>
      <c r="L16" s="678">
        <v>48572.21</v>
      </c>
      <c r="M16" s="679">
        <f t="shared" si="2"/>
        <v>2080487.2243949594</v>
      </c>
      <c r="N16" s="678">
        <v>944077.00765342789</v>
      </c>
      <c r="O16" s="678">
        <v>528230.62107064517</v>
      </c>
      <c r="P16" s="678">
        <v>597205.17127955356</v>
      </c>
      <c r="Q16" s="678">
        <v>10974.424391332719</v>
      </c>
      <c r="R16" s="681">
        <v>15219</v>
      </c>
      <c r="S16" s="680">
        <v>0.24316895497423829</v>
      </c>
      <c r="T16" s="680">
        <v>0.33316895497423832</v>
      </c>
      <c r="U16" s="680">
        <v>0.22</v>
      </c>
      <c r="V16" s="678">
        <v>33.482390000000002</v>
      </c>
    </row>
    <row r="17" spans="1:22">
      <c r="A17" s="554">
        <v>8</v>
      </c>
      <c r="B17" s="557" t="s">
        <v>543</v>
      </c>
      <c r="C17" s="679">
        <f t="shared" si="0"/>
        <v>0</v>
      </c>
      <c r="D17" s="678"/>
      <c r="E17" s="678"/>
      <c r="F17" s="678">
        <v>0</v>
      </c>
      <c r="G17" s="678">
        <v>0</v>
      </c>
      <c r="H17" s="679">
        <f t="shared" si="1"/>
        <v>0</v>
      </c>
      <c r="I17" s="678"/>
      <c r="J17" s="678"/>
      <c r="K17" s="678"/>
      <c r="L17" s="678">
        <v>0</v>
      </c>
      <c r="M17" s="679">
        <f t="shared" si="2"/>
        <v>0</v>
      </c>
      <c r="N17" s="678">
        <v>0</v>
      </c>
      <c r="O17" s="678">
        <v>0</v>
      </c>
      <c r="P17" s="678">
        <v>0</v>
      </c>
      <c r="Q17" s="678">
        <v>0</v>
      </c>
      <c r="R17" s="681">
        <v>0</v>
      </c>
      <c r="S17" s="680"/>
      <c r="T17" s="680"/>
      <c r="U17" s="680"/>
      <c r="V17" s="678">
        <v>0</v>
      </c>
    </row>
    <row r="18" spans="1:22">
      <c r="A18" s="556">
        <v>9</v>
      </c>
      <c r="B18" s="555" t="s">
        <v>535</v>
      </c>
      <c r="C18" s="679">
        <f t="shared" si="0"/>
        <v>4228693.1223999998</v>
      </c>
      <c r="D18" s="684">
        <v>4170874.36</v>
      </c>
      <c r="E18" s="684">
        <v>54813.7624</v>
      </c>
      <c r="F18" s="678">
        <v>3005</v>
      </c>
      <c r="G18" s="684">
        <v>0</v>
      </c>
      <c r="H18" s="679">
        <f t="shared" si="1"/>
        <v>4250518.7551830383</v>
      </c>
      <c r="I18" s="678">
        <v>4191203.6156556997</v>
      </c>
      <c r="J18" s="678">
        <v>55405.577145151547</v>
      </c>
      <c r="K18" s="678">
        <v>3909.5623821864315</v>
      </c>
      <c r="L18" s="684">
        <v>0</v>
      </c>
      <c r="M18" s="679">
        <f t="shared" si="2"/>
        <v>71146.79109726577</v>
      </c>
      <c r="N18" s="684">
        <v>52971.437918876691</v>
      </c>
      <c r="O18" s="684">
        <v>14870.570787654933</v>
      </c>
      <c r="P18" s="684">
        <v>3304.7823907341462</v>
      </c>
      <c r="Q18" s="684">
        <v>0</v>
      </c>
      <c r="R18" s="685">
        <v>1522</v>
      </c>
      <c r="S18" s="680">
        <v>3.9380664841480839E-2</v>
      </c>
      <c r="T18" s="680">
        <v>5.0030280228902067E-2</v>
      </c>
      <c r="U18" s="686">
        <v>0.06</v>
      </c>
      <c r="V18" s="684">
        <v>47.305525000000003</v>
      </c>
    </row>
    <row r="19" spans="1:22">
      <c r="A19" s="554">
        <v>10</v>
      </c>
      <c r="B19" s="553" t="s">
        <v>546</v>
      </c>
      <c r="C19" s="679">
        <f>SUM(C7:C13)+C17+C18</f>
        <v>1269806505.5380003</v>
      </c>
      <c r="D19" s="679">
        <f t="shared" ref="D19:G19" si="5">SUM(D7:D13)+D17+D18</f>
        <v>1207218928.6401</v>
      </c>
      <c r="E19" s="679">
        <f t="shared" si="5"/>
        <v>54803493.027399883</v>
      </c>
      <c r="F19" s="679">
        <f t="shared" si="5"/>
        <v>7619155.9304999989</v>
      </c>
      <c r="G19" s="679">
        <f t="shared" si="5"/>
        <v>164927.94</v>
      </c>
      <c r="H19" s="679">
        <f>SUM(H7:H13)+H17+H18</f>
        <v>1266635067.7166278</v>
      </c>
      <c r="I19" s="679">
        <f t="shared" ref="I19:L19" si="6">SUM(I7:I13)+I17+I18</f>
        <v>1198270695.4205434</v>
      </c>
      <c r="J19" s="679">
        <f t="shared" si="6"/>
        <v>57460444.762025066</v>
      </c>
      <c r="K19" s="679">
        <f t="shared" si="6"/>
        <v>10737884.45405907</v>
      </c>
      <c r="L19" s="679">
        <f t="shared" si="6"/>
        <v>166043.08000000002</v>
      </c>
      <c r="M19" s="679">
        <f>SUM(M7:M13)+M17+M18</f>
        <v>30595579.122805595</v>
      </c>
      <c r="N19" s="679">
        <f t="shared" ref="N19:R19" si="7">SUM(N7:N13)+N17+N18</f>
        <v>12639817.006644463</v>
      </c>
      <c r="O19" s="679">
        <f t="shared" si="7"/>
        <v>8862490.5481629223</v>
      </c>
      <c r="P19" s="679">
        <f t="shared" si="7"/>
        <v>9081228.1348309424</v>
      </c>
      <c r="Q19" s="679">
        <f t="shared" si="7"/>
        <v>12043.433167267109</v>
      </c>
      <c r="R19" s="679">
        <f t="shared" si="7"/>
        <v>485427</v>
      </c>
      <c r="S19" s="683">
        <v>0.21129999999999999</v>
      </c>
      <c r="T19" s="683">
        <v>0.31940000000000002</v>
      </c>
      <c r="U19" s="815">
        <v>0.20744408261876149</v>
      </c>
      <c r="V19" s="687">
        <v>41.99</v>
      </c>
    </row>
    <row r="20" spans="1:22" ht="24">
      <c r="A20" s="552">
        <v>10.1</v>
      </c>
      <c r="B20" s="551" t="s">
        <v>550</v>
      </c>
      <c r="C20" s="679">
        <f>SUM(D20:G20)</f>
        <v>971287.85</v>
      </c>
      <c r="D20" s="681">
        <v>962896.12</v>
      </c>
      <c r="E20" s="681">
        <v>3829.2000000000003</v>
      </c>
      <c r="F20" s="681">
        <v>4562.53</v>
      </c>
      <c r="G20" s="681"/>
      <c r="H20" s="679">
        <f>SUM(I20:L20)</f>
        <v>966967.22538562515</v>
      </c>
      <c r="I20" s="681">
        <v>957565.73686889128</v>
      </c>
      <c r="J20" s="681">
        <v>3814.8923517528101</v>
      </c>
      <c r="K20" s="681">
        <v>5586.5961649810697</v>
      </c>
      <c r="L20" s="681"/>
      <c r="M20" s="679">
        <f>SUM(N20:Q20)</f>
        <v>16079.44454641789</v>
      </c>
      <c r="N20" s="681">
        <v>10882.318213701243</v>
      </c>
      <c r="O20" s="681">
        <v>411.87049420089693</v>
      </c>
      <c r="P20" s="681">
        <v>4785.2558385157499</v>
      </c>
      <c r="Q20" s="681"/>
      <c r="R20" s="681">
        <v>493</v>
      </c>
      <c r="S20" s="688">
        <v>0.27660000000000001</v>
      </c>
      <c r="T20" s="688">
        <v>0.36020000000000002</v>
      </c>
      <c r="U20" s="688">
        <v>0.24110000000000001</v>
      </c>
      <c r="V20" s="689">
        <v>29.68</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69"/>
  <sheetViews>
    <sheetView topLeftCell="A46" zoomScale="80" zoomScaleNormal="80" workbookViewId="0">
      <selection activeCell="F34" sqref="F34"/>
    </sheetView>
  </sheetViews>
  <sheetFormatPr defaultRowHeight="14.4"/>
  <cols>
    <col min="1" max="1" width="8.77734375" style="417"/>
    <col min="2" max="2" width="69.21875" style="418" customWidth="1"/>
    <col min="3" max="3" width="13.6640625" customWidth="1"/>
    <col min="4" max="4" width="14.44140625" customWidth="1"/>
    <col min="5" max="5" width="16.33203125" bestFit="1" customWidth="1"/>
    <col min="6" max="6" width="16.44140625" bestFit="1" customWidth="1"/>
    <col min="7" max="7" width="13.21875" customWidth="1"/>
    <col min="8" max="8" width="16.33203125" bestFit="1" customWidth="1"/>
  </cols>
  <sheetData>
    <row r="1" spans="1:8" s="5" customFormat="1" ht="13.8">
      <c r="A1" s="2" t="s">
        <v>30</v>
      </c>
      <c r="B1" s="3" t="str">
        <f>'Info '!C2</f>
        <v>JSC "CREDOBANK"</v>
      </c>
      <c r="C1" s="3"/>
      <c r="D1" s="4"/>
      <c r="E1" s="4"/>
      <c r="F1" s="4"/>
      <c r="G1" s="4"/>
    </row>
    <row r="2" spans="1:8" s="5" customFormat="1" ht="13.8">
      <c r="A2" s="2" t="s">
        <v>31</v>
      </c>
      <c r="B2" s="336">
        <f>'1. key ratios '!B2</f>
        <v>45199</v>
      </c>
      <c r="C2" s="3"/>
      <c r="D2" s="4"/>
      <c r="E2" s="4"/>
      <c r="F2" s="4"/>
      <c r="G2" s="4"/>
    </row>
    <row r="3" spans="1:8" s="5" customFormat="1" ht="13.8">
      <c r="A3" s="2"/>
      <c r="B3" s="3"/>
      <c r="C3" s="3"/>
      <c r="D3" s="4"/>
      <c r="E3" s="4"/>
      <c r="F3" s="4"/>
      <c r="G3" s="4"/>
    </row>
    <row r="4" spans="1:8" ht="21" customHeight="1">
      <c r="A4" s="701" t="s">
        <v>6</v>
      </c>
      <c r="B4" s="702" t="s">
        <v>557</v>
      </c>
      <c r="C4" s="704" t="s">
        <v>558</v>
      </c>
      <c r="D4" s="704"/>
      <c r="E4" s="704"/>
      <c r="F4" s="704" t="s">
        <v>559</v>
      </c>
      <c r="G4" s="704"/>
      <c r="H4" s="705"/>
    </row>
    <row r="5" spans="1:8" ht="21" customHeight="1">
      <c r="A5" s="701"/>
      <c r="B5" s="703"/>
      <c r="C5" s="387" t="s">
        <v>32</v>
      </c>
      <c r="D5" s="387" t="s">
        <v>33</v>
      </c>
      <c r="E5" s="387" t="s">
        <v>34</v>
      </c>
      <c r="F5" s="387" t="s">
        <v>32</v>
      </c>
      <c r="G5" s="387" t="s">
        <v>33</v>
      </c>
      <c r="H5" s="387" t="s">
        <v>34</v>
      </c>
    </row>
    <row r="6" spans="1:8" ht="26.55" customHeight="1">
      <c r="A6" s="701"/>
      <c r="B6" s="388" t="s">
        <v>560</v>
      </c>
      <c r="C6" s="706"/>
      <c r="D6" s="707"/>
      <c r="E6" s="707"/>
      <c r="F6" s="707"/>
      <c r="G6" s="707"/>
      <c r="H6" s="708"/>
    </row>
    <row r="7" spans="1:8" ht="22.95" customHeight="1">
      <c r="A7" s="389">
        <v>1</v>
      </c>
      <c r="B7" s="390" t="s">
        <v>561</v>
      </c>
      <c r="C7" s="602">
        <f>SUM(C8:C10)</f>
        <v>135626669.13999999</v>
      </c>
      <c r="D7" s="602">
        <f>SUM(D8:D10)</f>
        <v>180578895.10999998</v>
      </c>
      <c r="E7" s="603">
        <f>C7+D7</f>
        <v>316205564.25</v>
      </c>
      <c r="F7" s="602">
        <f>SUM(F8:F10)</f>
        <v>148180648.33000001</v>
      </c>
      <c r="G7" s="602">
        <f>SUM(G8:G10)</f>
        <v>103134089.25</v>
      </c>
      <c r="H7" s="603">
        <f>F7+G7</f>
        <v>251314737.58000001</v>
      </c>
    </row>
    <row r="8" spans="1:8">
      <c r="A8" s="389">
        <v>1.1000000000000001</v>
      </c>
      <c r="B8" s="391" t="s">
        <v>562</v>
      </c>
      <c r="C8" s="602">
        <v>50702564.299999997</v>
      </c>
      <c r="D8" s="602">
        <v>30831276.18</v>
      </c>
      <c r="E8" s="603">
        <f t="shared" ref="E8:E36" si="0">C8+D8</f>
        <v>81533840.479999989</v>
      </c>
      <c r="F8" s="602">
        <v>47299965.079999998</v>
      </c>
      <c r="G8" s="602">
        <v>18664160.799999997</v>
      </c>
      <c r="H8" s="603">
        <f t="shared" ref="H8:H36" si="1">F8+G8</f>
        <v>65964125.879999995</v>
      </c>
    </row>
    <row r="9" spans="1:8">
      <c r="A9" s="389">
        <v>1.2</v>
      </c>
      <c r="B9" s="391" t="s">
        <v>563</v>
      </c>
      <c r="C9" s="602">
        <v>82279199.549999997</v>
      </c>
      <c r="D9" s="602">
        <v>44022955.329999998</v>
      </c>
      <c r="E9" s="603">
        <f t="shared" si="0"/>
        <v>126302154.88</v>
      </c>
      <c r="F9" s="602">
        <v>99096863.730000004</v>
      </c>
      <c r="G9" s="602">
        <v>25736473.450000003</v>
      </c>
      <c r="H9" s="603">
        <f t="shared" si="1"/>
        <v>124833337.18000001</v>
      </c>
    </row>
    <row r="10" spans="1:8">
      <c r="A10" s="389">
        <v>1.3</v>
      </c>
      <c r="B10" s="391" t="s">
        <v>564</v>
      </c>
      <c r="C10" s="602">
        <v>2644905.29</v>
      </c>
      <c r="D10" s="602">
        <v>105724663.59999999</v>
      </c>
      <c r="E10" s="603">
        <f t="shared" si="0"/>
        <v>108369568.89</v>
      </c>
      <c r="F10" s="602">
        <v>1783819.52</v>
      </c>
      <c r="G10" s="602">
        <v>58733455.000000007</v>
      </c>
      <c r="H10" s="603">
        <f t="shared" si="1"/>
        <v>60517274.520000011</v>
      </c>
    </row>
    <row r="11" spans="1:8">
      <c r="A11" s="389">
        <v>2</v>
      </c>
      <c r="B11" s="392" t="s">
        <v>565</v>
      </c>
      <c r="C11" s="602"/>
      <c r="D11" s="602"/>
      <c r="E11" s="603">
        <f t="shared" si="0"/>
        <v>0</v>
      </c>
      <c r="F11" s="602"/>
      <c r="G11" s="602"/>
      <c r="H11" s="603">
        <f t="shared" si="1"/>
        <v>0</v>
      </c>
    </row>
    <row r="12" spans="1:8">
      <c r="A12" s="389">
        <v>2.1</v>
      </c>
      <c r="B12" s="393" t="s">
        <v>566</v>
      </c>
      <c r="C12" s="602"/>
      <c r="D12" s="602"/>
      <c r="E12" s="603">
        <f t="shared" si="0"/>
        <v>0</v>
      </c>
      <c r="F12" s="602"/>
      <c r="G12" s="602"/>
      <c r="H12" s="603">
        <f t="shared" si="1"/>
        <v>0</v>
      </c>
    </row>
    <row r="13" spans="1:8" ht="26.55" customHeight="1">
      <c r="A13" s="389">
        <v>3</v>
      </c>
      <c r="B13" s="394" t="s">
        <v>567</v>
      </c>
      <c r="C13" s="602">
        <v>757847.93</v>
      </c>
      <c r="D13" s="602"/>
      <c r="E13" s="603">
        <f t="shared" si="0"/>
        <v>757847.93</v>
      </c>
      <c r="F13" s="602">
        <v>84300</v>
      </c>
      <c r="G13" s="602"/>
      <c r="H13" s="603">
        <f t="shared" si="1"/>
        <v>84300</v>
      </c>
    </row>
    <row r="14" spans="1:8" ht="26.55" customHeight="1">
      <c r="A14" s="389">
        <v>4</v>
      </c>
      <c r="B14" s="395" t="s">
        <v>568</v>
      </c>
      <c r="C14" s="385"/>
      <c r="D14" s="385"/>
      <c r="E14" s="603">
        <f t="shared" si="0"/>
        <v>0</v>
      </c>
      <c r="F14" s="385"/>
      <c r="G14" s="385"/>
      <c r="H14" s="603">
        <f t="shared" si="1"/>
        <v>0</v>
      </c>
    </row>
    <row r="15" spans="1:8" ht="24.45" customHeight="1">
      <c r="A15" s="389">
        <v>5</v>
      </c>
      <c r="B15" s="396" t="s">
        <v>569</v>
      </c>
      <c r="C15" s="397">
        <f>SUM(C16:C18)</f>
        <v>0</v>
      </c>
      <c r="D15" s="397">
        <f>SUM(D16:D18)</f>
        <v>0</v>
      </c>
      <c r="E15" s="604">
        <f t="shared" si="0"/>
        <v>0</v>
      </c>
      <c r="F15" s="397">
        <f>SUM(F16:F18)</f>
        <v>0</v>
      </c>
      <c r="G15" s="397">
        <f>SUM(G16:G18)</f>
        <v>0</v>
      </c>
      <c r="H15" s="604">
        <f t="shared" si="1"/>
        <v>0</v>
      </c>
    </row>
    <row r="16" spans="1:8">
      <c r="A16" s="389">
        <v>5.0999999999999996</v>
      </c>
      <c r="B16" s="398" t="s">
        <v>570</v>
      </c>
      <c r="C16" s="385"/>
      <c r="D16" s="385"/>
      <c r="E16" s="603">
        <f t="shared" si="0"/>
        <v>0</v>
      </c>
      <c r="F16" s="385"/>
      <c r="G16" s="385"/>
      <c r="H16" s="603">
        <f t="shared" si="1"/>
        <v>0</v>
      </c>
    </row>
    <row r="17" spans="1:8">
      <c r="A17" s="389">
        <v>5.2</v>
      </c>
      <c r="B17" s="398" t="s">
        <v>571</v>
      </c>
      <c r="C17" s="385"/>
      <c r="D17" s="385"/>
      <c r="E17" s="603">
        <f t="shared" si="0"/>
        <v>0</v>
      </c>
      <c r="F17" s="385"/>
      <c r="G17" s="385"/>
      <c r="H17" s="603">
        <f t="shared" si="1"/>
        <v>0</v>
      </c>
    </row>
    <row r="18" spans="1:8">
      <c r="A18" s="389">
        <v>5.3</v>
      </c>
      <c r="B18" s="399" t="s">
        <v>572</v>
      </c>
      <c r="C18" s="385"/>
      <c r="D18" s="385"/>
      <c r="E18" s="603">
        <f t="shared" si="0"/>
        <v>0</v>
      </c>
      <c r="F18" s="385"/>
      <c r="G18" s="385"/>
      <c r="H18" s="603">
        <f t="shared" si="1"/>
        <v>0</v>
      </c>
    </row>
    <row r="19" spans="1:8">
      <c r="A19" s="389">
        <v>6</v>
      </c>
      <c r="B19" s="394" t="s">
        <v>573</v>
      </c>
      <c r="C19" s="602">
        <f>SUM(C20:C21)</f>
        <v>1729131795.5278244</v>
      </c>
      <c r="D19" s="602">
        <f>SUM(D20:D21)</f>
        <v>196075685</v>
      </c>
      <c r="E19" s="603">
        <f t="shared" si="0"/>
        <v>1925207480.5278244</v>
      </c>
      <c r="F19" s="602">
        <f>SUM(F20:F21)</f>
        <v>1528268236.249855</v>
      </c>
      <c r="G19" s="602">
        <f>SUM(G20:G21)</f>
        <v>165288006</v>
      </c>
      <c r="H19" s="603">
        <f t="shared" si="1"/>
        <v>1693556242.249855</v>
      </c>
    </row>
    <row r="20" spans="1:8">
      <c r="A20" s="389">
        <v>6.1</v>
      </c>
      <c r="B20" s="398" t="s">
        <v>571</v>
      </c>
      <c r="C20" s="602">
        <v>48483957.209999993</v>
      </c>
      <c r="D20" s="602"/>
      <c r="E20" s="603">
        <f t="shared" si="0"/>
        <v>48483957.209999993</v>
      </c>
      <c r="F20" s="602">
        <v>48469550.079999998</v>
      </c>
      <c r="G20" s="602"/>
      <c r="H20" s="603">
        <f t="shared" si="1"/>
        <v>48469550.079999998</v>
      </c>
    </row>
    <row r="21" spans="1:8">
      <c r="A21" s="389">
        <v>6.2</v>
      </c>
      <c r="B21" s="399" t="s">
        <v>572</v>
      </c>
      <c r="C21" s="602">
        <v>1680647838.3178244</v>
      </c>
      <c r="D21" s="602">
        <v>196075685</v>
      </c>
      <c r="E21" s="603">
        <f t="shared" si="0"/>
        <v>1876723523.3178244</v>
      </c>
      <c r="F21" s="602">
        <v>1479798686.1698551</v>
      </c>
      <c r="G21" s="602">
        <v>165288006</v>
      </c>
      <c r="H21" s="603">
        <f t="shared" si="1"/>
        <v>1645086692.1698551</v>
      </c>
    </row>
    <row r="22" spans="1:8">
      <c r="A22" s="389">
        <v>7</v>
      </c>
      <c r="B22" s="392" t="s">
        <v>574</v>
      </c>
      <c r="C22" s="385"/>
      <c r="D22" s="385"/>
      <c r="E22" s="603">
        <f t="shared" si="0"/>
        <v>0</v>
      </c>
      <c r="F22" s="385"/>
      <c r="G22" s="385"/>
      <c r="H22" s="603">
        <f t="shared" si="1"/>
        <v>0</v>
      </c>
    </row>
    <row r="23" spans="1:8">
      <c r="A23" s="389">
        <v>8</v>
      </c>
      <c r="B23" s="400" t="s">
        <v>575</v>
      </c>
      <c r="C23" s="385"/>
      <c r="D23" s="385"/>
      <c r="E23" s="603">
        <f t="shared" si="0"/>
        <v>0</v>
      </c>
      <c r="F23" s="385"/>
      <c r="G23" s="385"/>
      <c r="H23" s="603">
        <f t="shared" si="1"/>
        <v>0</v>
      </c>
    </row>
    <row r="24" spans="1:8">
      <c r="A24" s="389">
        <v>9</v>
      </c>
      <c r="B24" s="395" t="s">
        <v>576</v>
      </c>
      <c r="C24" s="602">
        <f>SUM(C25:C26)</f>
        <v>40004854.700000018</v>
      </c>
      <c r="D24" s="385">
        <f>SUM(D25:D26)</f>
        <v>0</v>
      </c>
      <c r="E24" s="603">
        <f t="shared" si="0"/>
        <v>40004854.700000018</v>
      </c>
      <c r="F24" s="602">
        <f>SUM(F25:F26)</f>
        <v>26617658.289999999</v>
      </c>
      <c r="G24" s="385">
        <f>SUM(G25:G26)</f>
        <v>0</v>
      </c>
      <c r="H24" s="603">
        <f t="shared" si="1"/>
        <v>26617658.289999999</v>
      </c>
    </row>
    <row r="25" spans="1:8">
      <c r="A25" s="389">
        <v>9.1</v>
      </c>
      <c r="B25" s="398" t="s">
        <v>577</v>
      </c>
      <c r="C25" s="602">
        <v>40004854.700000018</v>
      </c>
      <c r="D25" s="385"/>
      <c r="E25" s="603">
        <f t="shared" si="0"/>
        <v>40004854.700000018</v>
      </c>
      <c r="F25" s="602">
        <v>26617658.289999999</v>
      </c>
      <c r="G25" s="385"/>
      <c r="H25" s="603">
        <f t="shared" si="1"/>
        <v>26617658.289999999</v>
      </c>
    </row>
    <row r="26" spans="1:8">
      <c r="A26" s="389">
        <v>9.1999999999999993</v>
      </c>
      <c r="B26" s="398" t="s">
        <v>578</v>
      </c>
      <c r="C26" s="385"/>
      <c r="D26" s="385"/>
      <c r="E26" s="603">
        <f t="shared" si="0"/>
        <v>0</v>
      </c>
      <c r="F26" s="385"/>
      <c r="G26" s="385"/>
      <c r="H26" s="603">
        <f t="shared" si="1"/>
        <v>0</v>
      </c>
    </row>
    <row r="27" spans="1:8">
      <c r="A27" s="389">
        <v>10</v>
      </c>
      <c r="B27" s="395" t="s">
        <v>579</v>
      </c>
      <c r="C27" s="602">
        <f>SUM(C28:C29)</f>
        <v>18631862.960000001</v>
      </c>
      <c r="D27" s="385">
        <f>SUM(D28:D29)</f>
        <v>0</v>
      </c>
      <c r="E27" s="603">
        <f t="shared" si="0"/>
        <v>18631862.960000001</v>
      </c>
      <c r="F27" s="602">
        <f>SUM(F28:F29)</f>
        <v>16990392.250000007</v>
      </c>
      <c r="G27" s="385">
        <f>SUM(G28:G29)</f>
        <v>0</v>
      </c>
      <c r="H27" s="603">
        <f t="shared" si="1"/>
        <v>16990392.250000007</v>
      </c>
    </row>
    <row r="28" spans="1:8">
      <c r="A28" s="389">
        <v>10.1</v>
      </c>
      <c r="B28" s="398" t="s">
        <v>580</v>
      </c>
      <c r="C28" s="602"/>
      <c r="D28" s="385"/>
      <c r="E28" s="603">
        <f t="shared" si="0"/>
        <v>0</v>
      </c>
      <c r="F28" s="602"/>
      <c r="G28" s="385"/>
      <c r="H28" s="603">
        <f t="shared" si="1"/>
        <v>0</v>
      </c>
    </row>
    <row r="29" spans="1:8">
      <c r="A29" s="389">
        <v>10.199999999999999</v>
      </c>
      <c r="B29" s="398" t="s">
        <v>581</v>
      </c>
      <c r="C29" s="602">
        <v>18631862.960000001</v>
      </c>
      <c r="D29" s="385"/>
      <c r="E29" s="603">
        <f t="shared" si="0"/>
        <v>18631862.960000001</v>
      </c>
      <c r="F29" s="602">
        <v>16990392.250000007</v>
      </c>
      <c r="G29" s="385"/>
      <c r="H29" s="603">
        <f t="shared" si="1"/>
        <v>16990392.250000007</v>
      </c>
    </row>
    <row r="30" spans="1:8">
      <c r="A30" s="389">
        <v>11</v>
      </c>
      <c r="B30" s="395" t="s">
        <v>582</v>
      </c>
      <c r="C30" s="602">
        <f>SUM(C31:C32)</f>
        <v>1747044.9600000028</v>
      </c>
      <c r="D30" s="385">
        <f>SUM(D31:D32)</f>
        <v>0</v>
      </c>
      <c r="E30" s="603">
        <f t="shared" si="0"/>
        <v>1747044.9600000028</v>
      </c>
      <c r="F30" s="602">
        <f>SUM(F31:F32)</f>
        <v>8144320.4700000007</v>
      </c>
      <c r="G30" s="385">
        <f>SUM(G31:G32)</f>
        <v>0</v>
      </c>
      <c r="H30" s="603">
        <f t="shared" si="1"/>
        <v>8144320.4700000007</v>
      </c>
    </row>
    <row r="31" spans="1:8">
      <c r="A31" s="389">
        <v>11.1</v>
      </c>
      <c r="B31" s="398" t="s">
        <v>583</v>
      </c>
      <c r="C31" s="602">
        <v>1747044.9600000028</v>
      </c>
      <c r="D31" s="385"/>
      <c r="E31" s="603">
        <f t="shared" si="0"/>
        <v>1747044.9600000028</v>
      </c>
      <c r="F31" s="602">
        <v>8144320.4700000007</v>
      </c>
      <c r="G31" s="385"/>
      <c r="H31" s="603">
        <f t="shared" si="1"/>
        <v>8144320.4700000007</v>
      </c>
    </row>
    <row r="32" spans="1:8">
      <c r="A32" s="389">
        <v>11.2</v>
      </c>
      <c r="B32" s="398" t="s">
        <v>584</v>
      </c>
      <c r="C32" s="385"/>
      <c r="D32" s="385"/>
      <c r="E32" s="603">
        <f t="shared" si="0"/>
        <v>0</v>
      </c>
      <c r="F32" s="385"/>
      <c r="G32" s="385"/>
      <c r="H32" s="603">
        <f t="shared" si="1"/>
        <v>0</v>
      </c>
    </row>
    <row r="33" spans="1:8">
      <c r="A33" s="389">
        <v>13</v>
      </c>
      <c r="B33" s="395" t="s">
        <v>585</v>
      </c>
      <c r="C33" s="602">
        <v>33547769</v>
      </c>
      <c r="D33" s="602">
        <v>2962718</v>
      </c>
      <c r="E33" s="603">
        <f t="shared" si="0"/>
        <v>36510487</v>
      </c>
      <c r="F33" s="602">
        <v>26726974.02</v>
      </c>
      <c r="G33" s="602">
        <v>7628900.8699999982</v>
      </c>
      <c r="H33" s="603">
        <f t="shared" si="1"/>
        <v>34355874.890000001</v>
      </c>
    </row>
    <row r="34" spans="1:8">
      <c r="A34" s="389">
        <v>13.1</v>
      </c>
      <c r="B34" s="401" t="s">
        <v>586</v>
      </c>
      <c r="C34" s="602">
        <v>11082036</v>
      </c>
      <c r="D34" s="602"/>
      <c r="E34" s="603">
        <f t="shared" si="0"/>
        <v>11082036</v>
      </c>
      <c r="F34" s="602">
        <v>5099483</v>
      </c>
      <c r="G34" s="602"/>
      <c r="H34" s="603">
        <f t="shared" si="1"/>
        <v>5099483</v>
      </c>
    </row>
    <row r="35" spans="1:8">
      <c r="A35" s="389">
        <v>13.2</v>
      </c>
      <c r="B35" s="401" t="s">
        <v>587</v>
      </c>
      <c r="C35" s="385"/>
      <c r="D35" s="385"/>
      <c r="E35" s="603">
        <f t="shared" si="0"/>
        <v>0</v>
      </c>
      <c r="F35" s="385"/>
      <c r="G35" s="385"/>
      <c r="H35" s="603">
        <f t="shared" si="1"/>
        <v>0</v>
      </c>
    </row>
    <row r="36" spans="1:8">
      <c r="A36" s="389">
        <v>14</v>
      </c>
      <c r="B36" s="402" t="s">
        <v>588</v>
      </c>
      <c r="C36" s="602">
        <f>SUM(C7,C11,C13,C14,C15,C19,C22,C23,C24,C27,C30,C33)</f>
        <v>1959447844.2178245</v>
      </c>
      <c r="D36" s="602">
        <f>SUM(D7,D11,D13,D14,D15,D19,D22,D23,D24,D27,D30,D33)</f>
        <v>379617298.11000001</v>
      </c>
      <c r="E36" s="603">
        <f t="shared" si="0"/>
        <v>2339065142.3278246</v>
      </c>
      <c r="F36" s="602">
        <f>SUM(F7,F11,F13,F14,F15,F19,F22,F23,F24,F27,F30,F33)</f>
        <v>1755012529.6098549</v>
      </c>
      <c r="G36" s="602">
        <f>SUM(G7,G11,G13,G14,G15,G19,G22,G23,G24,G27,G30,G33)</f>
        <v>276050996.12</v>
      </c>
      <c r="H36" s="603">
        <f t="shared" si="1"/>
        <v>2031063525.7298551</v>
      </c>
    </row>
    <row r="37" spans="1:8" ht="22.5" customHeight="1">
      <c r="A37" s="389"/>
      <c r="B37" s="403" t="s">
        <v>589</v>
      </c>
      <c r="C37" s="706"/>
      <c r="D37" s="707"/>
      <c r="E37" s="707"/>
      <c r="F37" s="707"/>
      <c r="G37" s="707"/>
      <c r="H37" s="708"/>
    </row>
    <row r="38" spans="1:8">
      <c r="A38" s="389">
        <v>15</v>
      </c>
      <c r="B38" s="404" t="s">
        <v>590</v>
      </c>
      <c r="C38" s="605"/>
      <c r="D38" s="605"/>
      <c r="E38" s="606">
        <f>C38+D38</f>
        <v>0</v>
      </c>
      <c r="F38" s="605"/>
      <c r="G38" s="605"/>
      <c r="H38" s="606">
        <f>F38+G38</f>
        <v>0</v>
      </c>
    </row>
    <row r="39" spans="1:8">
      <c r="A39" s="405">
        <v>15.1</v>
      </c>
      <c r="B39" s="406" t="s">
        <v>566</v>
      </c>
      <c r="C39" s="605"/>
      <c r="D39" s="605"/>
      <c r="E39" s="606">
        <f t="shared" ref="E39:E53" si="2">C39+D39</f>
        <v>0</v>
      </c>
      <c r="F39" s="605"/>
      <c r="G39" s="605"/>
      <c r="H39" s="606">
        <f t="shared" ref="H39:H53" si="3">F39+G39</f>
        <v>0</v>
      </c>
    </row>
    <row r="40" spans="1:8" ht="24" customHeight="1">
      <c r="A40" s="405">
        <v>16</v>
      </c>
      <c r="B40" s="392" t="s">
        <v>591</v>
      </c>
      <c r="C40" s="605">
        <v>276111.98</v>
      </c>
      <c r="D40" s="605"/>
      <c r="E40" s="606">
        <f t="shared" si="2"/>
        <v>276111.98</v>
      </c>
      <c r="F40" s="605">
        <v>2172117</v>
      </c>
      <c r="G40" s="605"/>
      <c r="H40" s="606">
        <f t="shared" si="3"/>
        <v>2172117</v>
      </c>
    </row>
    <row r="41" spans="1:8">
      <c r="A41" s="405">
        <v>17</v>
      </c>
      <c r="B41" s="392" t="s">
        <v>592</v>
      </c>
      <c r="C41" s="605">
        <f>SUM(C42:C45)</f>
        <v>1380210216.1099999</v>
      </c>
      <c r="D41" s="605">
        <f>SUM(D42:D45)</f>
        <v>519978626.59302485</v>
      </c>
      <c r="E41" s="606">
        <f t="shared" si="2"/>
        <v>1900188842.7030249</v>
      </c>
      <c r="F41" s="605">
        <f>SUM(F42:F45)</f>
        <v>1251606560.1099999</v>
      </c>
      <c r="G41" s="605">
        <f>SUM(G42:G45)</f>
        <v>400508928.45000011</v>
      </c>
      <c r="H41" s="606">
        <f t="shared" si="3"/>
        <v>1652115488.5599999</v>
      </c>
    </row>
    <row r="42" spans="1:8">
      <c r="A42" s="405">
        <v>17.100000000000001</v>
      </c>
      <c r="B42" s="407" t="s">
        <v>593</v>
      </c>
      <c r="C42" s="605">
        <v>562405092</v>
      </c>
      <c r="D42" s="605">
        <v>231011156</v>
      </c>
      <c r="E42" s="606">
        <f t="shared" si="2"/>
        <v>793416248</v>
      </c>
      <c r="F42" s="605">
        <v>407285315.65000004</v>
      </c>
      <c r="G42" s="605">
        <v>159196557.98000005</v>
      </c>
      <c r="H42" s="606">
        <f t="shared" si="3"/>
        <v>566481873.63000011</v>
      </c>
    </row>
    <row r="43" spans="1:8">
      <c r="A43" s="405">
        <v>17.2</v>
      </c>
      <c r="B43" s="408" t="s">
        <v>594</v>
      </c>
      <c r="C43" s="605">
        <v>806970771</v>
      </c>
      <c r="D43" s="605">
        <v>282979935.20302486</v>
      </c>
      <c r="E43" s="606">
        <f t="shared" si="2"/>
        <v>1089950706.2030249</v>
      </c>
      <c r="F43" s="605">
        <v>835934744.38999999</v>
      </c>
      <c r="G43" s="605">
        <v>238512027.17000002</v>
      </c>
      <c r="H43" s="606">
        <f t="shared" si="3"/>
        <v>1074446771.5599999</v>
      </c>
    </row>
    <row r="44" spans="1:8">
      <c r="A44" s="405">
        <v>17.3</v>
      </c>
      <c r="B44" s="407" t="s">
        <v>595</v>
      </c>
      <c r="C44" s="605"/>
      <c r="D44" s="605"/>
      <c r="E44" s="606">
        <f t="shared" si="2"/>
        <v>0</v>
      </c>
      <c r="F44" s="605"/>
      <c r="G44" s="605"/>
      <c r="H44" s="606">
        <f t="shared" si="3"/>
        <v>0</v>
      </c>
    </row>
    <row r="45" spans="1:8">
      <c r="A45" s="405">
        <v>17.399999999999999</v>
      </c>
      <c r="B45" s="407" t="s">
        <v>596</v>
      </c>
      <c r="C45" s="605">
        <v>10834353.109999999</v>
      </c>
      <c r="D45" s="605">
        <v>5987535.3899999997</v>
      </c>
      <c r="E45" s="606">
        <f t="shared" si="2"/>
        <v>16821888.5</v>
      </c>
      <c r="F45" s="605">
        <v>8386500.0700000003</v>
      </c>
      <c r="G45" s="605">
        <v>2800343.3</v>
      </c>
      <c r="H45" s="606">
        <f t="shared" si="3"/>
        <v>11186843.370000001</v>
      </c>
    </row>
    <row r="46" spans="1:8">
      <c r="A46" s="405">
        <v>18</v>
      </c>
      <c r="B46" s="395" t="s">
        <v>597</v>
      </c>
      <c r="C46" s="605"/>
      <c r="D46" s="605"/>
      <c r="E46" s="606">
        <f t="shared" si="2"/>
        <v>0</v>
      </c>
      <c r="F46" s="605"/>
      <c r="G46" s="605"/>
      <c r="H46" s="606">
        <f t="shared" si="3"/>
        <v>0</v>
      </c>
    </row>
    <row r="47" spans="1:8">
      <c r="A47" s="405">
        <v>19</v>
      </c>
      <c r="B47" s="395" t="s">
        <v>598</v>
      </c>
      <c r="C47" s="605">
        <f>SUM(C48:C49)</f>
        <v>2365519.34</v>
      </c>
      <c r="D47" s="605">
        <f>SUM(D48:D49)</f>
        <v>0</v>
      </c>
      <c r="E47" s="606">
        <f t="shared" si="2"/>
        <v>2365519.34</v>
      </c>
      <c r="F47" s="605">
        <f>SUM(F48:F49)</f>
        <v>8596134.8599999994</v>
      </c>
      <c r="G47" s="605">
        <f>SUM(G48:G49)</f>
        <v>0</v>
      </c>
      <c r="H47" s="606">
        <f t="shared" si="3"/>
        <v>8596134.8599999994</v>
      </c>
    </row>
    <row r="48" spans="1:8">
      <c r="A48" s="405">
        <v>19.100000000000001</v>
      </c>
      <c r="B48" s="409" t="s">
        <v>599</v>
      </c>
      <c r="C48" s="605"/>
      <c r="D48" s="605"/>
      <c r="E48" s="606">
        <f t="shared" si="2"/>
        <v>0</v>
      </c>
      <c r="F48" s="605">
        <v>7201751.6999999993</v>
      </c>
      <c r="G48" s="605"/>
      <c r="H48" s="606">
        <f t="shared" si="3"/>
        <v>7201751.6999999993</v>
      </c>
    </row>
    <row r="49" spans="1:8">
      <c r="A49" s="405">
        <v>19.2</v>
      </c>
      <c r="B49" s="410" t="s">
        <v>600</v>
      </c>
      <c r="C49" s="605">
        <v>2365519.34</v>
      </c>
      <c r="D49" s="605"/>
      <c r="E49" s="606">
        <f t="shared" si="2"/>
        <v>2365519.34</v>
      </c>
      <c r="F49" s="605">
        <v>1394383.1600000001</v>
      </c>
      <c r="G49" s="605"/>
      <c r="H49" s="606">
        <f t="shared" si="3"/>
        <v>1394383.1600000001</v>
      </c>
    </row>
    <row r="50" spans="1:8">
      <c r="A50" s="405">
        <v>20</v>
      </c>
      <c r="B50" s="411" t="s">
        <v>601</v>
      </c>
      <c r="C50" s="605">
        <v>62672849</v>
      </c>
      <c r="D50" s="605">
        <v>42932941.559730008</v>
      </c>
      <c r="E50" s="606">
        <f t="shared" si="2"/>
        <v>105605790.55973001</v>
      </c>
      <c r="F50" s="605">
        <v>62619926.82</v>
      </c>
      <c r="G50" s="605">
        <v>21452668.890000001</v>
      </c>
      <c r="H50" s="606">
        <f t="shared" si="3"/>
        <v>84072595.710000008</v>
      </c>
    </row>
    <row r="51" spans="1:8">
      <c r="A51" s="405">
        <v>21</v>
      </c>
      <c r="B51" s="400" t="s">
        <v>602</v>
      </c>
      <c r="C51" s="605">
        <v>35821666</v>
      </c>
      <c r="D51" s="605">
        <v>2594167.6499999985</v>
      </c>
      <c r="E51" s="606">
        <f t="shared" si="2"/>
        <v>38415833.649999999</v>
      </c>
      <c r="F51" s="605">
        <v>30987091.460000012</v>
      </c>
      <c r="G51" s="605">
        <v>1535859.84</v>
      </c>
      <c r="H51" s="606">
        <f t="shared" si="3"/>
        <v>32522951.300000012</v>
      </c>
    </row>
    <row r="52" spans="1:8">
      <c r="A52" s="405">
        <v>21.1</v>
      </c>
      <c r="B52" s="408" t="s">
        <v>603</v>
      </c>
      <c r="C52" s="605"/>
      <c r="D52" s="605"/>
      <c r="E52" s="606">
        <f t="shared" si="2"/>
        <v>0</v>
      </c>
      <c r="F52" s="605"/>
      <c r="G52" s="605"/>
      <c r="H52" s="606">
        <f t="shared" si="3"/>
        <v>0</v>
      </c>
    </row>
    <row r="53" spans="1:8">
      <c r="A53" s="405">
        <v>22</v>
      </c>
      <c r="B53" s="412" t="s">
        <v>604</v>
      </c>
      <c r="C53" s="605">
        <f>SUM(C38,C40,C41,C46,C47,C50,C51)</f>
        <v>1481346362.4299998</v>
      </c>
      <c r="D53" s="605">
        <f>SUM(D38,D40,D41,D46,D47,D50,D51)</f>
        <v>565505735.80275488</v>
      </c>
      <c r="E53" s="606">
        <f t="shared" si="2"/>
        <v>2046852098.2327547</v>
      </c>
      <c r="F53" s="605">
        <f>SUM(F38,F40,F41,F46,F47,F50,F51)</f>
        <v>1355981830.2499998</v>
      </c>
      <c r="G53" s="605">
        <f>SUM(G38,G40,G41,G46,G47,G50,G51)</f>
        <v>423497457.18000007</v>
      </c>
      <c r="H53" s="606">
        <f t="shared" si="3"/>
        <v>1779479287.4299998</v>
      </c>
    </row>
    <row r="54" spans="1:8" ht="24" customHeight="1">
      <c r="A54" s="405"/>
      <c r="B54" s="413" t="s">
        <v>605</v>
      </c>
      <c r="C54" s="698"/>
      <c r="D54" s="699"/>
      <c r="E54" s="699"/>
      <c r="F54" s="699"/>
      <c r="G54" s="699"/>
      <c r="H54" s="700"/>
    </row>
    <row r="55" spans="1:8">
      <c r="A55" s="405">
        <v>23</v>
      </c>
      <c r="B55" s="411" t="s">
        <v>606</v>
      </c>
      <c r="C55" s="605">
        <v>5207180</v>
      </c>
      <c r="D55" s="605"/>
      <c r="E55" s="606">
        <f>C55+D55</f>
        <v>5207180</v>
      </c>
      <c r="F55" s="605">
        <v>5176780</v>
      </c>
      <c r="G55" s="605"/>
      <c r="H55" s="606">
        <f>F55+G55</f>
        <v>5176780</v>
      </c>
    </row>
    <row r="56" spans="1:8">
      <c r="A56" s="405">
        <v>24</v>
      </c>
      <c r="B56" s="411" t="s">
        <v>607</v>
      </c>
      <c r="C56" s="605"/>
      <c r="D56" s="605"/>
      <c r="E56" s="606">
        <f t="shared" ref="E56:E69" si="4">C56+D56</f>
        <v>0</v>
      </c>
      <c r="F56" s="605"/>
      <c r="G56" s="605"/>
      <c r="H56" s="606">
        <f t="shared" ref="H56:H69" si="5">F56+G56</f>
        <v>0</v>
      </c>
    </row>
    <row r="57" spans="1:8">
      <c r="A57" s="405">
        <v>25</v>
      </c>
      <c r="B57" s="395" t="s">
        <v>608</v>
      </c>
      <c r="C57" s="605">
        <v>36929894.049999997</v>
      </c>
      <c r="D57" s="605"/>
      <c r="E57" s="606">
        <f t="shared" si="4"/>
        <v>36929894.049999997</v>
      </c>
      <c r="F57" s="605">
        <v>35305300.5</v>
      </c>
      <c r="G57" s="605"/>
      <c r="H57" s="606">
        <f t="shared" si="5"/>
        <v>35305300.5</v>
      </c>
    </row>
    <row r="58" spans="1:8">
      <c r="A58" s="405">
        <v>26</v>
      </c>
      <c r="B58" s="395" t="s">
        <v>609</v>
      </c>
      <c r="C58" s="605"/>
      <c r="D58" s="605"/>
      <c r="E58" s="606">
        <f t="shared" si="4"/>
        <v>0</v>
      </c>
      <c r="F58" s="605"/>
      <c r="G58" s="605"/>
      <c r="H58" s="606">
        <f t="shared" si="5"/>
        <v>0</v>
      </c>
    </row>
    <row r="59" spans="1:8">
      <c r="A59" s="405">
        <v>27</v>
      </c>
      <c r="B59" s="395" t="s">
        <v>610</v>
      </c>
      <c r="C59" s="605">
        <f>SUM(C60:C61)</f>
        <v>0</v>
      </c>
      <c r="D59" s="605">
        <f>SUM(D60:D61)</f>
        <v>0</v>
      </c>
      <c r="E59" s="606">
        <f t="shared" si="4"/>
        <v>0</v>
      </c>
      <c r="F59" s="605"/>
      <c r="G59" s="605"/>
      <c r="H59" s="606">
        <f t="shared" si="5"/>
        <v>0</v>
      </c>
    </row>
    <row r="60" spans="1:8">
      <c r="A60" s="405">
        <v>27.1</v>
      </c>
      <c r="B60" s="407" t="s">
        <v>611</v>
      </c>
      <c r="C60" s="605"/>
      <c r="D60" s="605"/>
      <c r="E60" s="606">
        <f t="shared" si="4"/>
        <v>0</v>
      </c>
      <c r="F60" s="605"/>
      <c r="G60" s="605"/>
      <c r="H60" s="606">
        <f t="shared" si="5"/>
        <v>0</v>
      </c>
    </row>
    <row r="61" spans="1:8">
      <c r="A61" s="405">
        <v>27.2</v>
      </c>
      <c r="B61" s="407" t="s">
        <v>612</v>
      </c>
      <c r="C61" s="605"/>
      <c r="D61" s="605"/>
      <c r="E61" s="606">
        <f t="shared" si="4"/>
        <v>0</v>
      </c>
      <c r="F61" s="605"/>
      <c r="G61" s="605"/>
      <c r="H61" s="606">
        <f t="shared" si="5"/>
        <v>0</v>
      </c>
    </row>
    <row r="62" spans="1:8">
      <c r="A62" s="405">
        <v>28</v>
      </c>
      <c r="B62" s="414" t="s">
        <v>613</v>
      </c>
      <c r="C62" s="605"/>
      <c r="D62" s="605"/>
      <c r="E62" s="606">
        <f t="shared" si="4"/>
        <v>0</v>
      </c>
      <c r="F62" s="605"/>
      <c r="G62" s="605"/>
      <c r="H62" s="606">
        <f t="shared" si="5"/>
        <v>0</v>
      </c>
    </row>
    <row r="63" spans="1:8">
      <c r="A63" s="405">
        <v>29</v>
      </c>
      <c r="B63" s="395" t="s">
        <v>614</v>
      </c>
      <c r="C63" s="605">
        <f>SUM(C64:C66)</f>
        <v>0</v>
      </c>
      <c r="D63" s="605">
        <f>SUM(D64:D66)</f>
        <v>0</v>
      </c>
      <c r="E63" s="606">
        <f t="shared" si="4"/>
        <v>0</v>
      </c>
      <c r="F63" s="605"/>
      <c r="G63" s="605"/>
      <c r="H63" s="606">
        <f t="shared" si="5"/>
        <v>0</v>
      </c>
    </row>
    <row r="64" spans="1:8">
      <c r="A64" s="405">
        <v>29.1</v>
      </c>
      <c r="B64" s="399" t="s">
        <v>615</v>
      </c>
      <c r="C64" s="605"/>
      <c r="D64" s="605"/>
      <c r="E64" s="606">
        <f t="shared" si="4"/>
        <v>0</v>
      </c>
      <c r="F64" s="605"/>
      <c r="G64" s="605"/>
      <c r="H64" s="606">
        <f t="shared" si="5"/>
        <v>0</v>
      </c>
    </row>
    <row r="65" spans="1:8" ht="25.05" customHeight="1">
      <c r="A65" s="405">
        <v>29.2</v>
      </c>
      <c r="B65" s="409" t="s">
        <v>616</v>
      </c>
      <c r="C65" s="605"/>
      <c r="D65" s="605"/>
      <c r="E65" s="606">
        <f t="shared" si="4"/>
        <v>0</v>
      </c>
      <c r="F65" s="605"/>
      <c r="G65" s="605"/>
      <c r="H65" s="606">
        <f t="shared" si="5"/>
        <v>0</v>
      </c>
    </row>
    <row r="66" spans="1:8" ht="22.5" customHeight="1">
      <c r="A66" s="405">
        <v>29.3</v>
      </c>
      <c r="B66" s="409" t="s">
        <v>617</v>
      </c>
      <c r="C66" s="605"/>
      <c r="D66" s="605"/>
      <c r="E66" s="606">
        <f t="shared" si="4"/>
        <v>0</v>
      </c>
      <c r="F66" s="605"/>
      <c r="G66" s="605"/>
      <c r="H66" s="606">
        <f t="shared" si="5"/>
        <v>0</v>
      </c>
    </row>
    <row r="67" spans="1:8">
      <c r="A67" s="405">
        <v>30</v>
      </c>
      <c r="B67" s="395" t="s">
        <v>618</v>
      </c>
      <c r="C67" s="605">
        <v>250075970.07999575</v>
      </c>
      <c r="D67" s="605"/>
      <c r="E67" s="606">
        <f t="shared" si="4"/>
        <v>250075970.07999575</v>
      </c>
      <c r="F67" s="605">
        <v>211102158.45000005</v>
      </c>
      <c r="G67" s="605"/>
      <c r="H67" s="606">
        <f t="shared" si="5"/>
        <v>211102158.45000005</v>
      </c>
    </row>
    <row r="68" spans="1:8">
      <c r="A68" s="405">
        <v>31</v>
      </c>
      <c r="B68" s="415" t="s">
        <v>619</v>
      </c>
      <c r="C68" s="605">
        <f>SUM(C55,C56,C57,C58,C59,C62,C63,C67)</f>
        <v>292213044.12999576</v>
      </c>
      <c r="D68" s="605">
        <f>SUM(D55,D56,D57,D58,D59,D62,D63,D67)</f>
        <v>0</v>
      </c>
      <c r="E68" s="606">
        <f t="shared" si="4"/>
        <v>292213044.12999576</v>
      </c>
      <c r="F68" s="605">
        <f>SUM(F55,F56,F57,F58,F59,F62,F63,F67)</f>
        <v>251584238.95000005</v>
      </c>
      <c r="G68" s="605">
        <f>SUM(G55,G56,G57,G58,G59,G62,G63,G67)</f>
        <v>0</v>
      </c>
      <c r="H68" s="606">
        <f t="shared" si="5"/>
        <v>251584238.95000005</v>
      </c>
    </row>
    <row r="69" spans="1:8">
      <c r="A69" s="405">
        <v>32</v>
      </c>
      <c r="B69" s="416" t="s">
        <v>620</v>
      </c>
      <c r="C69" s="605">
        <f>SUM(C53,C68)</f>
        <v>1773559406.5599957</v>
      </c>
      <c r="D69" s="605">
        <f>SUM(D53,D68)</f>
        <v>565505735.80275488</v>
      </c>
      <c r="E69" s="606">
        <f t="shared" si="4"/>
        <v>2339065142.3627505</v>
      </c>
      <c r="F69" s="605">
        <f>SUM(F53,F68)</f>
        <v>1607566069.1999998</v>
      </c>
      <c r="G69" s="605">
        <f>SUM(G53,G68)</f>
        <v>423497457.18000007</v>
      </c>
      <c r="H69" s="606">
        <f t="shared" si="5"/>
        <v>2031063526.3799999</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ignoredErrors>
    <ignoredError sqref="E36 E15 E19 E24 E27 E30 E41 E53 E68:E69" formula="1"/>
    <ignoredError sqref="F30:G30 C30:D30 C47:D47 F47:G47 C63" formulaRange="1"/>
    <ignoredError sqref="E47"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45"/>
  <sheetViews>
    <sheetView topLeftCell="A25" zoomScale="80" zoomScaleNormal="80" workbookViewId="0">
      <selection activeCell="M44" sqref="M44"/>
    </sheetView>
  </sheetViews>
  <sheetFormatPr defaultRowHeight="14.4"/>
  <cols>
    <col min="2" max="2" width="66.6640625" customWidth="1"/>
    <col min="3" max="8" width="17.77734375" customWidth="1"/>
  </cols>
  <sheetData>
    <row r="1" spans="1:8" s="5" customFormat="1" ht="13.8">
      <c r="A1" s="2" t="s">
        <v>30</v>
      </c>
      <c r="B1" s="3" t="str">
        <f>'Info '!C2</f>
        <v>JSC "CREDOBANK"</v>
      </c>
      <c r="C1" s="3"/>
      <c r="D1" s="4"/>
      <c r="E1" s="4"/>
      <c r="F1" s="4"/>
      <c r="G1" s="4"/>
    </row>
    <row r="2" spans="1:8" s="5" customFormat="1" ht="13.8">
      <c r="A2" s="2" t="s">
        <v>31</v>
      </c>
      <c r="B2" s="336">
        <f>'1. key ratios '!B2</f>
        <v>45199</v>
      </c>
      <c r="C2" s="3"/>
      <c r="D2" s="4"/>
      <c r="E2" s="4"/>
      <c r="F2" s="4"/>
      <c r="G2" s="4"/>
    </row>
    <row r="4" spans="1:8">
      <c r="A4" s="709" t="s">
        <v>6</v>
      </c>
      <c r="B4" s="711" t="s">
        <v>621</v>
      </c>
      <c r="C4" s="704" t="s">
        <v>558</v>
      </c>
      <c r="D4" s="704"/>
      <c r="E4" s="704"/>
      <c r="F4" s="704" t="s">
        <v>559</v>
      </c>
      <c r="G4" s="704"/>
      <c r="H4" s="705"/>
    </row>
    <row r="5" spans="1:8" ht="15.45" customHeight="1">
      <c r="A5" s="710"/>
      <c r="B5" s="712"/>
      <c r="C5" s="419" t="s">
        <v>32</v>
      </c>
      <c r="D5" s="419" t="s">
        <v>33</v>
      </c>
      <c r="E5" s="419" t="s">
        <v>34</v>
      </c>
      <c r="F5" s="419" t="s">
        <v>32</v>
      </c>
      <c r="G5" s="419" t="s">
        <v>33</v>
      </c>
      <c r="H5" s="419" t="s">
        <v>34</v>
      </c>
    </row>
    <row r="6" spans="1:8">
      <c r="A6" s="420">
        <v>1</v>
      </c>
      <c r="B6" s="421" t="s">
        <v>622</v>
      </c>
      <c r="C6" s="605">
        <f>SUM(C7:C12)</f>
        <v>326313215</v>
      </c>
      <c r="D6" s="605">
        <f>SUM(D7:D12)</f>
        <v>13395097.739995718</v>
      </c>
      <c r="E6" s="606">
        <f>C6+D6</f>
        <v>339708312.73999572</v>
      </c>
      <c r="F6" s="605">
        <f>SUM(F7:F12)</f>
        <v>300914537</v>
      </c>
      <c r="G6" s="605">
        <f>SUM(G7:G12)</f>
        <v>8025051</v>
      </c>
      <c r="H6" s="606">
        <f>F6+G6</f>
        <v>308939588</v>
      </c>
    </row>
    <row r="7" spans="1:8">
      <c r="A7" s="420">
        <v>1.1000000000000001</v>
      </c>
      <c r="B7" s="409" t="s">
        <v>565</v>
      </c>
      <c r="C7" s="605"/>
      <c r="D7" s="605"/>
      <c r="E7" s="606">
        <f t="shared" ref="E7:E45" si="0">C7+D7</f>
        <v>0</v>
      </c>
      <c r="F7" s="605"/>
      <c r="G7" s="605"/>
      <c r="H7" s="606">
        <f t="shared" ref="H7:H45" si="1">F7+G7</f>
        <v>0</v>
      </c>
    </row>
    <row r="8" spans="1:8">
      <c r="A8" s="420">
        <v>1.2</v>
      </c>
      <c r="B8" s="409" t="s">
        <v>567</v>
      </c>
      <c r="C8" s="605"/>
      <c r="D8" s="605"/>
      <c r="E8" s="606">
        <f t="shared" si="0"/>
        <v>0</v>
      </c>
      <c r="F8" s="605"/>
      <c r="G8" s="605"/>
      <c r="H8" s="606">
        <f t="shared" si="1"/>
        <v>0</v>
      </c>
    </row>
    <row r="9" spans="1:8" ht="21.45" customHeight="1">
      <c r="A9" s="420">
        <v>1.3</v>
      </c>
      <c r="B9" s="409" t="s">
        <v>623</v>
      </c>
      <c r="C9" s="605"/>
      <c r="D9" s="605"/>
      <c r="E9" s="606">
        <f t="shared" si="0"/>
        <v>0</v>
      </c>
      <c r="F9" s="605"/>
      <c r="G9" s="605"/>
      <c r="H9" s="606">
        <f t="shared" si="1"/>
        <v>0</v>
      </c>
    </row>
    <row r="10" spans="1:8">
      <c r="A10" s="420">
        <v>1.4</v>
      </c>
      <c r="B10" s="409" t="s">
        <v>569</v>
      </c>
      <c r="C10" s="605"/>
      <c r="D10" s="605"/>
      <c r="E10" s="606">
        <f t="shared" si="0"/>
        <v>0</v>
      </c>
      <c r="F10" s="605"/>
      <c r="G10" s="605"/>
      <c r="H10" s="606">
        <f t="shared" si="1"/>
        <v>0</v>
      </c>
    </row>
    <row r="11" spans="1:8">
      <c r="A11" s="420">
        <v>1.5</v>
      </c>
      <c r="B11" s="409" t="s">
        <v>573</v>
      </c>
      <c r="C11" s="605">
        <v>326313215</v>
      </c>
      <c r="D11" s="605">
        <v>13395097.739995718</v>
      </c>
      <c r="E11" s="606">
        <f t="shared" si="0"/>
        <v>339708312.73999572</v>
      </c>
      <c r="F11" s="605">
        <v>300914537</v>
      </c>
      <c r="G11" s="605">
        <v>8025051</v>
      </c>
      <c r="H11" s="606">
        <f t="shared" si="1"/>
        <v>308939588</v>
      </c>
    </row>
    <row r="12" spans="1:8">
      <c r="A12" s="420">
        <v>1.6</v>
      </c>
      <c r="B12" s="410" t="s">
        <v>455</v>
      </c>
      <c r="C12" s="605"/>
      <c r="D12" s="605"/>
      <c r="E12" s="606">
        <f t="shared" si="0"/>
        <v>0</v>
      </c>
      <c r="F12" s="605"/>
      <c r="G12" s="605"/>
      <c r="H12" s="606">
        <f t="shared" si="1"/>
        <v>0</v>
      </c>
    </row>
    <row r="13" spans="1:8">
      <c r="A13" s="420">
        <v>2</v>
      </c>
      <c r="B13" s="422" t="s">
        <v>624</v>
      </c>
      <c r="C13" s="605">
        <f>SUM(C14:C17)</f>
        <v>-100580418</v>
      </c>
      <c r="D13" s="605">
        <f>SUM(D14:D17)</f>
        <v>-48856874.560000002</v>
      </c>
      <c r="E13" s="606">
        <f t="shared" si="0"/>
        <v>-149437292.56</v>
      </c>
      <c r="F13" s="605">
        <f>SUM(F14:F17)</f>
        <v>-130324532</v>
      </c>
      <c r="G13" s="605">
        <f>SUM(G14:G17)</f>
        <v>-7313122.219999969</v>
      </c>
      <c r="H13" s="606">
        <f t="shared" si="1"/>
        <v>-137637654.21999997</v>
      </c>
    </row>
    <row r="14" spans="1:8">
      <c r="A14" s="420">
        <v>2.1</v>
      </c>
      <c r="B14" s="409" t="s">
        <v>625</v>
      </c>
      <c r="C14" s="605"/>
      <c r="D14" s="605"/>
      <c r="E14" s="606">
        <f t="shared" si="0"/>
        <v>0</v>
      </c>
      <c r="F14" s="605"/>
      <c r="G14" s="605"/>
      <c r="H14" s="606">
        <f t="shared" si="1"/>
        <v>0</v>
      </c>
    </row>
    <row r="15" spans="1:8" ht="24.45" customHeight="1">
      <c r="A15" s="420">
        <v>2.2000000000000002</v>
      </c>
      <c r="B15" s="409" t="s">
        <v>626</v>
      </c>
      <c r="C15" s="605"/>
      <c r="D15" s="605"/>
      <c r="E15" s="606">
        <f t="shared" si="0"/>
        <v>0</v>
      </c>
      <c r="F15" s="605"/>
      <c r="G15" s="605"/>
      <c r="H15" s="606">
        <f t="shared" si="1"/>
        <v>0</v>
      </c>
    </row>
    <row r="16" spans="1:8" ht="20.55" customHeight="1">
      <c r="A16" s="420">
        <v>2.2999999999999998</v>
      </c>
      <c r="B16" s="409" t="s">
        <v>627</v>
      </c>
      <c r="C16" s="605">
        <v>-100580418</v>
      </c>
      <c r="D16" s="605">
        <v>-48856874.560000002</v>
      </c>
      <c r="E16" s="606">
        <f t="shared" si="0"/>
        <v>-149437292.56</v>
      </c>
      <c r="F16" s="605">
        <v>-130324532</v>
      </c>
      <c r="G16" s="605">
        <v>-7313122.219999969</v>
      </c>
      <c r="H16" s="606">
        <f t="shared" si="1"/>
        <v>-137637654.21999997</v>
      </c>
    </row>
    <row r="17" spans="1:8">
      <c r="A17" s="420">
        <v>2.4</v>
      </c>
      <c r="B17" s="409" t="s">
        <v>628</v>
      </c>
      <c r="C17" s="605"/>
      <c r="D17" s="605"/>
      <c r="E17" s="606">
        <f t="shared" si="0"/>
        <v>0</v>
      </c>
      <c r="F17" s="605"/>
      <c r="G17" s="605"/>
      <c r="H17" s="606">
        <f t="shared" si="1"/>
        <v>0</v>
      </c>
    </row>
    <row r="18" spans="1:8">
      <c r="A18" s="420">
        <v>3</v>
      </c>
      <c r="B18" s="422" t="s">
        <v>629</v>
      </c>
      <c r="C18" s="605"/>
      <c r="D18" s="605"/>
      <c r="E18" s="606">
        <f t="shared" si="0"/>
        <v>0</v>
      </c>
      <c r="F18" s="605"/>
      <c r="G18" s="605"/>
      <c r="H18" s="606">
        <f t="shared" si="1"/>
        <v>0</v>
      </c>
    </row>
    <row r="19" spans="1:8">
      <c r="A19" s="420">
        <v>4</v>
      </c>
      <c r="B19" s="422" t="s">
        <v>630</v>
      </c>
      <c r="C19" s="605">
        <v>36102694.699999996</v>
      </c>
      <c r="D19" s="605">
        <v>4433219.4599999934</v>
      </c>
      <c r="E19" s="606">
        <f t="shared" si="0"/>
        <v>40535914.159999989</v>
      </c>
      <c r="F19" s="605">
        <v>32005364.650000006</v>
      </c>
      <c r="G19" s="605">
        <v>3136498.9800000042</v>
      </c>
      <c r="H19" s="606">
        <f t="shared" si="1"/>
        <v>35141863.63000001</v>
      </c>
    </row>
    <row r="20" spans="1:8">
      <c r="A20" s="420">
        <v>5</v>
      </c>
      <c r="B20" s="422" t="s">
        <v>631</v>
      </c>
      <c r="C20" s="605">
        <v>-11402554.689999999</v>
      </c>
      <c r="D20" s="605">
        <v>-5473295.8899999987</v>
      </c>
      <c r="E20" s="606">
        <f t="shared" si="0"/>
        <v>-16875850.579999998</v>
      </c>
      <c r="F20" s="605">
        <v>-9784866.8499999978</v>
      </c>
      <c r="G20" s="605">
        <v>-2317730.0500000007</v>
      </c>
      <c r="H20" s="606">
        <f t="shared" si="1"/>
        <v>-12102596.899999999</v>
      </c>
    </row>
    <row r="21" spans="1:8" ht="24" customHeight="1">
      <c r="A21" s="420">
        <v>6</v>
      </c>
      <c r="B21" s="422" t="s">
        <v>632</v>
      </c>
      <c r="C21" s="605"/>
      <c r="D21" s="605"/>
      <c r="E21" s="606">
        <f t="shared" si="0"/>
        <v>0</v>
      </c>
      <c r="F21" s="605"/>
      <c r="G21" s="605"/>
      <c r="H21" s="606">
        <f t="shared" si="1"/>
        <v>0</v>
      </c>
    </row>
    <row r="22" spans="1:8" ht="18.45" customHeight="1">
      <c r="A22" s="420">
        <v>7</v>
      </c>
      <c r="B22" s="422" t="s">
        <v>633</v>
      </c>
      <c r="C22" s="605"/>
      <c r="D22" s="605"/>
      <c r="E22" s="606">
        <f t="shared" si="0"/>
        <v>0</v>
      </c>
      <c r="F22" s="605"/>
      <c r="G22" s="605"/>
      <c r="H22" s="606">
        <f t="shared" si="1"/>
        <v>0</v>
      </c>
    </row>
    <row r="23" spans="1:8" ht="25.5" customHeight="1">
      <c r="A23" s="420">
        <v>8</v>
      </c>
      <c r="B23" s="423" t="s">
        <v>634</v>
      </c>
      <c r="C23" s="605"/>
      <c r="D23" s="605"/>
      <c r="E23" s="606">
        <f t="shared" si="0"/>
        <v>0</v>
      </c>
      <c r="F23" s="605"/>
      <c r="G23" s="605"/>
      <c r="H23" s="606">
        <f t="shared" si="1"/>
        <v>0</v>
      </c>
    </row>
    <row r="24" spans="1:8" ht="34.5" customHeight="1">
      <c r="A24" s="420">
        <v>9</v>
      </c>
      <c r="B24" s="423" t="s">
        <v>635</v>
      </c>
      <c r="C24" s="605">
        <v>-13806196.809999995</v>
      </c>
      <c r="D24" s="605"/>
      <c r="E24" s="606">
        <f t="shared" si="0"/>
        <v>-13806196.809999995</v>
      </c>
      <c r="F24" s="605">
        <v>-14582352.279999996</v>
      </c>
      <c r="G24" s="605"/>
      <c r="H24" s="606">
        <f t="shared" si="1"/>
        <v>-14582352.279999996</v>
      </c>
    </row>
    <row r="25" spans="1:8">
      <c r="A25" s="420">
        <v>10</v>
      </c>
      <c r="B25" s="422" t="s">
        <v>636</v>
      </c>
      <c r="C25" s="605">
        <v>2373783.4599999809</v>
      </c>
      <c r="D25" s="605"/>
      <c r="E25" s="606">
        <f t="shared" si="0"/>
        <v>2373783.4599999809</v>
      </c>
      <c r="F25" s="605">
        <v>9463813.1400000658</v>
      </c>
      <c r="G25" s="605"/>
      <c r="H25" s="606">
        <f t="shared" si="1"/>
        <v>9463813.1400000658</v>
      </c>
    </row>
    <row r="26" spans="1:8">
      <c r="A26" s="420">
        <v>11</v>
      </c>
      <c r="B26" s="424" t="s">
        <v>637</v>
      </c>
      <c r="C26" s="605">
        <v>151205.70000000001</v>
      </c>
      <c r="D26" s="605"/>
      <c r="E26" s="606">
        <f t="shared" si="0"/>
        <v>151205.70000000001</v>
      </c>
      <c r="F26" s="605">
        <v>16472.939999999988</v>
      </c>
      <c r="G26" s="605"/>
      <c r="H26" s="606">
        <f t="shared" si="1"/>
        <v>16472.939999999988</v>
      </c>
    </row>
    <row r="27" spans="1:8">
      <c r="A27" s="420">
        <v>12</v>
      </c>
      <c r="B27" s="422" t="s">
        <v>638</v>
      </c>
      <c r="C27" s="605">
        <v>4504489.7899999991</v>
      </c>
      <c r="D27" s="605"/>
      <c r="E27" s="606">
        <f t="shared" si="0"/>
        <v>4504489.7899999991</v>
      </c>
      <c r="F27" s="605">
        <v>3992364.3300000005</v>
      </c>
      <c r="G27" s="605"/>
      <c r="H27" s="606">
        <f t="shared" si="1"/>
        <v>3992364.3300000005</v>
      </c>
    </row>
    <row r="28" spans="1:8">
      <c r="A28" s="420">
        <v>13</v>
      </c>
      <c r="B28" s="425" t="s">
        <v>639</v>
      </c>
      <c r="C28" s="605">
        <v>-15973358.530000001</v>
      </c>
      <c r="D28" s="605"/>
      <c r="E28" s="606">
        <f t="shared" si="0"/>
        <v>-15973358.530000001</v>
      </c>
      <c r="F28" s="605">
        <v>-16700565.639999999</v>
      </c>
      <c r="G28" s="605"/>
      <c r="H28" s="606">
        <f t="shared" si="1"/>
        <v>-16700565.639999999</v>
      </c>
    </row>
    <row r="29" spans="1:8">
      <c r="A29" s="420">
        <v>14</v>
      </c>
      <c r="B29" s="426" t="s">
        <v>640</v>
      </c>
      <c r="C29" s="605">
        <f>SUM(C30:C31)</f>
        <v>-106727469.72999994</v>
      </c>
      <c r="D29" s="605">
        <f>SUM(D30:D31)</f>
        <v>0</v>
      </c>
      <c r="E29" s="606">
        <f t="shared" si="0"/>
        <v>-106727469.72999994</v>
      </c>
      <c r="F29" s="605">
        <f>SUM(F30:F31)</f>
        <v>-89886036.820000038</v>
      </c>
      <c r="G29" s="605">
        <f>SUM(G30:G31)</f>
        <v>0</v>
      </c>
      <c r="H29" s="606">
        <f t="shared" si="1"/>
        <v>-89886036.820000038</v>
      </c>
    </row>
    <row r="30" spans="1:8">
      <c r="A30" s="420">
        <v>14.1</v>
      </c>
      <c r="B30" s="398" t="s">
        <v>641</v>
      </c>
      <c r="C30" s="605">
        <v>-100646139.00999995</v>
      </c>
      <c r="D30" s="605"/>
      <c r="E30" s="606">
        <f t="shared" si="0"/>
        <v>-100646139.00999995</v>
      </c>
      <c r="F30" s="605">
        <v>-83247409.820000038</v>
      </c>
      <c r="G30" s="605"/>
      <c r="H30" s="606">
        <f t="shared" si="1"/>
        <v>-83247409.820000038</v>
      </c>
    </row>
    <row r="31" spans="1:8">
      <c r="A31" s="420">
        <v>14.2</v>
      </c>
      <c r="B31" s="398" t="s">
        <v>642</v>
      </c>
      <c r="C31" s="605">
        <v>-6081330.7200000007</v>
      </c>
      <c r="D31" s="605"/>
      <c r="E31" s="606">
        <f t="shared" si="0"/>
        <v>-6081330.7200000007</v>
      </c>
      <c r="F31" s="605">
        <v>-6638627</v>
      </c>
      <c r="G31" s="605"/>
      <c r="H31" s="606">
        <f t="shared" si="1"/>
        <v>-6638627</v>
      </c>
    </row>
    <row r="32" spans="1:8">
      <c r="A32" s="420">
        <v>15</v>
      </c>
      <c r="B32" s="422" t="s">
        <v>643</v>
      </c>
      <c r="C32" s="605">
        <v>-13609194.190000001</v>
      </c>
      <c r="D32" s="605"/>
      <c r="E32" s="606">
        <f t="shared" si="0"/>
        <v>-13609194.190000001</v>
      </c>
      <c r="F32" s="605">
        <v>-13874319.52</v>
      </c>
      <c r="G32" s="605"/>
      <c r="H32" s="606">
        <f t="shared" si="1"/>
        <v>-13874319.52</v>
      </c>
    </row>
    <row r="33" spans="1:8" ht="22.5" customHeight="1">
      <c r="A33" s="420">
        <v>16</v>
      </c>
      <c r="B33" s="395" t="s">
        <v>644</v>
      </c>
      <c r="C33" s="605"/>
      <c r="D33" s="605"/>
      <c r="E33" s="606">
        <f t="shared" si="0"/>
        <v>0</v>
      </c>
      <c r="F33" s="605"/>
      <c r="G33" s="605"/>
      <c r="H33" s="606">
        <f t="shared" si="1"/>
        <v>0</v>
      </c>
    </row>
    <row r="34" spans="1:8">
      <c r="A34" s="420">
        <v>17</v>
      </c>
      <c r="B34" s="422" t="s">
        <v>645</v>
      </c>
      <c r="C34" s="605">
        <f>SUM(C35:C36)</f>
        <v>0</v>
      </c>
      <c r="D34" s="605">
        <f>SUM(D35:D36)</f>
        <v>0</v>
      </c>
      <c r="E34" s="606">
        <f t="shared" si="0"/>
        <v>0</v>
      </c>
      <c r="F34" s="605">
        <f>SUM(F35:F36)</f>
        <v>0</v>
      </c>
      <c r="G34" s="605">
        <f>SUM(G35:G36)</f>
        <v>0</v>
      </c>
      <c r="H34" s="606">
        <f t="shared" si="1"/>
        <v>0</v>
      </c>
    </row>
    <row r="35" spans="1:8">
      <c r="A35" s="420">
        <v>17.100000000000001</v>
      </c>
      <c r="B35" s="398" t="s">
        <v>646</v>
      </c>
      <c r="C35" s="605"/>
      <c r="D35" s="605"/>
      <c r="E35" s="606">
        <f t="shared" si="0"/>
        <v>0</v>
      </c>
      <c r="F35" s="605"/>
      <c r="G35" s="605"/>
      <c r="H35" s="606">
        <f t="shared" si="1"/>
        <v>0</v>
      </c>
    </row>
    <row r="36" spans="1:8">
      <c r="A36" s="420">
        <v>17.2</v>
      </c>
      <c r="B36" s="398" t="s">
        <v>647</v>
      </c>
      <c r="C36" s="605"/>
      <c r="D36" s="605"/>
      <c r="E36" s="606">
        <f t="shared" si="0"/>
        <v>0</v>
      </c>
      <c r="F36" s="605"/>
      <c r="G36" s="605"/>
      <c r="H36" s="606">
        <f t="shared" si="1"/>
        <v>0</v>
      </c>
    </row>
    <row r="37" spans="1:8" ht="41.55" customHeight="1">
      <c r="A37" s="420">
        <v>18</v>
      </c>
      <c r="B37" s="427" t="s">
        <v>648</v>
      </c>
      <c r="C37" s="605">
        <f>SUM(C38:C39)</f>
        <v>-39457599</v>
      </c>
      <c r="D37" s="605">
        <f>SUM(D38:D39)</f>
        <v>-131500.79000007361</v>
      </c>
      <c r="E37" s="606">
        <f t="shared" si="0"/>
        <v>-39589099.790000074</v>
      </c>
      <c r="F37" s="605">
        <f>SUM(F38:F39)</f>
        <v>-36583235.640000001</v>
      </c>
      <c r="G37" s="605">
        <f>SUM(G38:G39)</f>
        <v>2975122.0999999996</v>
      </c>
      <c r="H37" s="606">
        <f t="shared" si="1"/>
        <v>-33608113.539999999</v>
      </c>
    </row>
    <row r="38" spans="1:8">
      <c r="A38" s="420">
        <v>18.100000000000001</v>
      </c>
      <c r="B38" s="428" t="s">
        <v>649</v>
      </c>
      <c r="C38" s="605"/>
      <c r="D38" s="605"/>
      <c r="E38" s="606">
        <f t="shared" si="0"/>
        <v>0</v>
      </c>
      <c r="F38" s="605"/>
      <c r="G38" s="605"/>
      <c r="H38" s="606">
        <f t="shared" si="1"/>
        <v>0</v>
      </c>
    </row>
    <row r="39" spans="1:8">
      <c r="A39" s="420">
        <v>18.2</v>
      </c>
      <c r="B39" s="428" t="s">
        <v>650</v>
      </c>
      <c r="C39" s="605">
        <v>-39457599</v>
      </c>
      <c r="D39" s="605">
        <v>-131500.79000007361</v>
      </c>
      <c r="E39" s="606">
        <f t="shared" si="0"/>
        <v>-39589099.790000074</v>
      </c>
      <c r="F39" s="605">
        <v>-36583235.640000001</v>
      </c>
      <c r="G39" s="605">
        <v>2975122.0999999996</v>
      </c>
      <c r="H39" s="606">
        <f t="shared" si="1"/>
        <v>-33608113.539999999</v>
      </c>
    </row>
    <row r="40" spans="1:8" ht="24.45" customHeight="1">
      <c r="A40" s="420">
        <v>19</v>
      </c>
      <c r="B40" s="427" t="s">
        <v>651</v>
      </c>
      <c r="C40" s="605"/>
      <c r="D40" s="605"/>
      <c r="E40" s="606">
        <f t="shared" si="0"/>
        <v>0</v>
      </c>
      <c r="F40" s="605"/>
      <c r="G40" s="605"/>
      <c r="H40" s="606">
        <f t="shared" si="1"/>
        <v>0</v>
      </c>
    </row>
    <row r="41" spans="1:8" ht="17.55" customHeight="1">
      <c r="A41" s="420">
        <v>20</v>
      </c>
      <c r="B41" s="427" t="s">
        <v>652</v>
      </c>
      <c r="C41" s="605">
        <v>-969868.16</v>
      </c>
      <c r="D41" s="605"/>
      <c r="E41" s="606">
        <f t="shared" si="0"/>
        <v>-969868.16</v>
      </c>
      <c r="F41" s="605">
        <v>-1266222.43</v>
      </c>
      <c r="G41" s="605"/>
      <c r="H41" s="606">
        <f t="shared" si="1"/>
        <v>-1266222.43</v>
      </c>
    </row>
    <row r="42" spans="1:8" ht="26.55" customHeight="1">
      <c r="A42" s="420">
        <v>21</v>
      </c>
      <c r="B42" s="427" t="s">
        <v>653</v>
      </c>
      <c r="C42" s="605"/>
      <c r="D42" s="605"/>
      <c r="E42" s="606">
        <f t="shared" si="0"/>
        <v>0</v>
      </c>
      <c r="F42" s="605"/>
      <c r="G42" s="605"/>
      <c r="H42" s="606">
        <f t="shared" si="1"/>
        <v>0</v>
      </c>
    </row>
    <row r="43" spans="1:8">
      <c r="A43" s="420">
        <v>22</v>
      </c>
      <c r="B43" s="429" t="s">
        <v>654</v>
      </c>
      <c r="C43" s="605">
        <f>SUM(C6,C13,C18,C19,C20,C21,C22,C23,C24,C25,C26,C27,C28,C29,C32,C33,C34,C37,C40,C41,C42)</f>
        <v>66918729.540000007</v>
      </c>
      <c r="D43" s="605">
        <f>SUM(D6,D13,D18,D19,D20,D21,D22,D23,D24,D25,D26,D27,D28,D29,D32,D33,D34,D37,D40,D41,D42)</f>
        <v>-36633354.040004365</v>
      </c>
      <c r="E43" s="606">
        <f t="shared" si="0"/>
        <v>30285375.499995641</v>
      </c>
      <c r="F43" s="605">
        <f>SUM(F6,F13,F18,F19,F20,F21,F22,F23,F24,F25,F26,F27,F28,F29,F32,F33,F34,F37,F40,F41,F42)</f>
        <v>33390420.880000077</v>
      </c>
      <c r="G43" s="605">
        <f>SUM(G6,G13,G18,G19,G20,G21,G22,G23,G24,G25,G26,G27,G28,G29,G32,G33,G34,G37,G40,G41,G42)</f>
        <v>4505819.810000034</v>
      </c>
      <c r="H43" s="606">
        <f t="shared" si="1"/>
        <v>37896240.690000109</v>
      </c>
    </row>
    <row r="44" spans="1:8">
      <c r="A44" s="420">
        <v>23</v>
      </c>
      <c r="B44" s="429" t="s">
        <v>655</v>
      </c>
      <c r="C44" s="605">
        <v>3744059.14</v>
      </c>
      <c r="D44" s="605"/>
      <c r="E44" s="606">
        <f t="shared" si="0"/>
        <v>3744059.14</v>
      </c>
      <c r="F44" s="605">
        <v>5117434.57</v>
      </c>
      <c r="G44" s="605"/>
      <c r="H44" s="606">
        <f t="shared" si="1"/>
        <v>5117434.57</v>
      </c>
    </row>
    <row r="45" spans="1:8">
      <c r="A45" s="420">
        <v>24</v>
      </c>
      <c r="B45" s="430" t="s">
        <v>656</v>
      </c>
      <c r="C45" s="605">
        <f>C43-C44</f>
        <v>63174670.400000006</v>
      </c>
      <c r="D45" s="605">
        <f>D43-D44</f>
        <v>-36633354.040004365</v>
      </c>
      <c r="E45" s="606">
        <f t="shared" si="0"/>
        <v>26541316.359995641</v>
      </c>
      <c r="F45" s="605">
        <f>F43-F44</f>
        <v>28272986.310000077</v>
      </c>
      <c r="G45" s="605">
        <f>G43-G44</f>
        <v>4505819.810000034</v>
      </c>
      <c r="H45" s="606">
        <f t="shared" si="1"/>
        <v>32778806.120000109</v>
      </c>
    </row>
  </sheetData>
  <mergeCells count="4">
    <mergeCell ref="A4:A5"/>
    <mergeCell ref="B4:B5"/>
    <mergeCell ref="C4:E4"/>
    <mergeCell ref="F4:H4"/>
  </mergeCells>
  <pageMargins left="0.7" right="0.7" top="0.75" bottom="0.75" header="0.3" footer="0.3"/>
  <ignoredErrors>
    <ignoredError sqref="C13 D13 C29" formulaRange="1"/>
    <ignoredError sqref="E13" formula="1" formulaRange="1"/>
    <ignoredError sqref="E6 E29 E34 E37 E43 E4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47"/>
  <sheetViews>
    <sheetView topLeftCell="A13" zoomScale="70" zoomScaleNormal="70" workbookViewId="0">
      <selection activeCell="F39" sqref="F39:G42"/>
    </sheetView>
  </sheetViews>
  <sheetFormatPr defaultRowHeight="14.4"/>
  <cols>
    <col min="1" max="1" width="8.77734375" style="417"/>
    <col min="2" max="2" width="87.6640625" bestFit="1" customWidth="1"/>
    <col min="3" max="8" width="15.44140625" customWidth="1"/>
  </cols>
  <sheetData>
    <row r="1" spans="1:8" s="5" customFormat="1" ht="13.8">
      <c r="A1" s="2" t="s">
        <v>30</v>
      </c>
      <c r="B1" s="3" t="str">
        <f>'Info '!C2</f>
        <v>JSC "CREDOBANK"</v>
      </c>
      <c r="C1" s="3"/>
      <c r="D1" s="4"/>
      <c r="E1" s="4"/>
      <c r="F1" s="4"/>
      <c r="G1" s="4"/>
    </row>
    <row r="2" spans="1:8" s="5" customFormat="1" ht="13.8">
      <c r="A2" s="2" t="s">
        <v>31</v>
      </c>
      <c r="B2" s="336">
        <f>'1. key ratios '!B2</f>
        <v>45199</v>
      </c>
      <c r="C2" s="3"/>
      <c r="D2" s="4"/>
      <c r="E2" s="4"/>
      <c r="F2" s="4"/>
      <c r="G2" s="4"/>
    </row>
    <row r="3" spans="1:8" ht="15" thickBot="1">
      <c r="A3"/>
    </row>
    <row r="4" spans="1:8">
      <c r="A4" s="713" t="s">
        <v>6</v>
      </c>
      <c r="B4" s="714" t="s">
        <v>94</v>
      </c>
      <c r="C4" s="704" t="s">
        <v>558</v>
      </c>
      <c r="D4" s="704"/>
      <c r="E4" s="704"/>
      <c r="F4" s="704" t="s">
        <v>559</v>
      </c>
      <c r="G4" s="704"/>
      <c r="H4" s="705"/>
    </row>
    <row r="5" spans="1:8">
      <c r="A5" s="713"/>
      <c r="B5" s="714"/>
      <c r="C5" s="419" t="s">
        <v>32</v>
      </c>
      <c r="D5" s="419" t="s">
        <v>33</v>
      </c>
      <c r="E5" s="419" t="s">
        <v>34</v>
      </c>
      <c r="F5" s="419" t="s">
        <v>32</v>
      </c>
      <c r="G5" s="419" t="s">
        <v>33</v>
      </c>
      <c r="H5" s="419" t="s">
        <v>34</v>
      </c>
    </row>
    <row r="6" spans="1:8">
      <c r="A6" s="405">
        <v>1</v>
      </c>
      <c r="B6" s="431" t="s">
        <v>657</v>
      </c>
      <c r="C6" s="432"/>
      <c r="D6" s="432"/>
      <c r="E6" s="433">
        <f t="shared" ref="E6:E43" si="0">C6+D6</f>
        <v>0</v>
      </c>
      <c r="F6" s="432"/>
      <c r="G6" s="432"/>
      <c r="H6" s="434">
        <f t="shared" ref="H6:H43" si="1">F6+G6</f>
        <v>0</v>
      </c>
    </row>
    <row r="7" spans="1:8">
      <c r="A7" s="405">
        <v>2</v>
      </c>
      <c r="B7" s="431" t="s">
        <v>196</v>
      </c>
      <c r="C7" s="432"/>
      <c r="D7" s="432"/>
      <c r="E7" s="433">
        <f t="shared" si="0"/>
        <v>0</v>
      </c>
      <c r="F7" s="432"/>
      <c r="G7" s="432"/>
      <c r="H7" s="434">
        <f t="shared" si="1"/>
        <v>0</v>
      </c>
    </row>
    <row r="8" spans="1:8">
      <c r="A8" s="405">
        <v>3</v>
      </c>
      <c r="B8" s="431" t="s">
        <v>206</v>
      </c>
      <c r="C8" s="432">
        <f>C9+C10</f>
        <v>1160116257.55</v>
      </c>
      <c r="D8" s="432">
        <f>D9+D10</f>
        <v>0</v>
      </c>
      <c r="E8" s="433">
        <f t="shared" si="0"/>
        <v>1160116257.55</v>
      </c>
      <c r="F8" s="432">
        <f>F9+F10</f>
        <v>1009930539.97</v>
      </c>
      <c r="G8" s="432">
        <f>G9+G10</f>
        <v>0</v>
      </c>
      <c r="H8" s="434">
        <f t="shared" si="1"/>
        <v>1009930539.97</v>
      </c>
    </row>
    <row r="9" spans="1:8">
      <c r="A9" s="405">
        <v>3.1</v>
      </c>
      <c r="B9" s="435" t="s">
        <v>197</v>
      </c>
      <c r="C9" s="432">
        <v>1159850152.55</v>
      </c>
      <c r="D9" s="432"/>
      <c r="E9" s="433">
        <f t="shared" si="0"/>
        <v>1159850152.55</v>
      </c>
      <c r="F9" s="432">
        <v>1009664434.97</v>
      </c>
      <c r="G9" s="432"/>
      <c r="H9" s="434">
        <f t="shared" si="1"/>
        <v>1009664434.97</v>
      </c>
    </row>
    <row r="10" spans="1:8">
      <c r="A10" s="405">
        <v>3.2</v>
      </c>
      <c r="B10" s="435" t="s">
        <v>193</v>
      </c>
      <c r="C10" s="432">
        <v>266105</v>
      </c>
      <c r="D10" s="432"/>
      <c r="E10" s="433">
        <f t="shared" si="0"/>
        <v>266105</v>
      </c>
      <c r="F10" s="432">
        <v>266105</v>
      </c>
      <c r="G10" s="432"/>
      <c r="H10" s="434">
        <f t="shared" si="1"/>
        <v>266105</v>
      </c>
    </row>
    <row r="11" spans="1:8">
      <c r="A11" s="405">
        <v>4</v>
      </c>
      <c r="B11" s="436" t="s">
        <v>195</v>
      </c>
      <c r="C11" s="432">
        <f>C12+C13</f>
        <v>0</v>
      </c>
      <c r="D11" s="432">
        <f>D12+D13</f>
        <v>0</v>
      </c>
      <c r="E11" s="433">
        <f t="shared" si="0"/>
        <v>0</v>
      </c>
      <c r="F11" s="432">
        <f>F12+F13</f>
        <v>0</v>
      </c>
      <c r="G11" s="432">
        <f>G12+G13</f>
        <v>0</v>
      </c>
      <c r="H11" s="434">
        <f t="shared" si="1"/>
        <v>0</v>
      </c>
    </row>
    <row r="12" spans="1:8">
      <c r="A12" s="405">
        <v>4.0999999999999996</v>
      </c>
      <c r="B12" s="435" t="s">
        <v>179</v>
      </c>
      <c r="C12" s="432"/>
      <c r="D12" s="432"/>
      <c r="E12" s="433">
        <f t="shared" si="0"/>
        <v>0</v>
      </c>
      <c r="F12" s="432"/>
      <c r="G12" s="432"/>
      <c r="H12" s="434">
        <f t="shared" si="1"/>
        <v>0</v>
      </c>
    </row>
    <row r="13" spans="1:8">
      <c r="A13" s="405">
        <v>4.2</v>
      </c>
      <c r="B13" s="435" t="s">
        <v>180</v>
      </c>
      <c r="C13" s="432"/>
      <c r="D13" s="432"/>
      <c r="E13" s="433">
        <f t="shared" si="0"/>
        <v>0</v>
      </c>
      <c r="F13" s="432"/>
      <c r="G13" s="432"/>
      <c r="H13" s="434">
        <f t="shared" si="1"/>
        <v>0</v>
      </c>
    </row>
    <row r="14" spans="1:8">
      <c r="A14" s="405">
        <v>5</v>
      </c>
      <c r="B14" s="436" t="s">
        <v>205</v>
      </c>
      <c r="C14" s="432">
        <f>C15+C16+C17+C23+C24+C25+C26</f>
        <v>1261448891.49</v>
      </c>
      <c r="D14" s="432">
        <f>D15+D16+D17+D23+D24+D25+D26</f>
        <v>1339150</v>
      </c>
      <c r="E14" s="433">
        <f t="shared" si="0"/>
        <v>1262788041.49</v>
      </c>
      <c r="F14" s="432">
        <f>F15+F16+F17+F23+F24+F25+F26</f>
        <v>766903673.24000001</v>
      </c>
      <c r="G14" s="432">
        <f>G15+G16+G17+G23+G24+G25+G26</f>
        <v>2835200</v>
      </c>
      <c r="H14" s="434">
        <f t="shared" si="1"/>
        <v>769738873.24000001</v>
      </c>
    </row>
    <row r="15" spans="1:8">
      <c r="A15" s="405">
        <v>5.0999999999999996</v>
      </c>
      <c r="B15" s="437" t="s">
        <v>183</v>
      </c>
      <c r="C15" s="432">
        <v>15342676.6</v>
      </c>
      <c r="D15" s="432">
        <v>1339150</v>
      </c>
      <c r="E15" s="433">
        <f t="shared" si="0"/>
        <v>16681826.6</v>
      </c>
      <c r="F15" s="432">
        <v>9987885.1099999994</v>
      </c>
      <c r="G15" s="432">
        <v>2835200</v>
      </c>
      <c r="H15" s="434">
        <f t="shared" si="1"/>
        <v>12823085.109999999</v>
      </c>
    </row>
    <row r="16" spans="1:8">
      <c r="A16" s="405">
        <v>5.2</v>
      </c>
      <c r="B16" s="437" t="s">
        <v>182</v>
      </c>
      <c r="C16" s="432">
        <v>5004.78</v>
      </c>
      <c r="D16" s="432"/>
      <c r="E16" s="433">
        <f t="shared" si="0"/>
        <v>5004.78</v>
      </c>
      <c r="F16" s="432">
        <v>45090.78</v>
      </c>
      <c r="G16" s="432"/>
      <c r="H16" s="434">
        <f t="shared" si="1"/>
        <v>45090.78</v>
      </c>
    </row>
    <row r="17" spans="1:8">
      <c r="A17" s="405">
        <v>5.3</v>
      </c>
      <c r="B17" s="437" t="s">
        <v>181</v>
      </c>
      <c r="C17" s="432">
        <f>C18+C19+C20+C21+C22</f>
        <v>1118882710.29</v>
      </c>
      <c r="D17" s="432">
        <f>D18+D19+D20+D21+D22</f>
        <v>0</v>
      </c>
      <c r="E17" s="433">
        <f t="shared" si="0"/>
        <v>1118882710.29</v>
      </c>
      <c r="F17" s="432">
        <f>F18+F19+F20+F21+F22</f>
        <v>700332787.25</v>
      </c>
      <c r="G17" s="432">
        <f>G18+G19+G20+G21+G22</f>
        <v>0</v>
      </c>
      <c r="H17" s="434">
        <f t="shared" si="1"/>
        <v>700332787.25</v>
      </c>
    </row>
    <row r="18" spans="1:8">
      <c r="A18" s="405" t="s">
        <v>15</v>
      </c>
      <c r="B18" s="438" t="s">
        <v>36</v>
      </c>
      <c r="C18" s="432">
        <v>819286394.70000005</v>
      </c>
      <c r="D18" s="432"/>
      <c r="E18" s="433">
        <f t="shared" si="0"/>
        <v>819286394.70000005</v>
      </c>
      <c r="F18" s="432">
        <v>496252856.63</v>
      </c>
      <c r="G18" s="432"/>
      <c r="H18" s="434">
        <f t="shared" si="1"/>
        <v>496252856.63</v>
      </c>
    </row>
    <row r="19" spans="1:8">
      <c r="A19" s="405" t="s">
        <v>16</v>
      </c>
      <c r="B19" s="438" t="s">
        <v>37</v>
      </c>
      <c r="C19" s="432">
        <v>150683772.30000001</v>
      </c>
      <c r="D19" s="432"/>
      <c r="E19" s="433">
        <f t="shared" si="0"/>
        <v>150683772.30000001</v>
      </c>
      <c r="F19" s="432">
        <v>118834246.34</v>
      </c>
      <c r="G19" s="432"/>
      <c r="H19" s="434">
        <f t="shared" si="1"/>
        <v>118834246.34</v>
      </c>
    </row>
    <row r="20" spans="1:8">
      <c r="A20" s="405" t="s">
        <v>17</v>
      </c>
      <c r="B20" s="438" t="s">
        <v>38</v>
      </c>
      <c r="C20" s="432"/>
      <c r="D20" s="432"/>
      <c r="E20" s="433">
        <f t="shared" si="0"/>
        <v>0</v>
      </c>
      <c r="F20" s="432"/>
      <c r="G20" s="432"/>
      <c r="H20" s="434">
        <f t="shared" si="1"/>
        <v>0</v>
      </c>
    </row>
    <row r="21" spans="1:8">
      <c r="A21" s="405" t="s">
        <v>18</v>
      </c>
      <c r="B21" s="438" t="s">
        <v>39</v>
      </c>
      <c r="C21" s="432">
        <v>144535860.25999999</v>
      </c>
      <c r="D21" s="432"/>
      <c r="E21" s="433">
        <f t="shared" si="0"/>
        <v>144535860.25999999</v>
      </c>
      <c r="F21" s="432">
        <v>82720082.819999993</v>
      </c>
      <c r="G21" s="432"/>
      <c r="H21" s="434">
        <f t="shared" si="1"/>
        <v>82720082.819999993</v>
      </c>
    </row>
    <row r="22" spans="1:8">
      <c r="A22" s="405" t="s">
        <v>19</v>
      </c>
      <c r="B22" s="438" t="s">
        <v>40</v>
      </c>
      <c r="C22" s="432">
        <v>4376683.03</v>
      </c>
      <c r="D22" s="432"/>
      <c r="E22" s="433">
        <f t="shared" si="0"/>
        <v>4376683.03</v>
      </c>
      <c r="F22" s="432">
        <v>2525601.46</v>
      </c>
      <c r="G22" s="432"/>
      <c r="H22" s="434">
        <f t="shared" si="1"/>
        <v>2525601.46</v>
      </c>
    </row>
    <row r="23" spans="1:8">
      <c r="A23" s="405">
        <v>5.4</v>
      </c>
      <c r="B23" s="437" t="s">
        <v>184</v>
      </c>
      <c r="C23" s="432">
        <v>127218499.81999999</v>
      </c>
      <c r="D23" s="432"/>
      <c r="E23" s="433">
        <f t="shared" si="0"/>
        <v>127218499.81999999</v>
      </c>
      <c r="F23" s="432">
        <v>56537910.100000001</v>
      </c>
      <c r="G23" s="432"/>
      <c r="H23" s="434">
        <f t="shared" si="1"/>
        <v>56537910.100000001</v>
      </c>
    </row>
    <row r="24" spans="1:8">
      <c r="A24" s="405">
        <v>5.5</v>
      </c>
      <c r="B24" s="437" t="s">
        <v>185</v>
      </c>
      <c r="C24" s="432"/>
      <c r="D24" s="432"/>
      <c r="E24" s="433">
        <f t="shared" si="0"/>
        <v>0</v>
      </c>
      <c r="F24" s="432"/>
      <c r="G24" s="432"/>
      <c r="H24" s="434">
        <f t="shared" si="1"/>
        <v>0</v>
      </c>
    </row>
    <row r="25" spans="1:8">
      <c r="A25" s="405">
        <v>5.6</v>
      </c>
      <c r="B25" s="437" t="s">
        <v>186</v>
      </c>
      <c r="C25" s="432"/>
      <c r="D25" s="432"/>
      <c r="E25" s="433">
        <f t="shared" si="0"/>
        <v>0</v>
      </c>
      <c r="F25" s="432"/>
      <c r="G25" s="432"/>
      <c r="H25" s="434">
        <f t="shared" si="1"/>
        <v>0</v>
      </c>
    </row>
    <row r="26" spans="1:8">
      <c r="A26" s="405">
        <v>5.7</v>
      </c>
      <c r="B26" s="437" t="s">
        <v>40</v>
      </c>
      <c r="C26" s="432"/>
      <c r="D26" s="432"/>
      <c r="E26" s="433">
        <f t="shared" si="0"/>
        <v>0</v>
      </c>
      <c r="F26" s="432"/>
      <c r="G26" s="432"/>
      <c r="H26" s="434">
        <f t="shared" si="1"/>
        <v>0</v>
      </c>
    </row>
    <row r="27" spans="1:8">
      <c r="A27" s="405">
        <v>6</v>
      </c>
      <c r="B27" s="439" t="s">
        <v>658</v>
      </c>
      <c r="C27" s="432">
        <v>34603677.349999994</v>
      </c>
      <c r="D27" s="432">
        <v>13235071.27</v>
      </c>
      <c r="E27" s="433">
        <f t="shared" si="0"/>
        <v>47838748.61999999</v>
      </c>
      <c r="F27" s="432">
        <v>26413055.119999997</v>
      </c>
      <c r="G27" s="432">
        <v>17159283.68</v>
      </c>
      <c r="H27" s="434">
        <f t="shared" si="1"/>
        <v>43572338.799999997</v>
      </c>
    </row>
    <row r="28" spans="1:8">
      <c r="A28" s="405">
        <v>7</v>
      </c>
      <c r="B28" s="439" t="s">
        <v>659</v>
      </c>
      <c r="C28" s="432">
        <v>379000</v>
      </c>
      <c r="D28" s="432"/>
      <c r="E28" s="433">
        <f t="shared" si="0"/>
        <v>379000</v>
      </c>
      <c r="F28" s="432">
        <v>305898.5</v>
      </c>
      <c r="G28" s="432"/>
      <c r="H28" s="434">
        <f t="shared" si="1"/>
        <v>305898.5</v>
      </c>
    </row>
    <row r="29" spans="1:8">
      <c r="A29" s="405">
        <v>8</v>
      </c>
      <c r="B29" s="439" t="s">
        <v>194</v>
      </c>
      <c r="C29" s="432"/>
      <c r="D29" s="432"/>
      <c r="E29" s="433">
        <f t="shared" si="0"/>
        <v>0</v>
      </c>
      <c r="F29" s="432"/>
      <c r="G29" s="432"/>
      <c r="H29" s="434">
        <f t="shared" si="1"/>
        <v>0</v>
      </c>
    </row>
    <row r="30" spans="1:8">
      <c r="A30" s="405">
        <v>9</v>
      </c>
      <c r="B30" s="440" t="s">
        <v>211</v>
      </c>
      <c r="C30" s="432">
        <f>C31+C32+C33+C34+C35+C36+C37</f>
        <v>186916086</v>
      </c>
      <c r="D30" s="432">
        <f>D31+D32+D33+D34+D35+D36+D37</f>
        <v>188176902.58000001</v>
      </c>
      <c r="E30" s="433">
        <f t="shared" si="0"/>
        <v>375092988.58000004</v>
      </c>
      <c r="F30" s="432">
        <f>F31+F32+F33+F34+F35+F36+F37</f>
        <v>155589596</v>
      </c>
      <c r="G30" s="432">
        <f>G31+G32+G33+G34+G35+G36+G37</f>
        <v>153188840</v>
      </c>
      <c r="H30" s="434">
        <f t="shared" si="1"/>
        <v>308778436</v>
      </c>
    </row>
    <row r="31" spans="1:8">
      <c r="A31" s="405">
        <v>9.1</v>
      </c>
      <c r="B31" s="441" t="s">
        <v>201</v>
      </c>
      <c r="C31" s="432"/>
      <c r="D31" s="432">
        <v>187551618.58000001</v>
      </c>
      <c r="E31" s="433">
        <f t="shared" si="0"/>
        <v>187551618.58000001</v>
      </c>
      <c r="F31" s="432">
        <v>2546030</v>
      </c>
      <c r="G31" s="432">
        <v>150637160</v>
      </c>
      <c r="H31" s="434">
        <f t="shared" si="1"/>
        <v>153183190</v>
      </c>
    </row>
    <row r="32" spans="1:8">
      <c r="A32" s="405">
        <v>9.1999999999999993</v>
      </c>
      <c r="B32" s="441" t="s">
        <v>202</v>
      </c>
      <c r="C32" s="432">
        <v>186916086</v>
      </c>
      <c r="D32" s="432">
        <v>625284</v>
      </c>
      <c r="E32" s="433">
        <f t="shared" si="0"/>
        <v>187541370</v>
      </c>
      <c r="F32" s="432">
        <v>153043566</v>
      </c>
      <c r="G32" s="432">
        <v>2551680</v>
      </c>
      <c r="H32" s="434">
        <f t="shared" si="1"/>
        <v>155595246</v>
      </c>
    </row>
    <row r="33" spans="1:8">
      <c r="A33" s="405">
        <v>9.3000000000000007</v>
      </c>
      <c r="B33" s="441" t="s">
        <v>198</v>
      </c>
      <c r="C33" s="432"/>
      <c r="D33" s="432"/>
      <c r="E33" s="433">
        <f t="shared" si="0"/>
        <v>0</v>
      </c>
      <c r="F33" s="432"/>
      <c r="G33" s="432"/>
      <c r="H33" s="434">
        <f t="shared" si="1"/>
        <v>0</v>
      </c>
    </row>
    <row r="34" spans="1:8">
      <c r="A34" s="405">
        <v>9.4</v>
      </c>
      <c r="B34" s="441" t="s">
        <v>199</v>
      </c>
      <c r="C34" s="432"/>
      <c r="D34" s="432"/>
      <c r="E34" s="433">
        <f t="shared" si="0"/>
        <v>0</v>
      </c>
      <c r="F34" s="432"/>
      <c r="G34" s="432"/>
      <c r="H34" s="434">
        <f t="shared" si="1"/>
        <v>0</v>
      </c>
    </row>
    <row r="35" spans="1:8">
      <c r="A35" s="405">
        <v>9.5</v>
      </c>
      <c r="B35" s="441" t="s">
        <v>200</v>
      </c>
      <c r="C35" s="432"/>
      <c r="D35" s="432"/>
      <c r="E35" s="433">
        <f t="shared" si="0"/>
        <v>0</v>
      </c>
      <c r="F35" s="432"/>
      <c r="G35" s="432"/>
      <c r="H35" s="434">
        <f t="shared" si="1"/>
        <v>0</v>
      </c>
    </row>
    <row r="36" spans="1:8">
      <c r="A36" s="405">
        <v>9.6</v>
      </c>
      <c r="B36" s="441" t="s">
        <v>203</v>
      </c>
      <c r="C36" s="432"/>
      <c r="D36" s="432"/>
      <c r="E36" s="433">
        <f t="shared" si="0"/>
        <v>0</v>
      </c>
      <c r="F36" s="432"/>
      <c r="G36" s="432"/>
      <c r="H36" s="434">
        <f t="shared" si="1"/>
        <v>0</v>
      </c>
    </row>
    <row r="37" spans="1:8">
      <c r="A37" s="405">
        <v>9.6999999999999993</v>
      </c>
      <c r="B37" s="441" t="s">
        <v>204</v>
      </c>
      <c r="C37" s="432"/>
      <c r="D37" s="432"/>
      <c r="E37" s="433">
        <f t="shared" si="0"/>
        <v>0</v>
      </c>
      <c r="F37" s="432"/>
      <c r="G37" s="432"/>
      <c r="H37" s="434">
        <f t="shared" si="1"/>
        <v>0</v>
      </c>
    </row>
    <row r="38" spans="1:8">
      <c r="A38" s="405">
        <v>10</v>
      </c>
      <c r="B38" s="436" t="s">
        <v>207</v>
      </c>
      <c r="C38" s="432">
        <f>C39+C40+C41+C42</f>
        <v>222680716.40000001</v>
      </c>
      <c r="D38" s="432">
        <f>D39+D40+D41+D42</f>
        <v>6414761.5915240003</v>
      </c>
      <c r="E38" s="433">
        <f t="shared" si="0"/>
        <v>229095477.99152401</v>
      </c>
      <c r="F38" s="432">
        <f>F39+F40+F41+F42</f>
        <v>160662690.08129996</v>
      </c>
      <c r="G38" s="432">
        <f>G39+G40+G41+G42</f>
        <v>23478193.267538</v>
      </c>
      <c r="H38" s="434">
        <f t="shared" si="1"/>
        <v>184140883.34883797</v>
      </c>
    </row>
    <row r="39" spans="1:8">
      <c r="A39" s="405">
        <v>10.1</v>
      </c>
      <c r="B39" s="442" t="s">
        <v>208</v>
      </c>
      <c r="C39" s="432">
        <v>10898091.390000001</v>
      </c>
      <c r="D39" s="432">
        <v>378308.42871800001</v>
      </c>
      <c r="E39" s="433">
        <f t="shared" si="0"/>
        <v>11276399.818718001</v>
      </c>
      <c r="F39" s="432">
        <v>13222890.439999979</v>
      </c>
      <c r="G39" s="432">
        <v>122443.11633599999</v>
      </c>
      <c r="H39" s="434">
        <f t="shared" si="1"/>
        <v>13345333.556335978</v>
      </c>
    </row>
    <row r="40" spans="1:8">
      <c r="A40" s="405">
        <v>10.199999999999999</v>
      </c>
      <c r="B40" s="442" t="s">
        <v>209</v>
      </c>
      <c r="C40" s="432">
        <v>7155314</v>
      </c>
      <c r="D40" s="432">
        <v>151327</v>
      </c>
      <c r="E40" s="433">
        <f t="shared" si="0"/>
        <v>7306641</v>
      </c>
      <c r="F40" s="432">
        <v>7625919</v>
      </c>
      <c r="G40" s="432">
        <v>2892</v>
      </c>
      <c r="H40" s="434">
        <f t="shared" si="1"/>
        <v>7628811</v>
      </c>
    </row>
    <row r="41" spans="1:8">
      <c r="A41" s="405">
        <v>10.3</v>
      </c>
      <c r="B41" s="442" t="s">
        <v>212</v>
      </c>
      <c r="C41" s="432">
        <v>127587700.01000001</v>
      </c>
      <c r="D41" s="432">
        <v>2887700.1628060001</v>
      </c>
      <c r="E41" s="433">
        <f t="shared" si="0"/>
        <v>130475400.17280601</v>
      </c>
      <c r="F41" s="432">
        <v>86079923.95130001</v>
      </c>
      <c r="G41" s="432">
        <v>15124378.533499001</v>
      </c>
      <c r="H41" s="434">
        <f t="shared" si="1"/>
        <v>101204302.48479901</v>
      </c>
    </row>
    <row r="42" spans="1:8" ht="26.4">
      <c r="A42" s="405">
        <v>10.4</v>
      </c>
      <c r="B42" s="442" t="s">
        <v>213</v>
      </c>
      <c r="C42" s="432">
        <v>77039611</v>
      </c>
      <c r="D42" s="432">
        <v>2997426</v>
      </c>
      <c r="E42" s="433">
        <f t="shared" si="0"/>
        <v>80037037</v>
      </c>
      <c r="F42" s="432">
        <v>53733956.689999983</v>
      </c>
      <c r="G42" s="432">
        <v>8228479.617703001</v>
      </c>
      <c r="H42" s="434">
        <f t="shared" si="1"/>
        <v>61962436.307702981</v>
      </c>
    </row>
    <row r="43" spans="1:8" ht="15" thickBot="1">
      <c r="A43" s="405">
        <v>11</v>
      </c>
      <c r="B43" s="145" t="s">
        <v>210</v>
      </c>
      <c r="C43" s="432"/>
      <c r="D43" s="432"/>
      <c r="E43" s="433">
        <f t="shared" si="0"/>
        <v>0</v>
      </c>
      <c r="F43" s="432"/>
      <c r="G43" s="432"/>
      <c r="H43" s="434">
        <f t="shared" si="1"/>
        <v>0</v>
      </c>
    </row>
    <row r="44" spans="1:8">
      <c r="C44" s="443"/>
      <c r="D44" s="443"/>
      <c r="E44" s="443"/>
      <c r="F44" s="443"/>
      <c r="G44" s="443"/>
      <c r="H44" s="443"/>
    </row>
    <row r="45" spans="1:8">
      <c r="C45" s="443"/>
      <c r="D45" s="443"/>
      <c r="E45" s="443"/>
      <c r="F45" s="443"/>
      <c r="G45" s="443"/>
      <c r="H45" s="443"/>
    </row>
    <row r="46" spans="1:8">
      <c r="C46" s="443"/>
      <c r="D46" s="443"/>
      <c r="E46" s="443"/>
      <c r="F46" s="443"/>
      <c r="G46" s="443"/>
      <c r="H46" s="443"/>
    </row>
    <row r="47" spans="1:8">
      <c r="C47" s="443"/>
      <c r="D47" s="443"/>
      <c r="E47" s="443"/>
      <c r="F47" s="443"/>
      <c r="G47" s="443"/>
      <c r="H47" s="443"/>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19" sqref="C19"/>
    </sheetView>
  </sheetViews>
  <sheetFormatPr defaultColWidth="9.21875" defaultRowHeight="13.2"/>
  <cols>
    <col min="1" max="1" width="9.5546875" style="4" bestFit="1" customWidth="1"/>
    <col min="2" max="2" width="93.5546875" style="4" customWidth="1"/>
    <col min="3" max="4" width="12.33203125" style="4" bestFit="1" customWidth="1"/>
    <col min="5" max="7" width="12.33203125" style="19" bestFit="1" customWidth="1"/>
    <col min="8" max="11" width="9.77734375" style="19" customWidth="1"/>
    <col min="12" max="16384" width="9.21875" style="19"/>
  </cols>
  <sheetData>
    <row r="1" spans="1:7">
      <c r="A1" s="2" t="s">
        <v>30</v>
      </c>
      <c r="B1" s="3" t="str">
        <f>'Info '!C2</f>
        <v>JSC "CREDOBANK"</v>
      </c>
      <c r="C1" s="3"/>
    </row>
    <row r="2" spans="1:7">
      <c r="A2" s="2" t="s">
        <v>31</v>
      </c>
      <c r="B2" s="336">
        <f>'1. key ratios '!B2</f>
        <v>45199</v>
      </c>
      <c r="C2" s="3"/>
    </row>
    <row r="3" spans="1:7">
      <c r="A3" s="2"/>
      <c r="B3" s="3"/>
      <c r="C3" s="3"/>
    </row>
    <row r="4" spans="1:7" ht="15" customHeight="1" thickBot="1">
      <c r="A4" s="4" t="s">
        <v>96</v>
      </c>
      <c r="B4" s="92" t="s">
        <v>187</v>
      </c>
      <c r="C4" s="22" t="s">
        <v>35</v>
      </c>
    </row>
    <row r="5" spans="1:7" ht="15" customHeight="1">
      <c r="A5" s="169" t="s">
        <v>6</v>
      </c>
      <c r="B5" s="170"/>
      <c r="C5" s="334" t="str">
        <f>INT((MONTH($B$2))/3)&amp;"Q"&amp;"-"&amp;YEAR($B$2)</f>
        <v>3Q-2023</v>
      </c>
      <c r="D5" s="334" t="str">
        <f>IF(INT(MONTH($B$2))=3, "4"&amp;"Q"&amp;"-"&amp;YEAR($B$2)-1, IF(INT(MONTH($B$2))=6, "1"&amp;"Q"&amp;"-"&amp;YEAR($B$2), IF(INT(MONTH($B$2))=9, "2"&amp;"Q"&amp;"-"&amp;YEAR($B$2),IF(INT(MONTH($B$2))=12, "3"&amp;"Q"&amp;"-"&amp;YEAR($B$2), 0))))</f>
        <v>2Q-2023</v>
      </c>
      <c r="E5" s="334" t="str">
        <f>IF(INT(MONTH($B$2))=3, "3"&amp;"Q"&amp;"-"&amp;YEAR($B$2)-1, IF(INT(MONTH($B$2))=6, "4"&amp;"Q"&amp;"-"&amp;YEAR($B$2)-1, IF(INT(MONTH($B$2))=9, "1"&amp;"Q"&amp;"-"&amp;YEAR($B$2),IF(INT(MONTH($B$2))=12, "2"&amp;"Q"&amp;"-"&amp;YEAR($B$2), 0))))</f>
        <v>1Q-2023</v>
      </c>
      <c r="F5" s="334" t="str">
        <f>IF(INT(MONTH($B$2))=3, "2"&amp;"Q"&amp;"-"&amp;YEAR($B$2)-1, IF(INT(MONTH($B$2))=6, "3"&amp;"Q"&amp;"-"&amp;YEAR($B$2)-1, IF(INT(MONTH($B$2))=9, "4"&amp;"Q"&amp;"-"&amp;YEAR($B$2)-1,IF(INT(MONTH($B$2))=12, "1"&amp;"Q"&amp;"-"&amp;YEAR($B$2), 0))))</f>
        <v>4Q-2022</v>
      </c>
      <c r="G5" s="335" t="str">
        <f>IF(INT(MONTH($B$2))=3, "1"&amp;"Q"&amp;"-"&amp;YEAR($B$2)-1, IF(INT(MONTH($B$2))=6, "2"&amp;"Q"&amp;"-"&amp;YEAR($B$2)-1, IF(INT(MONTH($B$2))=9, "3"&amp;"Q"&amp;"-"&amp;YEAR($B$2)-1,IF(INT(MONTH($B$2))=12, "4"&amp;"Q"&amp;"-"&amp;YEAR($B$2)-1, 0))))</f>
        <v>3Q-2022</v>
      </c>
    </row>
    <row r="6" spans="1:7" ht="15" customHeight="1">
      <c r="A6" s="23">
        <v>1</v>
      </c>
      <c r="B6" s="256" t="s">
        <v>191</v>
      </c>
      <c r="C6" s="326">
        <f>C7+C9+C10</f>
        <v>1555571144.3906891</v>
      </c>
      <c r="D6" s="328">
        <f>D7+D9+D10</f>
        <v>1513603449.19348</v>
      </c>
      <c r="E6" s="258">
        <f t="shared" ref="E6:G6" si="0">E7+E9+E10</f>
        <v>1457145175.4120243</v>
      </c>
      <c r="F6" s="326">
        <f t="shared" si="0"/>
        <v>1494733348.371649</v>
      </c>
      <c r="G6" s="331">
        <f t="shared" si="0"/>
        <v>1437590936.8360705</v>
      </c>
    </row>
    <row r="7" spans="1:7" ht="15" customHeight="1">
      <c r="A7" s="23">
        <v>1.1000000000000001</v>
      </c>
      <c r="B7" s="256" t="s">
        <v>357</v>
      </c>
      <c r="C7" s="327">
        <v>1533806374.343189</v>
      </c>
      <c r="D7" s="329">
        <v>1493803420.6659799</v>
      </c>
      <c r="E7" s="327">
        <v>1438725774.1332741</v>
      </c>
      <c r="F7" s="327">
        <v>1475242645.1091492</v>
      </c>
      <c r="G7" s="332">
        <v>1423485487.8448205</v>
      </c>
    </row>
    <row r="8" spans="1:7">
      <c r="A8" s="23" t="s">
        <v>14</v>
      </c>
      <c r="B8" s="256" t="s">
        <v>95</v>
      </c>
      <c r="C8" s="327"/>
      <c r="D8" s="329"/>
      <c r="E8" s="327"/>
      <c r="F8" s="327"/>
      <c r="G8" s="332"/>
    </row>
    <row r="9" spans="1:7" ht="15" customHeight="1">
      <c r="A9" s="23">
        <v>1.2</v>
      </c>
      <c r="B9" s="257" t="s">
        <v>94</v>
      </c>
      <c r="C9" s="327">
        <v>18026448.327499997</v>
      </c>
      <c r="D9" s="329">
        <v>16187572.1175</v>
      </c>
      <c r="E9" s="327">
        <v>14885125.138750002</v>
      </c>
      <c r="F9" s="327">
        <v>16071362.142499998</v>
      </c>
      <c r="G9" s="332">
        <v>13821928.991249997</v>
      </c>
    </row>
    <row r="10" spans="1:7" ht="15" customHeight="1">
      <c r="A10" s="23">
        <v>1.3</v>
      </c>
      <c r="B10" s="256" t="s">
        <v>28</v>
      </c>
      <c r="C10" s="327">
        <v>3738321.72</v>
      </c>
      <c r="D10" s="329">
        <v>3612456.41</v>
      </c>
      <c r="E10" s="327">
        <v>3534276.14</v>
      </c>
      <c r="F10" s="327">
        <v>3419341.12</v>
      </c>
      <c r="G10" s="332">
        <v>283520</v>
      </c>
    </row>
    <row r="11" spans="1:7" ht="15" customHeight="1">
      <c r="A11" s="23">
        <v>2</v>
      </c>
      <c r="B11" s="256" t="s">
        <v>188</v>
      </c>
      <c r="C11" s="327">
        <v>912850.53000352031</v>
      </c>
      <c r="D11" s="329">
        <v>680131.54784977494</v>
      </c>
      <c r="E11" s="327">
        <v>396149</v>
      </c>
      <c r="F11" s="327">
        <v>531909.49999903305</v>
      </c>
      <c r="G11" s="332">
        <v>2444963.1704999991</v>
      </c>
    </row>
    <row r="12" spans="1:7" ht="15" customHeight="1">
      <c r="A12" s="23">
        <v>3</v>
      </c>
      <c r="B12" s="256" t="s">
        <v>189</v>
      </c>
      <c r="C12" s="327">
        <v>435833167.47878599</v>
      </c>
      <c r="D12" s="329">
        <v>435833167.47878599</v>
      </c>
      <c r="E12" s="327">
        <v>435833167.47878599</v>
      </c>
      <c r="F12" s="327">
        <v>435833167.47878599</v>
      </c>
      <c r="G12" s="332">
        <v>376017293.83332092</v>
      </c>
    </row>
    <row r="13" spans="1:7" ht="15" customHeight="1" thickBot="1">
      <c r="A13" s="25">
        <v>4</v>
      </c>
      <c r="B13" s="26" t="s">
        <v>190</v>
      </c>
      <c r="C13" s="259">
        <f>C6+C11+C12</f>
        <v>1992317162.3994787</v>
      </c>
      <c r="D13" s="330">
        <f>D6+D11+D12</f>
        <v>1950116748.2201159</v>
      </c>
      <c r="E13" s="260">
        <f t="shared" ref="E13:G13" si="1">E6+E11+E12</f>
        <v>1893374491.8908103</v>
      </c>
      <c r="F13" s="259">
        <f t="shared" si="1"/>
        <v>1931098425.3504341</v>
      </c>
      <c r="G13" s="333">
        <f t="shared" si="1"/>
        <v>1816053193.8398914</v>
      </c>
    </row>
    <row r="14" spans="1:7">
      <c r="B14" s="29"/>
    </row>
    <row r="15" spans="1:7" ht="26.4">
      <c r="B15" s="29" t="s">
        <v>358</v>
      </c>
    </row>
    <row r="16" spans="1:7">
      <c r="B16" s="29"/>
    </row>
    <row r="17" s="19" customFormat="1" ht="10.199999999999999"/>
    <row r="18" s="19" customFormat="1" ht="10.199999999999999"/>
    <row r="19" s="19" customFormat="1" ht="10.199999999999999"/>
    <row r="20" s="19" customFormat="1" ht="10.199999999999999"/>
    <row r="21" s="19" customFormat="1" ht="10.199999999999999"/>
    <row r="22" s="19" customFormat="1" ht="10.199999999999999"/>
    <row r="23" s="19" customFormat="1" ht="10.199999999999999"/>
    <row r="24" s="19" customFormat="1" ht="10.199999999999999"/>
    <row r="25" s="19" customFormat="1" ht="10.199999999999999"/>
    <row r="26" s="19" customFormat="1" ht="10.199999999999999"/>
    <row r="27" s="19" customFormat="1" ht="10.199999999999999"/>
    <row r="28" s="19" customFormat="1" ht="10.199999999999999"/>
    <row r="29" s="19" customFormat="1" ht="10.199999999999999"/>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H26" sqref="H26"/>
    </sheetView>
  </sheetViews>
  <sheetFormatPr defaultColWidth="9.21875" defaultRowHeight="13.8"/>
  <cols>
    <col min="1" max="1" width="9.5546875" style="4" bestFit="1" customWidth="1"/>
    <col min="2" max="2" width="65.5546875" style="4" customWidth="1"/>
    <col min="3" max="3" width="27.5546875" style="4" customWidth="1"/>
    <col min="4" max="16384" width="9.21875" style="5"/>
  </cols>
  <sheetData>
    <row r="1" spans="1:3">
      <c r="A1" s="2" t="s">
        <v>30</v>
      </c>
      <c r="B1" s="3" t="str">
        <f>'Info '!C2</f>
        <v>JSC "CREDOBANK"</v>
      </c>
    </row>
    <row r="2" spans="1:3">
      <c r="A2" s="2" t="s">
        <v>31</v>
      </c>
      <c r="B2" s="336">
        <f>'1. key ratios '!B2</f>
        <v>45199</v>
      </c>
    </row>
    <row r="4" spans="1:3" ht="28.05" customHeight="1" thickBot="1">
      <c r="A4" s="30" t="s">
        <v>41</v>
      </c>
      <c r="B4" s="31" t="s">
        <v>163</v>
      </c>
      <c r="C4" s="32"/>
    </row>
    <row r="5" spans="1:3">
      <c r="A5" s="33"/>
      <c r="B5" s="321" t="s">
        <v>42</v>
      </c>
      <c r="C5" s="322" t="s">
        <v>371</v>
      </c>
    </row>
    <row r="6" spans="1:3">
      <c r="A6" s="34">
        <v>1</v>
      </c>
      <c r="B6" s="607" t="s">
        <v>717</v>
      </c>
      <c r="C6" s="36" t="s">
        <v>718</v>
      </c>
    </row>
    <row r="7" spans="1:3">
      <c r="A7" s="34">
        <v>2</v>
      </c>
      <c r="B7" s="607" t="s">
        <v>719</v>
      </c>
      <c r="C7" s="36" t="s">
        <v>720</v>
      </c>
    </row>
    <row r="8" spans="1:3">
      <c r="A8" s="34">
        <v>3</v>
      </c>
      <c r="B8" s="607" t="s">
        <v>721</v>
      </c>
      <c r="C8" s="36" t="s">
        <v>724</v>
      </c>
    </row>
    <row r="9" spans="1:3">
      <c r="A9" s="34">
        <v>4</v>
      </c>
      <c r="B9" s="607" t="s">
        <v>722</v>
      </c>
      <c r="C9" s="36" t="s">
        <v>720</v>
      </c>
    </row>
    <row r="10" spans="1:3">
      <c r="A10" s="34">
        <v>5</v>
      </c>
      <c r="B10" s="607" t="s">
        <v>723</v>
      </c>
      <c r="C10" s="36" t="s">
        <v>726</v>
      </c>
    </row>
    <row r="11" spans="1:3">
      <c r="A11" s="34">
        <v>6</v>
      </c>
      <c r="B11" s="607" t="s">
        <v>725</v>
      </c>
      <c r="C11" s="36" t="s">
        <v>724</v>
      </c>
    </row>
    <row r="12" spans="1:3">
      <c r="A12" s="34"/>
      <c r="B12" s="323"/>
      <c r="C12" s="324"/>
    </row>
    <row r="13" spans="1:3" ht="26.4">
      <c r="A13" s="34"/>
      <c r="B13" s="151" t="s">
        <v>43</v>
      </c>
      <c r="C13" s="325" t="s">
        <v>372</v>
      </c>
    </row>
    <row r="14" spans="1:3">
      <c r="A14" s="34">
        <v>1</v>
      </c>
      <c r="B14" s="607" t="s">
        <v>715</v>
      </c>
      <c r="C14" s="37" t="s">
        <v>732</v>
      </c>
    </row>
    <row r="15" spans="1:3">
      <c r="A15" s="34">
        <v>2</v>
      </c>
      <c r="B15" s="607" t="s">
        <v>727</v>
      </c>
      <c r="C15" s="37" t="s">
        <v>733</v>
      </c>
    </row>
    <row r="16" spans="1:3">
      <c r="A16" s="34">
        <v>3</v>
      </c>
      <c r="B16" s="607" t="s">
        <v>728</v>
      </c>
      <c r="C16" s="37" t="s">
        <v>734</v>
      </c>
    </row>
    <row r="17" spans="1:3">
      <c r="A17" s="34">
        <v>4</v>
      </c>
      <c r="B17" s="607" t="s">
        <v>729</v>
      </c>
      <c r="C17" s="37" t="s">
        <v>735</v>
      </c>
    </row>
    <row r="18" spans="1:3">
      <c r="A18" s="34">
        <v>5</v>
      </c>
      <c r="B18" s="607" t="s">
        <v>730</v>
      </c>
      <c r="C18" s="37" t="s">
        <v>736</v>
      </c>
    </row>
    <row r="19" spans="1:3">
      <c r="A19" s="34">
        <v>6</v>
      </c>
      <c r="B19" s="607" t="s">
        <v>731</v>
      </c>
      <c r="C19" s="37" t="s">
        <v>737</v>
      </c>
    </row>
    <row r="20" spans="1:3" ht="15.75" customHeight="1">
      <c r="A20" s="34"/>
      <c r="B20" s="35"/>
      <c r="C20" s="38"/>
    </row>
    <row r="21" spans="1:3" ht="30" customHeight="1">
      <c r="A21" s="34"/>
      <c r="B21" s="715" t="s">
        <v>44</v>
      </c>
      <c r="C21" s="716"/>
    </row>
    <row r="22" spans="1:3">
      <c r="A22" s="34">
        <v>1</v>
      </c>
      <c r="B22" s="607" t="s">
        <v>738</v>
      </c>
      <c r="C22" s="610">
        <v>0.50868224259580042</v>
      </c>
    </row>
    <row r="23" spans="1:3">
      <c r="A23" s="34">
        <v>2</v>
      </c>
      <c r="B23" s="607" t="s">
        <v>739</v>
      </c>
      <c r="C23" s="611">
        <v>8.3653724280704722E-2</v>
      </c>
    </row>
    <row r="24" spans="1:3">
      <c r="A24" s="34">
        <v>3</v>
      </c>
      <c r="B24" s="607" t="s">
        <v>740</v>
      </c>
      <c r="C24" s="611">
        <v>8.3653724280704722E-2</v>
      </c>
    </row>
    <row r="25" spans="1:3">
      <c r="A25" s="34">
        <v>4</v>
      </c>
      <c r="B25" s="607" t="s">
        <v>741</v>
      </c>
      <c r="C25" s="611">
        <v>7.8921796442604247E-2</v>
      </c>
    </row>
    <row r="26" spans="1:3" ht="26.4">
      <c r="A26" s="34">
        <v>5</v>
      </c>
      <c r="B26" s="607" t="s">
        <v>742</v>
      </c>
      <c r="C26" s="611">
        <v>7.4274367315898426E-2</v>
      </c>
    </row>
    <row r="27" spans="1:3" ht="26.4">
      <c r="A27" s="34">
        <v>6</v>
      </c>
      <c r="B27" s="607" t="s">
        <v>743</v>
      </c>
      <c r="C27" s="611">
        <v>1.5801259030799781E-2</v>
      </c>
    </row>
    <row r="28" spans="1:3" ht="26.4">
      <c r="A28" s="34">
        <v>7</v>
      </c>
      <c r="B28" s="607" t="s">
        <v>744</v>
      </c>
      <c r="C28" s="611">
        <v>0.14871773205458616</v>
      </c>
    </row>
    <row r="29" spans="1:3">
      <c r="A29" s="34"/>
      <c r="B29" s="608"/>
      <c r="C29" s="609"/>
    </row>
    <row r="30" spans="1:3" ht="29.25" customHeight="1">
      <c r="A30" s="34"/>
      <c r="B30" s="715" t="s">
        <v>45</v>
      </c>
      <c r="C30" s="716"/>
    </row>
    <row r="31" spans="1:3">
      <c r="A31" s="34">
        <v>1</v>
      </c>
      <c r="B31" s="607" t="s">
        <v>745</v>
      </c>
      <c r="C31" s="610">
        <v>6.0385566840000002E-2</v>
      </c>
    </row>
    <row r="32" spans="1:3">
      <c r="A32" s="612">
        <v>2</v>
      </c>
      <c r="B32" s="613" t="s">
        <v>746</v>
      </c>
      <c r="C32" s="614">
        <v>6.0385566840000002E-2</v>
      </c>
    </row>
    <row r="33" spans="1:3">
      <c r="A33" s="34">
        <v>3</v>
      </c>
      <c r="B33" s="613" t="s">
        <v>747</v>
      </c>
      <c r="C33" s="614">
        <v>7.6018378560000016E-2</v>
      </c>
    </row>
    <row r="34" spans="1:3">
      <c r="A34" s="612">
        <v>4</v>
      </c>
      <c r="B34" s="613" t="s">
        <v>748</v>
      </c>
      <c r="C34" s="614">
        <v>6.4932365020000007E-2</v>
      </c>
    </row>
    <row r="35" spans="1:3">
      <c r="A35" s="34">
        <v>5</v>
      </c>
      <c r="B35" s="613" t="s">
        <v>749</v>
      </c>
      <c r="C35" s="614">
        <v>0.12143527274</v>
      </c>
    </row>
    <row r="36" spans="1:3">
      <c r="A36" s="612">
        <v>6</v>
      </c>
      <c r="B36" s="613" t="s">
        <v>750</v>
      </c>
      <c r="C36" s="614">
        <v>7.2861163643999999E-2</v>
      </c>
    </row>
    <row r="37" spans="1:3">
      <c r="A37" s="34">
        <v>7</v>
      </c>
      <c r="B37" s="613" t="s">
        <v>751</v>
      </c>
      <c r="C37" s="614">
        <v>5.726922202000001E-2</v>
      </c>
    </row>
    <row r="38" spans="1:3">
      <c r="A38" s="612">
        <v>8</v>
      </c>
      <c r="B38" s="607" t="s">
        <v>752</v>
      </c>
      <c r="C38" s="614">
        <v>0.11055585160427807</v>
      </c>
    </row>
    <row r="39" spans="1:3" ht="14.4" thickBot="1">
      <c r="A39" s="39"/>
      <c r="B39" s="40"/>
      <c r="C39" s="41"/>
    </row>
  </sheetData>
  <mergeCells count="2">
    <mergeCell ref="B30:C30"/>
    <mergeCell ref="B21:C21"/>
  </mergeCells>
  <dataValidations count="1">
    <dataValidation type="list" allowBlank="1" showInputMessage="1" showErrorMessage="1" sqref="C6:C9 C11"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53"/>
  <sheetViews>
    <sheetView zoomScale="70" zoomScaleNormal="70" workbookViewId="0">
      <pane xSplit="1" ySplit="5" topLeftCell="B13" activePane="bottomRight" state="frozen"/>
      <selection activeCell="B61" sqref="B61"/>
      <selection pane="topRight" activeCell="B61" sqref="B61"/>
      <selection pane="bottomLeft" activeCell="B61" sqref="B61"/>
      <selection pane="bottomRight" activeCell="H32" sqref="H32"/>
    </sheetView>
  </sheetViews>
  <sheetFormatPr defaultColWidth="9.21875" defaultRowHeight="13.8"/>
  <cols>
    <col min="1" max="1" width="9.5546875" style="4" bestFit="1" customWidth="1"/>
    <col min="2" max="2" width="54.21875" style="4" customWidth="1"/>
    <col min="3" max="3" width="28" style="4" customWidth="1"/>
    <col min="4" max="4" width="22.44140625" style="4" customWidth="1"/>
    <col min="5" max="5" width="22.21875" style="4" customWidth="1"/>
    <col min="6" max="6" width="12" style="5" bestFit="1" customWidth="1"/>
    <col min="7" max="7" width="12.5546875" style="5" bestFit="1" customWidth="1"/>
    <col min="8" max="16384" width="9.21875" style="5"/>
  </cols>
  <sheetData>
    <row r="1" spans="1:5">
      <c r="A1" s="28" t="s">
        <v>30</v>
      </c>
      <c r="B1" s="3" t="str">
        <f>'Info '!C2</f>
        <v>JSC "CREDOBANK"</v>
      </c>
    </row>
    <row r="2" spans="1:5" s="2" customFormat="1" ht="15.75" customHeight="1">
      <c r="A2" s="28" t="s">
        <v>31</v>
      </c>
      <c r="B2" s="336">
        <f>'1. key ratios '!B2</f>
        <v>45199</v>
      </c>
    </row>
    <row r="3" spans="1:5" s="2" customFormat="1" ht="15.75" customHeight="1">
      <c r="A3" s="28"/>
    </row>
    <row r="4" spans="1:5" s="2" customFormat="1" ht="15.75" customHeight="1" thickBot="1">
      <c r="A4" s="207" t="s">
        <v>99</v>
      </c>
      <c r="B4" s="721" t="s">
        <v>225</v>
      </c>
      <c r="C4" s="722"/>
      <c r="D4" s="722"/>
      <c r="E4" s="722"/>
    </row>
    <row r="5" spans="1:5" s="45" customFormat="1" ht="17.55" customHeight="1">
      <c r="A5" s="154"/>
      <c r="B5" s="155"/>
      <c r="C5" s="43" t="s">
        <v>0</v>
      </c>
      <c r="D5" s="43" t="s">
        <v>1</v>
      </c>
      <c r="E5" s="44" t="s">
        <v>2</v>
      </c>
    </row>
    <row r="6" spans="1:5" ht="14.55" customHeight="1">
      <c r="A6" s="109"/>
      <c r="B6" s="717" t="s">
        <v>232</v>
      </c>
      <c r="C6" s="717" t="s">
        <v>660</v>
      </c>
      <c r="D6" s="719" t="s">
        <v>98</v>
      </c>
      <c r="E6" s="720"/>
    </row>
    <row r="7" spans="1:5" ht="99.6" customHeight="1">
      <c r="A7" s="109"/>
      <c r="B7" s="718"/>
      <c r="C7" s="717"/>
      <c r="D7" s="242" t="s">
        <v>97</v>
      </c>
      <c r="E7" s="243" t="s">
        <v>233</v>
      </c>
    </row>
    <row r="8" spans="1:5" ht="20.399999999999999">
      <c r="A8" s="389">
        <v>1</v>
      </c>
      <c r="B8" s="390" t="s">
        <v>561</v>
      </c>
      <c r="C8" s="444">
        <f>SUM(C9:C11)</f>
        <v>316205564.25</v>
      </c>
      <c r="D8" s="444">
        <f>SUM(D9:D11)</f>
        <v>0</v>
      </c>
      <c r="E8" s="615">
        <f t="shared" ref="E8" si="0">SUM(E9:E11)</f>
        <v>316205564.25</v>
      </c>
    </row>
    <row r="9" spans="1:5" ht="14.4">
      <c r="A9" s="389">
        <v>1.1000000000000001</v>
      </c>
      <c r="B9" s="391" t="s">
        <v>562</v>
      </c>
      <c r="C9" s="444">
        <v>81533840.479999989</v>
      </c>
      <c r="D9" s="444"/>
      <c r="E9" s="615">
        <f>C9-D9</f>
        <v>81533840.479999989</v>
      </c>
    </row>
    <row r="10" spans="1:5" ht="14.4">
      <c r="A10" s="389">
        <v>1.2</v>
      </c>
      <c r="B10" s="391" t="s">
        <v>563</v>
      </c>
      <c r="C10" s="444">
        <v>126302154.88</v>
      </c>
      <c r="D10" s="444"/>
      <c r="E10" s="615">
        <f t="shared" ref="E10:E36" si="1">C10-D10</f>
        <v>126302154.88</v>
      </c>
    </row>
    <row r="11" spans="1:5" ht="14.4">
      <c r="A11" s="389">
        <v>1.3</v>
      </c>
      <c r="B11" s="391" t="s">
        <v>564</v>
      </c>
      <c r="C11" s="444">
        <v>108369568.89</v>
      </c>
      <c r="D11" s="444"/>
      <c r="E11" s="615">
        <f t="shared" si="1"/>
        <v>108369568.89</v>
      </c>
    </row>
    <row r="12" spans="1:5" ht="14.4">
      <c r="A12" s="389">
        <v>2</v>
      </c>
      <c r="B12" s="392" t="s">
        <v>565</v>
      </c>
      <c r="C12" s="444"/>
      <c r="D12" s="444"/>
      <c r="E12" s="615">
        <f t="shared" si="1"/>
        <v>0</v>
      </c>
    </row>
    <row r="13" spans="1:5" ht="14.4">
      <c r="A13" s="389">
        <v>2.1</v>
      </c>
      <c r="B13" s="393" t="s">
        <v>566</v>
      </c>
      <c r="C13" s="445"/>
      <c r="D13" s="445"/>
      <c r="E13" s="615">
        <f t="shared" si="1"/>
        <v>0</v>
      </c>
    </row>
    <row r="14" spans="1:5" ht="20.399999999999999">
      <c r="A14" s="389">
        <v>3</v>
      </c>
      <c r="B14" s="394" t="s">
        <v>567</v>
      </c>
      <c r="C14" s="445">
        <v>757847.93</v>
      </c>
      <c r="D14" s="445"/>
      <c r="E14" s="615">
        <f t="shared" si="1"/>
        <v>757847.93</v>
      </c>
    </row>
    <row r="15" spans="1:5" ht="14.4">
      <c r="A15" s="389">
        <v>4</v>
      </c>
      <c r="B15" s="395" t="s">
        <v>568</v>
      </c>
      <c r="C15" s="445"/>
      <c r="D15" s="445"/>
      <c r="E15" s="615">
        <f t="shared" si="1"/>
        <v>0</v>
      </c>
    </row>
    <row r="16" spans="1:5" ht="20.399999999999999">
      <c r="A16" s="389">
        <v>5</v>
      </c>
      <c r="B16" s="396" t="s">
        <v>569</v>
      </c>
      <c r="C16" s="445">
        <f>SUM(C17:C19)</f>
        <v>0</v>
      </c>
      <c r="D16" s="445">
        <f>SUM(D17:D19)</f>
        <v>0</v>
      </c>
      <c r="E16" s="615">
        <f t="shared" si="1"/>
        <v>0</v>
      </c>
    </row>
    <row r="17" spans="1:5" ht="14.4">
      <c r="A17" s="389">
        <v>5.0999999999999996</v>
      </c>
      <c r="B17" s="398" t="s">
        <v>570</v>
      </c>
      <c r="C17" s="445"/>
      <c r="D17" s="445"/>
      <c r="E17" s="615">
        <f t="shared" si="1"/>
        <v>0</v>
      </c>
    </row>
    <row r="18" spans="1:5" ht="14.4">
      <c r="A18" s="389">
        <v>5.2</v>
      </c>
      <c r="B18" s="398" t="s">
        <v>571</v>
      </c>
      <c r="C18" s="445"/>
      <c r="D18" s="445"/>
      <c r="E18" s="615">
        <f t="shared" si="1"/>
        <v>0</v>
      </c>
    </row>
    <row r="19" spans="1:5" ht="14.4">
      <c r="A19" s="389">
        <v>5.3</v>
      </c>
      <c r="B19" s="399" t="s">
        <v>572</v>
      </c>
      <c r="C19" s="445"/>
      <c r="D19" s="445"/>
      <c r="E19" s="615">
        <f t="shared" si="1"/>
        <v>0</v>
      </c>
    </row>
    <row r="20" spans="1:5" ht="14.4">
      <c r="A20" s="389">
        <v>6</v>
      </c>
      <c r="B20" s="394" t="s">
        <v>573</v>
      </c>
      <c r="C20" s="445">
        <f>SUM(C21:C22)</f>
        <v>1925207480.5278244</v>
      </c>
      <c r="D20" s="445">
        <f>SUM(D21:D22)</f>
        <v>0</v>
      </c>
      <c r="E20" s="615">
        <f t="shared" si="1"/>
        <v>1925207480.5278244</v>
      </c>
    </row>
    <row r="21" spans="1:5" ht="14.4">
      <c r="A21" s="389">
        <v>6.1</v>
      </c>
      <c r="B21" s="398" t="s">
        <v>571</v>
      </c>
      <c r="C21" s="445">
        <v>48483957.209999993</v>
      </c>
      <c r="D21" s="445"/>
      <c r="E21" s="615">
        <f t="shared" si="1"/>
        <v>48483957.209999993</v>
      </c>
    </row>
    <row r="22" spans="1:5" ht="14.4">
      <c r="A22" s="389">
        <v>6.2</v>
      </c>
      <c r="B22" s="399" t="s">
        <v>572</v>
      </c>
      <c r="C22" s="445">
        <v>1876723523.3178244</v>
      </c>
      <c r="D22" s="445"/>
      <c r="E22" s="615">
        <f t="shared" si="1"/>
        <v>1876723523.3178244</v>
      </c>
    </row>
    <row r="23" spans="1:5" ht="14.4">
      <c r="A23" s="389">
        <v>7</v>
      </c>
      <c r="B23" s="392" t="s">
        <v>574</v>
      </c>
      <c r="C23" s="445"/>
      <c r="D23" s="445"/>
      <c r="E23" s="615">
        <f t="shared" si="1"/>
        <v>0</v>
      </c>
    </row>
    <row r="24" spans="1:5" ht="20.399999999999999">
      <c r="A24" s="389">
        <v>8</v>
      </c>
      <c r="B24" s="400" t="s">
        <v>575</v>
      </c>
      <c r="C24" s="445"/>
      <c r="D24" s="445"/>
      <c r="E24" s="615">
        <f t="shared" si="1"/>
        <v>0</v>
      </c>
    </row>
    <row r="25" spans="1:5" ht="14.4">
      <c r="A25" s="389">
        <v>9</v>
      </c>
      <c r="B25" s="395" t="s">
        <v>576</v>
      </c>
      <c r="C25" s="445">
        <f>SUM(C26:C27)</f>
        <v>40004854.700000018</v>
      </c>
      <c r="D25" s="445">
        <f>SUM(D26:D27)</f>
        <v>0</v>
      </c>
      <c r="E25" s="615">
        <f t="shared" si="1"/>
        <v>40004854.700000018</v>
      </c>
    </row>
    <row r="26" spans="1:5" ht="14.4">
      <c r="A26" s="389">
        <v>9.1</v>
      </c>
      <c r="B26" s="398" t="s">
        <v>577</v>
      </c>
      <c r="C26" s="445">
        <v>40004854.700000018</v>
      </c>
      <c r="D26" s="445"/>
      <c r="E26" s="615">
        <f t="shared" si="1"/>
        <v>40004854.700000018</v>
      </c>
    </row>
    <row r="27" spans="1:5" ht="14.4">
      <c r="A27" s="389">
        <v>9.1999999999999993</v>
      </c>
      <c r="B27" s="398" t="s">
        <v>578</v>
      </c>
      <c r="C27" s="445"/>
      <c r="D27" s="445"/>
      <c r="E27" s="615">
        <f t="shared" si="1"/>
        <v>0</v>
      </c>
    </row>
    <row r="28" spans="1:5" ht="14.4">
      <c r="A28" s="389">
        <v>10</v>
      </c>
      <c r="B28" s="395" t="s">
        <v>579</v>
      </c>
      <c r="C28" s="445">
        <f>SUM(C29:C30)</f>
        <v>18631862.960000001</v>
      </c>
      <c r="D28" s="445">
        <f>SUM(D29:D30)</f>
        <v>18631862.960000001</v>
      </c>
      <c r="E28" s="615">
        <f t="shared" si="1"/>
        <v>0</v>
      </c>
    </row>
    <row r="29" spans="1:5" ht="14.4">
      <c r="A29" s="389">
        <v>10.1</v>
      </c>
      <c r="B29" s="398" t="s">
        <v>580</v>
      </c>
      <c r="C29" s="445"/>
      <c r="D29" s="445"/>
      <c r="E29" s="615">
        <f t="shared" si="1"/>
        <v>0</v>
      </c>
    </row>
    <row r="30" spans="1:5" ht="14.4">
      <c r="A30" s="389">
        <v>10.199999999999999</v>
      </c>
      <c r="B30" s="398" t="s">
        <v>581</v>
      </c>
      <c r="C30" s="445">
        <v>18631862.960000001</v>
      </c>
      <c r="D30" s="445">
        <v>18631862.960000001</v>
      </c>
      <c r="E30" s="615">
        <f t="shared" si="1"/>
        <v>0</v>
      </c>
    </row>
    <row r="31" spans="1:5" ht="14.4">
      <c r="A31" s="389">
        <v>11</v>
      </c>
      <c r="B31" s="395" t="s">
        <v>582</v>
      </c>
      <c r="C31" s="445">
        <f>SUM(C32:C33)</f>
        <v>1747044.9600000028</v>
      </c>
      <c r="D31" s="445">
        <f>SUM(D32:D33)</f>
        <v>0</v>
      </c>
      <c r="E31" s="615">
        <f t="shared" si="1"/>
        <v>1747044.9600000028</v>
      </c>
    </row>
    <row r="32" spans="1:5" ht="14.4">
      <c r="A32" s="389">
        <v>11.1</v>
      </c>
      <c r="B32" s="398" t="s">
        <v>583</v>
      </c>
      <c r="C32" s="445">
        <v>1747044.9600000028</v>
      </c>
      <c r="D32" s="445"/>
      <c r="E32" s="615">
        <f t="shared" si="1"/>
        <v>1747044.9600000028</v>
      </c>
    </row>
    <row r="33" spans="1:7" ht="14.4">
      <c r="A33" s="389">
        <v>11.2</v>
      </c>
      <c r="B33" s="398" t="s">
        <v>584</v>
      </c>
      <c r="C33" s="445"/>
      <c r="D33" s="445"/>
      <c r="E33" s="615">
        <f t="shared" si="1"/>
        <v>0</v>
      </c>
    </row>
    <row r="34" spans="1:7" ht="14.4">
      <c r="A34" s="389">
        <v>13</v>
      </c>
      <c r="B34" s="395" t="s">
        <v>585</v>
      </c>
      <c r="C34" s="445">
        <v>36510487</v>
      </c>
      <c r="D34" s="445"/>
      <c r="E34" s="615">
        <f t="shared" si="1"/>
        <v>36510487</v>
      </c>
    </row>
    <row r="35" spans="1:7" ht="14.4">
      <c r="A35" s="389">
        <v>13.1</v>
      </c>
      <c r="B35" s="401" t="s">
        <v>586</v>
      </c>
      <c r="C35" s="445">
        <v>11082036</v>
      </c>
      <c r="D35" s="445"/>
      <c r="E35" s="615">
        <f t="shared" si="1"/>
        <v>11082036</v>
      </c>
    </row>
    <row r="36" spans="1:7" ht="14.4">
      <c r="A36" s="389">
        <v>13.2</v>
      </c>
      <c r="B36" s="401" t="s">
        <v>587</v>
      </c>
      <c r="C36" s="445"/>
      <c r="D36" s="445"/>
      <c r="E36" s="615">
        <f t="shared" si="1"/>
        <v>0</v>
      </c>
    </row>
    <row r="37" spans="1:7" ht="27" thickBot="1">
      <c r="A37" s="112"/>
      <c r="B37" s="208" t="s">
        <v>234</v>
      </c>
      <c r="C37" s="156">
        <f>SUM(C8,C12,C14,C15,C16,C20,C23,C24,C25,C28,C31,C34)</f>
        <v>2339065142.3278241</v>
      </c>
      <c r="D37" s="156">
        <f>SUM(D8,D12,D14,D15,D16,D20,D23,D24,D25,D28,D31,D34)</f>
        <v>18631862.960000001</v>
      </c>
      <c r="E37" s="156">
        <f>SUM(E8,E12,E14,E15,E16,E20,E23,E24,E25,E28,E31,E34)</f>
        <v>2320433279.3678241</v>
      </c>
    </row>
    <row r="38" spans="1:7">
      <c r="A38" s="5"/>
      <c r="B38" s="5"/>
      <c r="C38" s="5"/>
      <c r="D38" s="5"/>
      <c r="E38" s="5"/>
    </row>
    <row r="39" spans="1:7">
      <c r="A39" s="5"/>
      <c r="B39" s="5"/>
      <c r="C39" s="5"/>
      <c r="D39" s="5"/>
      <c r="E39" s="5"/>
    </row>
    <row r="41" spans="1:7" s="4" customFormat="1">
      <c r="B41" s="46"/>
      <c r="F41" s="5"/>
      <c r="G41" s="5"/>
    </row>
    <row r="42" spans="1:7" s="4" customFormat="1">
      <c r="B42" s="46"/>
      <c r="F42" s="5"/>
      <c r="G42" s="5"/>
    </row>
    <row r="43" spans="1:7" s="4" customFormat="1">
      <c r="B43" s="46"/>
      <c r="F43" s="5"/>
      <c r="G43" s="5"/>
    </row>
    <row r="44" spans="1:7" s="4" customFormat="1">
      <c r="B44" s="46"/>
      <c r="F44" s="5"/>
      <c r="G44" s="5"/>
    </row>
    <row r="45" spans="1:7" s="4" customFormat="1">
      <c r="B45" s="46"/>
      <c r="F45" s="5"/>
      <c r="G45" s="5"/>
    </row>
    <row r="46" spans="1:7" s="4" customFormat="1">
      <c r="B46" s="46"/>
      <c r="F46" s="5"/>
      <c r="G46" s="5"/>
    </row>
    <row r="47" spans="1:7" s="4" customFormat="1">
      <c r="B47" s="46"/>
      <c r="F47" s="5"/>
      <c r="G47" s="5"/>
    </row>
    <row r="48" spans="1:7" s="4" customFormat="1">
      <c r="B48" s="46"/>
      <c r="F48" s="5"/>
      <c r="G48" s="5"/>
    </row>
    <row r="49" spans="2:7" s="4" customFormat="1">
      <c r="B49" s="46"/>
      <c r="F49" s="5"/>
      <c r="G49" s="5"/>
    </row>
    <row r="50" spans="2:7" s="4" customFormat="1">
      <c r="B50" s="46"/>
      <c r="F50" s="5"/>
      <c r="G50" s="5"/>
    </row>
    <row r="51" spans="2:7" s="4" customFormat="1">
      <c r="B51" s="46"/>
      <c r="F51" s="5"/>
      <c r="G51" s="5"/>
    </row>
    <row r="52" spans="2:7" s="4" customFormat="1">
      <c r="B52" s="46"/>
      <c r="F52" s="5"/>
      <c r="G52" s="5"/>
    </row>
    <row r="53" spans="2:7" s="4" customFormat="1">
      <c r="B53" s="46"/>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9" sqref="C9:C12"/>
    </sheetView>
  </sheetViews>
  <sheetFormatPr defaultColWidth="9.21875" defaultRowHeight="13.2" outlineLevelRow="1"/>
  <cols>
    <col min="1" max="1" width="9.5546875" style="4" bestFit="1" customWidth="1"/>
    <col min="2" max="2" width="114.21875" style="4" customWidth="1"/>
    <col min="3" max="3" width="18.77734375" style="4" customWidth="1"/>
    <col min="4" max="4" width="25.44140625" style="4" customWidth="1"/>
    <col min="5" max="5" width="24.21875" style="4" customWidth="1"/>
    <col min="6" max="6" width="24" style="4" customWidth="1"/>
    <col min="7" max="7" width="10" style="4" bestFit="1" customWidth="1"/>
    <col min="8" max="8" width="12" style="4" bestFit="1" customWidth="1"/>
    <col min="9" max="9" width="12.5546875" style="4" bestFit="1" customWidth="1"/>
    <col min="10" max="16384" width="9.21875" style="4"/>
  </cols>
  <sheetData>
    <row r="1" spans="1:6">
      <c r="A1" s="2" t="s">
        <v>30</v>
      </c>
      <c r="B1" s="3" t="str">
        <f>'Info '!C2</f>
        <v>JSC "CREDOBANK"</v>
      </c>
    </row>
    <row r="2" spans="1:6" s="2" customFormat="1" ht="15.75" customHeight="1">
      <c r="A2" s="2" t="s">
        <v>31</v>
      </c>
      <c r="B2" s="336">
        <f>'1. key ratios '!B2</f>
        <v>45199</v>
      </c>
      <c r="C2" s="4"/>
      <c r="D2" s="4"/>
      <c r="E2" s="4"/>
      <c r="F2" s="4"/>
    </row>
    <row r="3" spans="1:6" s="2" customFormat="1" ht="15.75" customHeight="1">
      <c r="C3" s="4"/>
      <c r="D3" s="4"/>
      <c r="E3" s="4"/>
      <c r="F3" s="4"/>
    </row>
    <row r="4" spans="1:6" s="2" customFormat="1" ht="13.8" thickBot="1">
      <c r="A4" s="2" t="s">
        <v>46</v>
      </c>
      <c r="B4" s="209" t="s">
        <v>554</v>
      </c>
      <c r="C4" s="42" t="s">
        <v>35</v>
      </c>
      <c r="D4" s="4"/>
      <c r="E4" s="4"/>
      <c r="F4" s="4"/>
    </row>
    <row r="5" spans="1:6">
      <c r="A5" s="160">
        <v>1</v>
      </c>
      <c r="B5" s="210" t="s">
        <v>556</v>
      </c>
      <c r="C5" s="161">
        <f>'7. LI1 '!E37</f>
        <v>2320433279.3678241</v>
      </c>
    </row>
    <row r="6" spans="1:6">
      <c r="A6" s="47">
        <v>2.1</v>
      </c>
      <c r="B6" s="110" t="s">
        <v>214</v>
      </c>
      <c r="C6" s="101">
        <v>48217748.61999999</v>
      </c>
    </row>
    <row r="7" spans="1:6" s="29" customFormat="1" outlineLevel="1">
      <c r="A7" s="23">
        <v>2.2000000000000002</v>
      </c>
      <c r="B7" s="24" t="s">
        <v>215</v>
      </c>
      <c r="C7" s="162">
        <v>186916086</v>
      </c>
    </row>
    <row r="8" spans="1:6" s="29" customFormat="1">
      <c r="A8" s="23">
        <v>3</v>
      </c>
      <c r="B8" s="158" t="s">
        <v>555</v>
      </c>
      <c r="C8" s="163">
        <f>SUM(C5:C7)</f>
        <v>2555567113.987824</v>
      </c>
    </row>
    <row r="9" spans="1:6">
      <c r="A9" s="47">
        <v>4</v>
      </c>
      <c r="B9" s="48" t="s">
        <v>48</v>
      </c>
      <c r="C9" s="101"/>
    </row>
    <row r="10" spans="1:6" s="29" customFormat="1" outlineLevel="1">
      <c r="A10" s="23">
        <v>5.0999999999999996</v>
      </c>
      <c r="B10" s="24" t="s">
        <v>216</v>
      </c>
      <c r="C10" s="162">
        <v>-24571747.349999994</v>
      </c>
    </row>
    <row r="11" spans="1:6" s="29" customFormat="1" outlineLevel="1">
      <c r="A11" s="23">
        <v>5.2</v>
      </c>
      <c r="B11" s="24" t="s">
        <v>217</v>
      </c>
      <c r="C11" s="162">
        <v>-183177764.28</v>
      </c>
    </row>
    <row r="12" spans="1:6" s="29" customFormat="1">
      <c r="A12" s="23">
        <v>6</v>
      </c>
      <c r="B12" s="157" t="s">
        <v>359</v>
      </c>
      <c r="C12" s="162"/>
    </row>
    <row r="13" spans="1:6" s="29" customFormat="1" ht="13.8" thickBot="1">
      <c r="A13" s="25">
        <v>7</v>
      </c>
      <c r="B13" s="159" t="s">
        <v>177</v>
      </c>
      <c r="C13" s="164">
        <f>SUM(C8:C12)</f>
        <v>2347817602.3578238</v>
      </c>
    </row>
    <row r="15" spans="1:6" ht="26.4">
      <c r="B15" s="29" t="s">
        <v>360</v>
      </c>
    </row>
    <row r="17" spans="1:2" ht="13.8">
      <c r="A17" s="171"/>
      <c r="B17" s="172"/>
    </row>
    <row r="18" spans="1:2" ht="14.4">
      <c r="A18" s="176"/>
      <c r="B18" s="177"/>
    </row>
    <row r="19" spans="1:2" ht="13.8">
      <c r="A19" s="178"/>
      <c r="B19" s="173"/>
    </row>
    <row r="20" spans="1:2" ht="13.8">
      <c r="A20" s="179"/>
      <c r="B20" s="174"/>
    </row>
    <row r="21" spans="1:2" ht="13.8">
      <c r="A21" s="179"/>
      <c r="B21" s="177"/>
    </row>
    <row r="22" spans="1:2" ht="13.8">
      <c r="A22" s="178"/>
      <c r="B22" s="175"/>
    </row>
    <row r="23" spans="1:2" ht="13.8">
      <c r="A23" s="179"/>
      <c r="B23" s="174"/>
    </row>
    <row r="24" spans="1:2" ht="13.8">
      <c r="A24" s="179"/>
      <c r="B24" s="174"/>
    </row>
    <row r="25" spans="1:2" ht="13.8">
      <c r="A25" s="179"/>
      <c r="B25" s="180"/>
    </row>
    <row r="26" spans="1:2" ht="13.8">
      <c r="A26" s="179"/>
      <c r="B26" s="177"/>
    </row>
    <row r="27" spans="1:2">
      <c r="B27" s="46"/>
    </row>
    <row r="28" spans="1:2">
      <c r="B28" s="46"/>
    </row>
    <row r="29" spans="1:2">
      <c r="B29" s="46"/>
    </row>
    <row r="30" spans="1:2">
      <c r="B30" s="46"/>
    </row>
    <row r="31" spans="1:2">
      <c r="B31" s="46"/>
    </row>
    <row r="32" spans="1:2">
      <c r="B32" s="46"/>
    </row>
    <row r="33" spans="2:2">
      <c r="B33" s="46"/>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rPeqLwxxlvqs9HRdFNSZL1U/QkLnwTu+khA7A6e/gXI=</DigestValue>
    </Reference>
    <Reference Type="http://www.w3.org/2000/09/xmldsig#Object" URI="#idOfficeObject">
      <DigestMethod Algorithm="http://www.w3.org/2001/04/xmlenc#sha256"/>
      <DigestValue>teuNmMmR0XSxqoimis3d9Q5k1NYK92otzc0H9o4NPRk=</DigestValue>
    </Reference>
    <Reference Type="http://uri.etsi.org/01903#SignedProperties" URI="#idSignedProperties">
      <Transforms>
        <Transform Algorithm="http://www.w3.org/TR/2001/REC-xml-c14n-20010315"/>
      </Transforms>
      <DigestMethod Algorithm="http://www.w3.org/2001/04/xmlenc#sha256"/>
      <DigestValue>9tU4sDuQ6g+fN9SSYD2AbUqLv9m4gndQhnjEgsnjSdo=</DigestValue>
    </Reference>
  </SignedInfo>
  <SignatureValue>NEviFD3m2FcjozFJazzInFKIE8KpHOLGgjo90NEDmvhmk7Df6URZz2kA7Gg+gnF99QVM6RK0EzE+
fEYo9AoEo3qjiRW9vd73O8N8EU6Ds3Oq7aLrYwp7D64KxV2XafpdCa5vT49H7Dm5L8eBQe7g/sA+
M2TATDBGuLFUdYy512JkCN8E87VbNCnEWfD+bCp1tx5I5nfsaD+FkYg34nc1DktlL666XLz1padG
Bb+0uxiNck19DTZ+Bx2eKzi+r1e6p7icCKvQ5B4lyZmnxTuTcBeolF+WBmD5jqNbbQ8BRnZdKWrp
coEJ9/UYZlszjmbq5HcPAKwm2TkH/W/v2B2HWg==</SignatureValue>
  <KeyInfo>
    <X509Data>
      <X509Certificate>MIIGRDCCBSygAwIBAgIKKy7S3QADAAI3djANBgkqhkiG9w0BAQsFADBKMRIwEAYKCZImiZPyLGQBGRYCZ2UxEzARBgoJkiaJk/IsZAEZFgNuYmcxHzAdBgNVBAMTFk5CRyBDbGFzcyAyIElOVCBTdWIgQ0EwHhcNMjMwNjE2MDgwNTQ3WhcNMjUwNjE1MDgwNTQ3WjBCMRcwFQYDVQQKEw5KU0MgQ3JlZG8gQmFuazEnMCUGA1UEAxMeQkNEIC0gS29uc3RhbnRpbmUgR2hhbWJhc2hpZHplMIIBIjANBgkqhkiG9w0BAQEFAAOCAQ8AMIIBCgKCAQEA6ySQjPOg9/Hc3sXzEa+Xn08LVLkXyQ8+37IBPE5kJfn0YFTtHGxqxbzj/MZwdyV31c9SCE/kHVWpIRT7MF0kGbgoZNF0pTNYcmhOQU03ebGJ9yyDds8HgYVzoM7e2S8NSNyq2JPsKpyb72FyjHKD7VVBrUJM3WCsC2chjipvYizU9gMwxNzTPz9kT7zn4LuM6TSyrYSYB/oD+ooh0MKP7EE/4oJWz5UoVrmMbZIJc+R7MyabgDD53h7Tzpn+7SI4e65TwEBB/5zDmtuTNW/Inp7OPsoFD05atAPJFkdN1NEF7jfoNAa84UF2kOd5uU46gostlnPN/sqTyaWIX9as3QIDAQABo4IDMjCCAy4wPAYJKwYBBAGCNxUHBC8wLQYlKwYBBAGCNxUI5rJgg431RIaBmQmDuKFKg76EcQSDxJEzhIOIXQIBZAIBIzAdBgNVHSUEFjAUBggrBgEFBQcDAgYIKwYBBQUHAwQwCwYDVR0PBAQDAgeAMCcGCSsGAQQBgjcVCgQaMBgwCgYIKwYBBQUHAwIwCgYIKwYBBQUHAwQwHQYDVR0OBBYEFL/irtUv844KPAED+zVmPWx7bSH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qwWQesdOFPXG0FBpAJfwknFIxKrgyTWXse6yDOtyHX7S7PR7ukyysbO8MMscJiumA7ImwDZ0iOddUffSQFEgiqB04NvklRhElfN4KM+QbucgqDCL2ydHQtO+S6gH5nck01KkQIrRwcy+yItrvImdGaMquD+gMcdarX2zqxHpYfotlfPCbtDyS+cUKBNqU77U5O1stwjKZ41NDwBROc+//hfDWTWI+B+0zXlr2ikHaRmIBXIQhvlmG+YbEB7SIz/EacBWA0HKlm6HeEhqaiZxn3bR1knRZ3FxSqZpOGf/TZp3ZU9PNDDdIpBDgBqDHDHRHFxigo9bMuUIJ4nTSKmA5</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PFwEQYNjHZOiDHyUSyFRYywRvm/Z7swE6l0K1dfBlPg=</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7GArBytDSHgUFRdewyuSHI5qCBWAnN705u82Zk/5P1w=</DigestValue>
      </Reference>
      <Reference URI="/xl/styles.xml?ContentType=application/vnd.openxmlformats-officedocument.spreadsheetml.styles+xml">
        <DigestMethod Algorithm="http://www.w3.org/2001/04/xmlenc#sha256"/>
        <DigestValue>jViqtuQQWjx+DJPMcbJEWyaQN80TQzx4UrK4vJaPG0Q=</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eBMwWKfeCvrSyKJvR6YZhfJ6d7rAnjqebahYYs2sXro=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wEcK6hGyGc97JnqTdyeBQk0U17cZV8TjGj7ShQnMcGA=</DigestValue>
      </Reference>
      <Reference URI="/xl/worksheets/sheet10.xml?ContentType=application/vnd.openxmlformats-officedocument.spreadsheetml.worksheet+xml">
        <DigestMethod Algorithm="http://www.w3.org/2001/04/xmlenc#sha256"/>
        <DigestValue>WLOIrkvQC0TlRMYsOfABalG85jk+hq26hvBuW0WXoBU=</DigestValue>
      </Reference>
      <Reference URI="/xl/worksheets/sheet11.xml?ContentType=application/vnd.openxmlformats-officedocument.spreadsheetml.worksheet+xml">
        <DigestMethod Algorithm="http://www.w3.org/2001/04/xmlenc#sha256"/>
        <DigestValue>JxWsSjJU7uiMM8L9kErFXKu0ka/wLZkuZZd6fGEnJ+k=</DigestValue>
      </Reference>
      <Reference URI="/xl/worksheets/sheet12.xml?ContentType=application/vnd.openxmlformats-officedocument.spreadsheetml.worksheet+xml">
        <DigestMethod Algorithm="http://www.w3.org/2001/04/xmlenc#sha256"/>
        <DigestValue>+pyiehj7vdhxJPITAJOCiYu7YZ9deJrzQy8e3bFVqGg=</DigestValue>
      </Reference>
      <Reference URI="/xl/worksheets/sheet13.xml?ContentType=application/vnd.openxmlformats-officedocument.spreadsheetml.worksheet+xml">
        <DigestMethod Algorithm="http://www.w3.org/2001/04/xmlenc#sha256"/>
        <DigestValue>8Qy7ff9QHVnVlMG11IcjL7oAqAJEeML8KjvYEXaPAoQ=</DigestValue>
      </Reference>
      <Reference URI="/xl/worksheets/sheet14.xml?ContentType=application/vnd.openxmlformats-officedocument.spreadsheetml.worksheet+xml">
        <DigestMethod Algorithm="http://www.w3.org/2001/04/xmlenc#sha256"/>
        <DigestValue>GbNu8NRquSuVv/SZ4pphCDD2YJkTywqjb39fILmdj3I=</DigestValue>
      </Reference>
      <Reference URI="/xl/worksheets/sheet15.xml?ContentType=application/vnd.openxmlformats-officedocument.spreadsheetml.worksheet+xml">
        <DigestMethod Algorithm="http://www.w3.org/2001/04/xmlenc#sha256"/>
        <DigestValue>rooLmIRSCI4GFQCA2mjVKZOxl5M6qPpBXWf4ech988g=</DigestValue>
      </Reference>
      <Reference URI="/xl/worksheets/sheet16.xml?ContentType=application/vnd.openxmlformats-officedocument.spreadsheetml.worksheet+xml">
        <DigestMethod Algorithm="http://www.w3.org/2001/04/xmlenc#sha256"/>
        <DigestValue>OncerbVlh3vTQgx+bvwyoo4QiZnQGmYWGLzRDZW1cJs=</DigestValue>
      </Reference>
      <Reference URI="/xl/worksheets/sheet17.xml?ContentType=application/vnd.openxmlformats-officedocument.spreadsheetml.worksheet+xml">
        <DigestMethod Algorithm="http://www.w3.org/2001/04/xmlenc#sha256"/>
        <DigestValue>uwjnrp8mdvJsCu9ycK9A+hvM4ZYAxM2OnO9UgMpvBqk=</DigestValue>
      </Reference>
      <Reference URI="/xl/worksheets/sheet18.xml?ContentType=application/vnd.openxmlformats-officedocument.spreadsheetml.worksheet+xml">
        <DigestMethod Algorithm="http://www.w3.org/2001/04/xmlenc#sha256"/>
        <DigestValue>FyRJdnrzlQIDRw+8I+37m6jTsCaFy1y7rItRtzppYeI=</DigestValue>
      </Reference>
      <Reference URI="/xl/worksheets/sheet19.xml?ContentType=application/vnd.openxmlformats-officedocument.spreadsheetml.worksheet+xml">
        <DigestMethod Algorithm="http://www.w3.org/2001/04/xmlenc#sha256"/>
        <DigestValue>1Gz6LhP+BIhTNn1ljkNNsQxCqnq2BLg8KPa3Hir/doU=</DigestValue>
      </Reference>
      <Reference URI="/xl/worksheets/sheet2.xml?ContentType=application/vnd.openxmlformats-officedocument.spreadsheetml.worksheet+xml">
        <DigestMethod Algorithm="http://www.w3.org/2001/04/xmlenc#sha256"/>
        <DigestValue>4k1Ij62Ldn4ohlRvB7u8OEgdLw+W8xVcgkcMAUeq3D0=</DigestValue>
      </Reference>
      <Reference URI="/xl/worksheets/sheet20.xml?ContentType=application/vnd.openxmlformats-officedocument.spreadsheetml.worksheet+xml">
        <DigestMethod Algorithm="http://www.w3.org/2001/04/xmlenc#sha256"/>
        <DigestValue>C+EMb0Gefk/1Gw3amn5Ehi5LvdK88cTovEvHAXbBJGg=</DigestValue>
      </Reference>
      <Reference URI="/xl/worksheets/sheet21.xml?ContentType=application/vnd.openxmlformats-officedocument.spreadsheetml.worksheet+xml">
        <DigestMethod Algorithm="http://www.w3.org/2001/04/xmlenc#sha256"/>
        <DigestValue>zmJuj80Dmx4TkckRWX8EKWo3jCrJmDd4DVqTuaJErYM=</DigestValue>
      </Reference>
      <Reference URI="/xl/worksheets/sheet22.xml?ContentType=application/vnd.openxmlformats-officedocument.spreadsheetml.worksheet+xml">
        <DigestMethod Algorithm="http://www.w3.org/2001/04/xmlenc#sha256"/>
        <DigestValue>jrqbo6jnUGowiTRNgGqlqaTMtsu+i/Fd360ZDrcMWBc=</DigestValue>
      </Reference>
      <Reference URI="/xl/worksheets/sheet23.xml?ContentType=application/vnd.openxmlformats-officedocument.spreadsheetml.worksheet+xml">
        <DigestMethod Algorithm="http://www.w3.org/2001/04/xmlenc#sha256"/>
        <DigestValue>qjTXnFqSiAFKjR2BKTB9384ly829db7esYwer5rirMY=</DigestValue>
      </Reference>
      <Reference URI="/xl/worksheets/sheet24.xml?ContentType=application/vnd.openxmlformats-officedocument.spreadsheetml.worksheet+xml">
        <DigestMethod Algorithm="http://www.w3.org/2001/04/xmlenc#sha256"/>
        <DigestValue>1rPvm8tnhF/XVX0dzhkqQRaLjANbF3UlknXINHcHMRs=</DigestValue>
      </Reference>
      <Reference URI="/xl/worksheets/sheet25.xml?ContentType=application/vnd.openxmlformats-officedocument.spreadsheetml.worksheet+xml">
        <DigestMethod Algorithm="http://www.w3.org/2001/04/xmlenc#sha256"/>
        <DigestValue>IigaIH44bTYMCdr6O/sqIHtAKgatP3Bi7ppWf9yrVk4=</DigestValue>
      </Reference>
      <Reference URI="/xl/worksheets/sheet26.xml?ContentType=application/vnd.openxmlformats-officedocument.spreadsheetml.worksheet+xml">
        <DigestMethod Algorithm="http://www.w3.org/2001/04/xmlenc#sha256"/>
        <DigestValue>joR11Xzxiod24w5SiPTcCcAMVYUjhUf3WBOwYm34KO8=</DigestValue>
      </Reference>
      <Reference URI="/xl/worksheets/sheet27.xml?ContentType=application/vnd.openxmlformats-officedocument.spreadsheetml.worksheet+xml">
        <DigestMethod Algorithm="http://www.w3.org/2001/04/xmlenc#sha256"/>
        <DigestValue>uSuqfruOpX7fCrFDtoe259Qoy4YBB5Jgf5XS1jy9j8k=</DigestValue>
      </Reference>
      <Reference URI="/xl/worksheets/sheet28.xml?ContentType=application/vnd.openxmlformats-officedocument.spreadsheetml.worksheet+xml">
        <DigestMethod Algorithm="http://www.w3.org/2001/04/xmlenc#sha256"/>
        <DigestValue>PvlhyRtWAQzqcncTp3LhkXJwzw3wqEd42NEq2taD1Ac=</DigestValue>
      </Reference>
      <Reference URI="/xl/worksheets/sheet29.xml?ContentType=application/vnd.openxmlformats-officedocument.spreadsheetml.worksheet+xml">
        <DigestMethod Algorithm="http://www.w3.org/2001/04/xmlenc#sha256"/>
        <DigestValue>OcMNje37sbA50+TIPI52b3qBzOB5AOalCTgRpuZxJkU=</DigestValue>
      </Reference>
      <Reference URI="/xl/worksheets/sheet3.xml?ContentType=application/vnd.openxmlformats-officedocument.spreadsheetml.worksheet+xml">
        <DigestMethod Algorithm="http://www.w3.org/2001/04/xmlenc#sha256"/>
        <DigestValue>+Dbxxc9tDIZQtCKmHVnj5bHQfiEdgq0JiIoeQVtUdgo=</DigestValue>
      </Reference>
      <Reference URI="/xl/worksheets/sheet4.xml?ContentType=application/vnd.openxmlformats-officedocument.spreadsheetml.worksheet+xml">
        <DigestMethod Algorithm="http://www.w3.org/2001/04/xmlenc#sha256"/>
        <DigestValue>7ZZHI6B14kYXoN9nOL6cD7C4qZn31pgZVG1m8TXBCAQ=</DigestValue>
      </Reference>
      <Reference URI="/xl/worksheets/sheet5.xml?ContentType=application/vnd.openxmlformats-officedocument.spreadsheetml.worksheet+xml">
        <DigestMethod Algorithm="http://www.w3.org/2001/04/xmlenc#sha256"/>
        <DigestValue>5ymKAW8pVBQ4zzdxav2LWxbKkw7x4q0ZpT1qdip5rss=</DigestValue>
      </Reference>
      <Reference URI="/xl/worksheets/sheet6.xml?ContentType=application/vnd.openxmlformats-officedocument.spreadsheetml.worksheet+xml">
        <DigestMethod Algorithm="http://www.w3.org/2001/04/xmlenc#sha256"/>
        <DigestValue>x1dqT3//sXe3llbr5MuvT0eamLFGQHqpeSz2pQKd3u4=</DigestValue>
      </Reference>
      <Reference URI="/xl/worksheets/sheet7.xml?ContentType=application/vnd.openxmlformats-officedocument.spreadsheetml.worksheet+xml">
        <DigestMethod Algorithm="http://www.w3.org/2001/04/xmlenc#sha256"/>
        <DigestValue>M9wX+aag+hCdp5fi2v7NpjRIX6v5DvNL8OuFmXBb+44=</DigestValue>
      </Reference>
      <Reference URI="/xl/worksheets/sheet8.xml?ContentType=application/vnd.openxmlformats-officedocument.spreadsheetml.worksheet+xml">
        <DigestMethod Algorithm="http://www.w3.org/2001/04/xmlenc#sha256"/>
        <DigestValue>XGKW6fiBfnSFaX8xUxX85lQEKQcPf4nJDohBsM6myYY=</DigestValue>
      </Reference>
      <Reference URI="/xl/worksheets/sheet9.xml?ContentType=application/vnd.openxmlformats-officedocument.spreadsheetml.worksheet+xml">
        <DigestMethod Algorithm="http://www.w3.org/2001/04/xmlenc#sha256"/>
        <DigestValue>Aop5zn1I0rUjJvuhvdEatZdjg+v0fKew1BtRd0VlQV4=</DigestValue>
      </Reference>
    </Manifest>
    <SignatureProperties>
      <SignatureProperty Id="idSignatureTime" Target="#idPackageSignature">
        <mdssi:SignatureTime xmlns:mdssi="http://schemas.openxmlformats.org/package/2006/digital-signature">
          <mdssi:Format>YYYY-MM-DDThh:mm:ssTZD</mdssi:Format>
          <mdssi:Value>2023-12-19T08:58:33Z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2023-12-19T08:58:33Z</xd:SigningTime>
          <xd:SigningCertificate>
            <xd:Cert>
              <xd:CertDigest>
                <DigestMethod Algorithm="http://www.w3.org/2001/04/xmlenc#sha256"/>
                <DigestValue>1hSUnl0NOjl6jE3hV5+Dc2J11ZVMOhetdT0CqbpWONA=</DigestValue>
              </xd:CertDigest>
              <xd:IssuerSerial>
                <X509IssuerName>CN=NBG Class 2 INT Sub CA, DC=nbg, DC=ge</X509IssuerName>
                <X509SerialNumber>203925503291516086531958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lEDqbcbzOFHtzCe8yf+UlLSFilt8q7ov6ldCcdk5+Is=</DigestValue>
    </Reference>
    <Reference Type="http://www.w3.org/2000/09/xmldsig#Object" URI="#idOfficeObject">
      <DigestMethod Algorithm="http://www.w3.org/2001/04/xmlenc#sha256"/>
      <DigestValue>0CbMmj85seUnz8pYhDj/LZysvzNNmNAlOusJP4WlFjs=</DigestValue>
    </Reference>
    <Reference Type="http://uri.etsi.org/01903#SignedProperties" URI="#idSignedProperties">
      <Transforms>
        <Transform Algorithm="http://www.w3.org/TR/2001/REC-xml-c14n-20010315"/>
      </Transforms>
      <DigestMethod Algorithm="http://www.w3.org/2001/04/xmlenc#sha256"/>
      <DigestValue>pCD7AEWwLaL9uTMAM9vb+hsFQTYN8QxcNrkTrUiHu9k=</DigestValue>
    </Reference>
  </SignedInfo>
  <SignatureValue>pqJr0bZlwMg5hb6qINyY3Tsg0H/7v/MTfzTDEdlV96HrRGVQ+bRFooRp/DLCGW7EZ8yMPcUMB2bc
S7LI6HbA5sk7MI4Isp6vA25Mc2HAmSObSWo97GFL/1gNWchNoEdZfT4oUxAO3IrmM/vV2XBFiUh9
ibwoxW2dSSPNSvsnotmCQItaaoCYmpV2oqHl814m6MkYVeO5vuXZ3QV9rgC6+hFVuSRBpuG9Vc83
eIcFWphewuH0zvnfG8x/+F1L50VJQ7t+lM34ZpEuJfFIgCAZEncsA7PRO9mBIAx+gb+OzgjAeUoc
IfRStQrenoQPvqnGktDWTX6vdc0ZeMeCzgLXIQ==</SignatureValue>
  <KeyInfo>
    <X509Data>
      <X509Certificate>MIIGPjCCBSagAwIBAgIKHZPGBwADAAI4wTANBgkqhkiG9w0BAQsFADBKMRIwEAYKCZImiZPyLGQBGRYCZ2UxEzARBgoJkiaJk/IsZAEZFgNuYmcxHzAdBgNVBAMTFk5CRyBDbGFzcyAyIElOVCBTdWIgQ0EwHhcNMjMwNzA1MTAzOTU0WhcNMjUwNzA0MTAzOTU0WjA8MRcwFQYDVQQKEw5KU0MgQ3JlZG8gQmFuazEhMB8GA1UEAxMYQkNEIC0gRXJla2xlIFphdGlhc2h2aWxpMIIBIjANBgkqhkiG9w0BAQEFAAOCAQ8AMIIBCgKCAQEA7bW9DMX0iR7EsqQh8o9bvXr+aEeGQUtJMsEIJWF0lP9zeqiRwv2angsCuy2ME7xPbjJFDEVTITO6/38aRqyaSOb1TdfSqzLgahOa3jgsXhSQlHozTrmWwmzHCWTSuIUol71hGTNGa9T7ejbvDVtgwlMpcDA0NZsi4qZ/oHdiJOTfZ7oz3oHxZABAXYTJZ0ZZ2BXUI+4Kc5f+kJzK+9UhM9Tsy2ooqi+QK4wlHw67pyARFbRd3XV8/i9T/MyANYm0QM0a+t3RH9wRS1bLeBRBA8NoHiX9bap7unfJp6ZliqliavAW94bzNLN4cQ+00HdVArGg/oGjWf7lCY9387WtJwIDAQABo4IDMjCCAy4wPAYJKwYBBAGCNxUHBC8wLQYlKwYBBAGCNxUI5rJgg431RIaBmQmDuKFKg76EcQSDxJEzhIOIXQIBZAIBIzAdBgNVHSUEFjAUBggrBgEFBQcDAgYIKwYBBQUHAwQwCwYDVR0PBAQDAgeAMCcGCSsGAQQBgjcVCgQaMBgwCgYIKwYBBQUHAwIwCgYIKwYBBQUHAwQwHQYDVR0OBBYEFHSZPQMxSyXM6nGWbGTe4BJpWb+j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dPUuhza/HiypApCKI1cfD7a+gExMdmv2a/4NS0lQi07qAlHGcXd5Y76MGOj4UCe98Ge9/hFoe0V9jgaGOdv/1Y5F88jdCaQLVcVhFlCk7lfBcQCmjTg7DDv9CjuQyhhG4pmLtm8EiJSuxpR9d+TnsgIvrQOEjpvJi3rRMl4IQ4HZJD5+Od0sZGMmLX7BhZN0WgpFwpmwIoUV1o2+ohcN5CMeYTmxPyi8jkfuyEetSHJdfyVVo5h3lz69+9q0OVz5AO2ztYi0cLnZDX11jHoJVHyTqkMtcMTeSmEZsLH/Xm0AsZSeo9JYf/bZcWaRf16/Qj7SiAd3Ozw2H1QwDtGk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PFwEQYNjHZOiDHyUSyFRYywRvm/Z7swE6l0K1dfBlPg=</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7GArBytDSHgUFRdewyuSHI5qCBWAnN705u82Zk/5P1w=</DigestValue>
      </Reference>
      <Reference URI="/xl/styles.xml?ContentType=application/vnd.openxmlformats-officedocument.spreadsheetml.styles+xml">
        <DigestMethod Algorithm="http://www.w3.org/2001/04/xmlenc#sha256"/>
        <DigestValue>jViqtuQQWjx+DJPMcbJEWyaQN80TQzx4UrK4vJaPG0Q=</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eBMwWKfeCvrSyKJvR6YZhfJ6d7rAnjqebahYYs2sXro=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wEcK6hGyGc97JnqTdyeBQk0U17cZV8TjGj7ShQnMcGA=</DigestValue>
      </Reference>
      <Reference URI="/xl/worksheets/sheet10.xml?ContentType=application/vnd.openxmlformats-officedocument.spreadsheetml.worksheet+xml">
        <DigestMethod Algorithm="http://www.w3.org/2001/04/xmlenc#sha256"/>
        <DigestValue>WLOIrkvQC0TlRMYsOfABalG85jk+hq26hvBuW0WXoBU=</DigestValue>
      </Reference>
      <Reference URI="/xl/worksheets/sheet11.xml?ContentType=application/vnd.openxmlformats-officedocument.spreadsheetml.worksheet+xml">
        <DigestMethod Algorithm="http://www.w3.org/2001/04/xmlenc#sha256"/>
        <DigestValue>JxWsSjJU7uiMM8L9kErFXKu0ka/wLZkuZZd6fGEnJ+k=</DigestValue>
      </Reference>
      <Reference URI="/xl/worksheets/sheet12.xml?ContentType=application/vnd.openxmlformats-officedocument.spreadsheetml.worksheet+xml">
        <DigestMethod Algorithm="http://www.w3.org/2001/04/xmlenc#sha256"/>
        <DigestValue>+pyiehj7vdhxJPITAJOCiYu7YZ9deJrzQy8e3bFVqGg=</DigestValue>
      </Reference>
      <Reference URI="/xl/worksheets/sheet13.xml?ContentType=application/vnd.openxmlformats-officedocument.spreadsheetml.worksheet+xml">
        <DigestMethod Algorithm="http://www.w3.org/2001/04/xmlenc#sha256"/>
        <DigestValue>8Qy7ff9QHVnVlMG11IcjL7oAqAJEeML8KjvYEXaPAoQ=</DigestValue>
      </Reference>
      <Reference URI="/xl/worksheets/sheet14.xml?ContentType=application/vnd.openxmlformats-officedocument.spreadsheetml.worksheet+xml">
        <DigestMethod Algorithm="http://www.w3.org/2001/04/xmlenc#sha256"/>
        <DigestValue>GbNu8NRquSuVv/SZ4pphCDD2YJkTywqjb39fILmdj3I=</DigestValue>
      </Reference>
      <Reference URI="/xl/worksheets/sheet15.xml?ContentType=application/vnd.openxmlformats-officedocument.spreadsheetml.worksheet+xml">
        <DigestMethod Algorithm="http://www.w3.org/2001/04/xmlenc#sha256"/>
        <DigestValue>rooLmIRSCI4GFQCA2mjVKZOxl5M6qPpBXWf4ech988g=</DigestValue>
      </Reference>
      <Reference URI="/xl/worksheets/sheet16.xml?ContentType=application/vnd.openxmlformats-officedocument.spreadsheetml.worksheet+xml">
        <DigestMethod Algorithm="http://www.w3.org/2001/04/xmlenc#sha256"/>
        <DigestValue>OncerbVlh3vTQgx+bvwyoo4QiZnQGmYWGLzRDZW1cJs=</DigestValue>
      </Reference>
      <Reference URI="/xl/worksheets/sheet17.xml?ContentType=application/vnd.openxmlformats-officedocument.spreadsheetml.worksheet+xml">
        <DigestMethod Algorithm="http://www.w3.org/2001/04/xmlenc#sha256"/>
        <DigestValue>uwjnrp8mdvJsCu9ycK9A+hvM4ZYAxM2OnO9UgMpvBqk=</DigestValue>
      </Reference>
      <Reference URI="/xl/worksheets/sheet18.xml?ContentType=application/vnd.openxmlformats-officedocument.spreadsheetml.worksheet+xml">
        <DigestMethod Algorithm="http://www.w3.org/2001/04/xmlenc#sha256"/>
        <DigestValue>FyRJdnrzlQIDRw+8I+37m6jTsCaFy1y7rItRtzppYeI=</DigestValue>
      </Reference>
      <Reference URI="/xl/worksheets/sheet19.xml?ContentType=application/vnd.openxmlformats-officedocument.spreadsheetml.worksheet+xml">
        <DigestMethod Algorithm="http://www.w3.org/2001/04/xmlenc#sha256"/>
        <DigestValue>1Gz6LhP+BIhTNn1ljkNNsQxCqnq2BLg8KPa3Hir/doU=</DigestValue>
      </Reference>
      <Reference URI="/xl/worksheets/sheet2.xml?ContentType=application/vnd.openxmlformats-officedocument.spreadsheetml.worksheet+xml">
        <DigestMethod Algorithm="http://www.w3.org/2001/04/xmlenc#sha256"/>
        <DigestValue>4k1Ij62Ldn4ohlRvB7u8OEgdLw+W8xVcgkcMAUeq3D0=</DigestValue>
      </Reference>
      <Reference URI="/xl/worksheets/sheet20.xml?ContentType=application/vnd.openxmlformats-officedocument.spreadsheetml.worksheet+xml">
        <DigestMethod Algorithm="http://www.w3.org/2001/04/xmlenc#sha256"/>
        <DigestValue>C+EMb0Gefk/1Gw3amn5Ehi5LvdK88cTovEvHAXbBJGg=</DigestValue>
      </Reference>
      <Reference URI="/xl/worksheets/sheet21.xml?ContentType=application/vnd.openxmlformats-officedocument.spreadsheetml.worksheet+xml">
        <DigestMethod Algorithm="http://www.w3.org/2001/04/xmlenc#sha256"/>
        <DigestValue>zmJuj80Dmx4TkckRWX8EKWo3jCrJmDd4DVqTuaJErYM=</DigestValue>
      </Reference>
      <Reference URI="/xl/worksheets/sheet22.xml?ContentType=application/vnd.openxmlformats-officedocument.spreadsheetml.worksheet+xml">
        <DigestMethod Algorithm="http://www.w3.org/2001/04/xmlenc#sha256"/>
        <DigestValue>jrqbo6jnUGowiTRNgGqlqaTMtsu+i/Fd360ZDrcMWBc=</DigestValue>
      </Reference>
      <Reference URI="/xl/worksheets/sheet23.xml?ContentType=application/vnd.openxmlformats-officedocument.spreadsheetml.worksheet+xml">
        <DigestMethod Algorithm="http://www.w3.org/2001/04/xmlenc#sha256"/>
        <DigestValue>qjTXnFqSiAFKjR2BKTB9384ly829db7esYwer5rirMY=</DigestValue>
      </Reference>
      <Reference URI="/xl/worksheets/sheet24.xml?ContentType=application/vnd.openxmlformats-officedocument.spreadsheetml.worksheet+xml">
        <DigestMethod Algorithm="http://www.w3.org/2001/04/xmlenc#sha256"/>
        <DigestValue>1rPvm8tnhF/XVX0dzhkqQRaLjANbF3UlknXINHcHMRs=</DigestValue>
      </Reference>
      <Reference URI="/xl/worksheets/sheet25.xml?ContentType=application/vnd.openxmlformats-officedocument.spreadsheetml.worksheet+xml">
        <DigestMethod Algorithm="http://www.w3.org/2001/04/xmlenc#sha256"/>
        <DigestValue>IigaIH44bTYMCdr6O/sqIHtAKgatP3Bi7ppWf9yrVk4=</DigestValue>
      </Reference>
      <Reference URI="/xl/worksheets/sheet26.xml?ContentType=application/vnd.openxmlformats-officedocument.spreadsheetml.worksheet+xml">
        <DigestMethod Algorithm="http://www.w3.org/2001/04/xmlenc#sha256"/>
        <DigestValue>joR11Xzxiod24w5SiPTcCcAMVYUjhUf3WBOwYm34KO8=</DigestValue>
      </Reference>
      <Reference URI="/xl/worksheets/sheet27.xml?ContentType=application/vnd.openxmlformats-officedocument.spreadsheetml.worksheet+xml">
        <DigestMethod Algorithm="http://www.w3.org/2001/04/xmlenc#sha256"/>
        <DigestValue>uSuqfruOpX7fCrFDtoe259Qoy4YBB5Jgf5XS1jy9j8k=</DigestValue>
      </Reference>
      <Reference URI="/xl/worksheets/sheet28.xml?ContentType=application/vnd.openxmlformats-officedocument.spreadsheetml.worksheet+xml">
        <DigestMethod Algorithm="http://www.w3.org/2001/04/xmlenc#sha256"/>
        <DigestValue>PvlhyRtWAQzqcncTp3LhkXJwzw3wqEd42NEq2taD1Ac=</DigestValue>
      </Reference>
      <Reference URI="/xl/worksheets/sheet29.xml?ContentType=application/vnd.openxmlformats-officedocument.spreadsheetml.worksheet+xml">
        <DigestMethod Algorithm="http://www.w3.org/2001/04/xmlenc#sha256"/>
        <DigestValue>OcMNje37sbA50+TIPI52b3qBzOB5AOalCTgRpuZxJkU=</DigestValue>
      </Reference>
      <Reference URI="/xl/worksheets/sheet3.xml?ContentType=application/vnd.openxmlformats-officedocument.spreadsheetml.worksheet+xml">
        <DigestMethod Algorithm="http://www.w3.org/2001/04/xmlenc#sha256"/>
        <DigestValue>+Dbxxc9tDIZQtCKmHVnj5bHQfiEdgq0JiIoeQVtUdgo=</DigestValue>
      </Reference>
      <Reference URI="/xl/worksheets/sheet4.xml?ContentType=application/vnd.openxmlformats-officedocument.spreadsheetml.worksheet+xml">
        <DigestMethod Algorithm="http://www.w3.org/2001/04/xmlenc#sha256"/>
        <DigestValue>7ZZHI6B14kYXoN9nOL6cD7C4qZn31pgZVG1m8TXBCAQ=</DigestValue>
      </Reference>
      <Reference URI="/xl/worksheets/sheet5.xml?ContentType=application/vnd.openxmlformats-officedocument.spreadsheetml.worksheet+xml">
        <DigestMethod Algorithm="http://www.w3.org/2001/04/xmlenc#sha256"/>
        <DigestValue>5ymKAW8pVBQ4zzdxav2LWxbKkw7x4q0ZpT1qdip5rss=</DigestValue>
      </Reference>
      <Reference URI="/xl/worksheets/sheet6.xml?ContentType=application/vnd.openxmlformats-officedocument.spreadsheetml.worksheet+xml">
        <DigestMethod Algorithm="http://www.w3.org/2001/04/xmlenc#sha256"/>
        <DigestValue>x1dqT3//sXe3llbr5MuvT0eamLFGQHqpeSz2pQKd3u4=</DigestValue>
      </Reference>
      <Reference URI="/xl/worksheets/sheet7.xml?ContentType=application/vnd.openxmlformats-officedocument.spreadsheetml.worksheet+xml">
        <DigestMethod Algorithm="http://www.w3.org/2001/04/xmlenc#sha256"/>
        <DigestValue>M9wX+aag+hCdp5fi2v7NpjRIX6v5DvNL8OuFmXBb+44=</DigestValue>
      </Reference>
      <Reference URI="/xl/worksheets/sheet8.xml?ContentType=application/vnd.openxmlformats-officedocument.spreadsheetml.worksheet+xml">
        <DigestMethod Algorithm="http://www.w3.org/2001/04/xmlenc#sha256"/>
        <DigestValue>XGKW6fiBfnSFaX8xUxX85lQEKQcPf4nJDohBsM6myYY=</DigestValue>
      </Reference>
      <Reference URI="/xl/worksheets/sheet9.xml?ContentType=application/vnd.openxmlformats-officedocument.spreadsheetml.worksheet+xml">
        <DigestMethod Algorithm="http://www.w3.org/2001/04/xmlenc#sha256"/>
        <DigestValue>Aop5zn1I0rUjJvuhvdEatZdjg+v0fKew1BtRd0VlQV4=</DigestValue>
      </Reference>
    </Manifest>
    <SignatureProperties>
      <SignatureProperty Id="idSignatureTime" Target="#idPackageSignature">
        <mdssi:SignatureTime xmlns:mdssi="http://schemas.openxmlformats.org/package/2006/digital-signature">
          <mdssi:Format>YYYY-MM-DDThh:mm:ssTZD</mdssi:Format>
          <mdssi:Value>2023-12-22T13:53:43Z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10.0</WindowsVersion>
          <OfficeVersion>16.0.17029/26</OfficeVersion>
          <ApplicationVersion>16.0.17029</ApplicationVersion>
          <Monitors>1</Monitors>
          <HorizontalResolution>3840</HorizontalResolution>
          <VerticalResolution>2160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2023-12-22T13:53:43Z</xd:SigningTime>
          <xd:SigningCertificate>
            <xd:Cert>
              <xd:CertDigest>
                <DigestMethod Algorithm="http://www.w3.org/2001/04/xmlenc#sha256"/>
                <DigestValue>9CqlcYZU+h+a6OEYsaDhcKSas65fQf4/qf+iXcOEqSc=</DigestValue>
              </xd:CertDigest>
              <xd:IssuerSerial>
                <X509IssuerName>CN=NBG Class 2 INT Sub CA, DC=nbg, DC=ge</X509IssuerName>
                <X509SerialNumber>139674568756012247038145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2023-12-19T08:30:25Z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