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2B2D44A6-9040-432F-AC4F-D9676A0A358B}" xr6:coauthVersionLast="47" xr6:coauthVersionMax="47" xr10:uidLastSave="{00000000-0000-0000-0000-000000000000}"/>
  <bookViews>
    <workbookView xWindow="-38520" yWindow="-120" windowWidth="38640" windowHeight="21120" tabRatio="919"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93" l="1"/>
  <c r="K24" i="93"/>
  <c r="J24" i="93"/>
  <c r="I24" i="93"/>
  <c r="H24" i="93"/>
  <c r="G24" i="93"/>
  <c r="F24" i="93"/>
  <c r="K23" i="93"/>
  <c r="K25" i="93" s="1"/>
  <c r="J23" i="93"/>
  <c r="I23" i="93"/>
  <c r="I25" i="93" s="1"/>
  <c r="H23" i="93"/>
  <c r="H25" i="93" s="1"/>
  <c r="G23" i="93"/>
  <c r="G25" i="93" s="1"/>
  <c r="F23" i="93"/>
  <c r="F25" i="93" s="1"/>
  <c r="H20" i="91"/>
  <c r="H19" i="91"/>
  <c r="H18" i="91"/>
  <c r="H16" i="91"/>
  <c r="H15" i="91"/>
  <c r="H12" i="91"/>
  <c r="H11" i="91"/>
  <c r="H10" i="91"/>
  <c r="H9" i="91"/>
  <c r="G17" i="110" l="1"/>
  <c r="F17" i="110"/>
  <c r="G69" i="108"/>
  <c r="F69" i="108"/>
  <c r="G63" i="108"/>
  <c r="F63" i="108"/>
  <c r="G59" i="108"/>
  <c r="F59" i="108"/>
  <c r="E6" i="92" l="1"/>
  <c r="D7" i="92"/>
  <c r="D6" i="92" s="1"/>
  <c r="E7" i="92"/>
  <c r="D8" i="92"/>
  <c r="E8" i="92"/>
  <c r="D9" i="92"/>
  <c r="E9" i="92"/>
  <c r="C38" i="110" l="1"/>
  <c r="F6" i="123" l="1"/>
  <c r="E6" i="123"/>
  <c r="D6" i="123"/>
  <c r="C6" i="123"/>
  <c r="B1" i="92"/>
  <c r="B2" i="92"/>
  <c r="E34" i="92"/>
  <c r="C13" i="95" s="1"/>
  <c r="Q33" i="92"/>
  <c r="I33" i="92"/>
  <c r="Q32" i="92"/>
  <c r="I32" i="92"/>
  <c r="Q31" i="92"/>
  <c r="Q30" i="92" s="1"/>
  <c r="I31" i="92"/>
  <c r="I30" i="92"/>
  <c r="Q29" i="92"/>
  <c r="I29" i="92"/>
  <c r="Q28" i="92"/>
  <c r="I28" i="92"/>
  <c r="Q27" i="92"/>
  <c r="Q26" i="92" s="1"/>
  <c r="I27" i="92"/>
  <c r="I26" i="92"/>
  <c r="Q25" i="92"/>
  <c r="I25" i="92"/>
  <c r="Q24" i="92"/>
  <c r="I24" i="92"/>
  <c r="Q23" i="92"/>
  <c r="I23" i="92"/>
  <c r="I22" i="92"/>
  <c r="Q21" i="92"/>
  <c r="I21" i="92"/>
  <c r="Q20" i="92"/>
  <c r="I20" i="92"/>
  <c r="Q19" i="92"/>
  <c r="Q18" i="92" s="1"/>
  <c r="I19" i="92"/>
  <c r="I18" i="92"/>
  <c r="Q17" i="92"/>
  <c r="I17" i="92"/>
  <c r="Q16" i="92"/>
  <c r="I16" i="92"/>
  <c r="Q15" i="92"/>
  <c r="Q14" i="92" s="1"/>
  <c r="I15" i="92"/>
  <c r="I14" i="92"/>
  <c r="Q13" i="92"/>
  <c r="Q9" i="92" s="1"/>
  <c r="I13" i="92"/>
  <c r="Q12" i="92"/>
  <c r="I12" i="92"/>
  <c r="Q11" i="92"/>
  <c r="I11" i="92"/>
  <c r="I10" i="92"/>
  <c r="P9" i="92"/>
  <c r="O9" i="92"/>
  <c r="N9" i="92"/>
  <c r="M9" i="92"/>
  <c r="L9" i="92"/>
  <c r="K9" i="92"/>
  <c r="J9" i="92"/>
  <c r="G9" i="92"/>
  <c r="F9" i="92"/>
  <c r="C9" i="92"/>
  <c r="P8" i="92"/>
  <c r="O8" i="92"/>
  <c r="N8" i="92"/>
  <c r="M8" i="92"/>
  <c r="L8" i="92"/>
  <c r="K8" i="92"/>
  <c r="J8" i="92"/>
  <c r="G8" i="92"/>
  <c r="F8" i="92"/>
  <c r="I8" i="92" s="1"/>
  <c r="C8" i="92"/>
  <c r="P7" i="92"/>
  <c r="O7" i="92"/>
  <c r="N7" i="92"/>
  <c r="M7" i="92"/>
  <c r="L7" i="92"/>
  <c r="K7" i="92"/>
  <c r="J7" i="92"/>
  <c r="G7" i="92"/>
  <c r="F7" i="92"/>
  <c r="C7" i="92"/>
  <c r="C6" i="92" s="1"/>
  <c r="D34" i="92"/>
  <c r="C34" i="92"/>
  <c r="B2" i="123"/>
  <c r="B1" i="123"/>
  <c r="I7" i="92" l="1"/>
  <c r="F6" i="92"/>
  <c r="F34" i="92" s="1"/>
  <c r="L34" i="92"/>
  <c r="L6" i="92"/>
  <c r="G6" i="92"/>
  <c r="G34" i="92" s="1"/>
  <c r="C11" i="95" s="1"/>
  <c r="J6" i="92"/>
  <c r="J34" i="92" s="1"/>
  <c r="P6" i="92"/>
  <c r="P34" i="92" s="1"/>
  <c r="K6" i="92"/>
  <c r="K34" i="92" s="1"/>
  <c r="M6" i="92"/>
  <c r="M34" i="92" s="1"/>
  <c r="N6" i="92"/>
  <c r="N34" i="92" s="1"/>
  <c r="Q10" i="92"/>
  <c r="I9" i="92"/>
  <c r="O6" i="92"/>
  <c r="O34" i="92" s="1"/>
  <c r="Q22" i="92"/>
  <c r="Q8" i="92"/>
  <c r="Q7" i="92"/>
  <c r="I34" i="92" l="1"/>
  <c r="C12" i="95" s="1"/>
  <c r="C14" i="95" s="1"/>
  <c r="Q6" i="92"/>
  <c r="Q34" i="92" s="1"/>
  <c r="C10" i="95"/>
  <c r="I6" i="92"/>
  <c r="D38" i="110"/>
  <c r="G38" i="110"/>
  <c r="F38" i="110"/>
  <c r="E38" i="110" l="1"/>
  <c r="A2" i="121" l="1"/>
  <c r="A1" i="121"/>
  <c r="E12" i="122"/>
  <c r="D12" i="122"/>
  <c r="C12" i="122"/>
  <c r="B12" i="122"/>
  <c r="F12" i="122" s="1"/>
  <c r="E11" i="122"/>
  <c r="D11" i="122"/>
  <c r="C11" i="122"/>
  <c r="B11" i="122"/>
  <c r="E10" i="122"/>
  <c r="D10" i="122"/>
  <c r="C10" i="122"/>
  <c r="B10" i="122"/>
  <c r="F10" i="122" s="1"/>
  <c r="F9" i="122"/>
  <c r="E9" i="122"/>
  <c r="D9" i="122"/>
  <c r="C9" i="122"/>
  <c r="B9" i="122"/>
  <c r="B11" i="121"/>
  <c r="F11" i="122" l="1"/>
  <c r="C22" i="11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7" i="114"/>
  <c r="D7" i="114"/>
  <c r="C10" i="114"/>
  <c r="D10" i="114"/>
  <c r="D15"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9" i="112"/>
  <c r="H10" i="112"/>
  <c r="H11" i="112"/>
  <c r="H12" i="112"/>
  <c r="H13" i="112"/>
  <c r="H14" i="112"/>
  <c r="H15" i="112"/>
  <c r="H16" i="112"/>
  <c r="H17" i="112"/>
  <c r="H18" i="112"/>
  <c r="H19" i="112"/>
  <c r="H20" i="112"/>
  <c r="C21" i="112"/>
  <c r="D21" i="112"/>
  <c r="E21" i="112"/>
  <c r="F21" i="112"/>
  <c r="G21" i="112"/>
  <c r="H22" i="112"/>
  <c r="H23" i="112"/>
  <c r="H8" i="111"/>
  <c r="H9" i="111"/>
  <c r="H10" i="111"/>
  <c r="H11" i="111"/>
  <c r="H12" i="111"/>
  <c r="H13" i="111"/>
  <c r="H14" i="111"/>
  <c r="H15" i="111"/>
  <c r="H16" i="111"/>
  <c r="H17" i="111"/>
  <c r="H18" i="111"/>
  <c r="H19" i="111"/>
  <c r="H20" i="111"/>
  <c r="H21" i="111"/>
  <c r="D22" i="111"/>
  <c r="E22" i="111"/>
  <c r="F22" i="111"/>
  <c r="G22" i="111"/>
  <c r="C18" i="115" l="1"/>
  <c r="C15" i="114"/>
  <c r="H34" i="113"/>
  <c r="H21" i="112"/>
  <c r="H22" i="111"/>
  <c r="C62" i="69"/>
  <c r="C58" i="69"/>
  <c r="C46" i="69"/>
  <c r="C40" i="69"/>
  <c r="C29" i="69"/>
  <c r="C26" i="69"/>
  <c r="C23" i="69"/>
  <c r="C18" i="69"/>
  <c r="C14" i="69"/>
  <c r="C6" i="69"/>
  <c r="E8" i="88"/>
  <c r="E16" i="88"/>
  <c r="E20" i="88"/>
  <c r="E25" i="88"/>
  <c r="E28" i="88"/>
  <c r="E31" i="88"/>
  <c r="D8" i="88"/>
  <c r="D16" i="88"/>
  <c r="D20" i="88"/>
  <c r="D25" i="88"/>
  <c r="D28" i="88"/>
  <c r="D31" i="88"/>
  <c r="C31" i="88"/>
  <c r="C28" i="88"/>
  <c r="C25" i="88"/>
  <c r="C20" i="88"/>
  <c r="C16" i="88"/>
  <c r="C8" i="88"/>
  <c r="C67" i="69" l="1"/>
  <c r="C52" i="69"/>
  <c r="C68" i="69"/>
  <c r="C35" i="69"/>
  <c r="E37" i="88"/>
  <c r="D37" i="88"/>
  <c r="C37" i="88"/>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F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C17" i="110"/>
  <c r="H16" i="110"/>
  <c r="E16" i="110"/>
  <c r="H15" i="110"/>
  <c r="E15" i="110"/>
  <c r="G14" i="110"/>
  <c r="F14" i="110"/>
  <c r="H13" i="110"/>
  <c r="E13" i="110"/>
  <c r="H12" i="110"/>
  <c r="E12" i="110"/>
  <c r="G11" i="110"/>
  <c r="F11" i="110"/>
  <c r="D11" i="110"/>
  <c r="C11" i="110"/>
  <c r="H10" i="110"/>
  <c r="E10" i="110"/>
  <c r="H9" i="110"/>
  <c r="E9" i="110"/>
  <c r="G8" i="110"/>
  <c r="F8" i="110"/>
  <c r="D8" i="110"/>
  <c r="C8" i="110"/>
  <c r="H7" i="110"/>
  <c r="E7" i="110"/>
  <c r="H6" i="110"/>
  <c r="E6" i="110"/>
  <c r="H44" i="109"/>
  <c r="E44" i="109"/>
  <c r="H42" i="109"/>
  <c r="E42" i="109"/>
  <c r="H41" i="109"/>
  <c r="E41" i="109"/>
  <c r="H40" i="109"/>
  <c r="E40" i="109"/>
  <c r="H39" i="109"/>
  <c r="E39" i="109"/>
  <c r="H38" i="109"/>
  <c r="E38" i="109"/>
  <c r="G37" i="109"/>
  <c r="F37" i="109"/>
  <c r="D37" i="109"/>
  <c r="C37" i="109"/>
  <c r="H36" i="109"/>
  <c r="E36" i="109"/>
  <c r="H35" i="109"/>
  <c r="E35" i="109"/>
  <c r="G34" i="109"/>
  <c r="F34" i="109"/>
  <c r="D34" i="109"/>
  <c r="C34" i="109"/>
  <c r="H33" i="109"/>
  <c r="E33" i="109"/>
  <c r="H32" i="109"/>
  <c r="E32" i="109"/>
  <c r="H31" i="109"/>
  <c r="E31" i="109"/>
  <c r="H30" i="109"/>
  <c r="E30" i="109"/>
  <c r="G29" i="109"/>
  <c r="F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G13" i="109"/>
  <c r="F13" i="109"/>
  <c r="D13" i="109"/>
  <c r="C13" i="109"/>
  <c r="H12" i="109"/>
  <c r="E12" i="109"/>
  <c r="H11" i="109"/>
  <c r="E11" i="109"/>
  <c r="H10" i="109"/>
  <c r="E10" i="109"/>
  <c r="H9" i="109"/>
  <c r="E9" i="109"/>
  <c r="H8" i="109"/>
  <c r="E8" i="109"/>
  <c r="H7" i="109"/>
  <c r="E7" i="109"/>
  <c r="G6" i="109"/>
  <c r="F6" i="109"/>
  <c r="D6" i="109"/>
  <c r="C6" i="109"/>
  <c r="G68" i="108"/>
  <c r="F68" i="108"/>
  <c r="H67" i="108"/>
  <c r="E67" i="108"/>
  <c r="H66" i="108"/>
  <c r="E66" i="108"/>
  <c r="H65" i="108"/>
  <c r="E65" i="108"/>
  <c r="H64" i="108"/>
  <c r="E64" i="108"/>
  <c r="H63" i="108"/>
  <c r="D63" i="108"/>
  <c r="C63" i="108"/>
  <c r="H62" i="108"/>
  <c r="E62" i="108"/>
  <c r="H61" i="108"/>
  <c r="E61" i="108"/>
  <c r="H60" i="108"/>
  <c r="E60" i="108"/>
  <c r="H59" i="108"/>
  <c r="D59" i="108"/>
  <c r="C59" i="108"/>
  <c r="H58" i="108"/>
  <c r="E58" i="108"/>
  <c r="H57" i="108"/>
  <c r="E57" i="108"/>
  <c r="H56" i="108"/>
  <c r="E56" i="108"/>
  <c r="H55" i="108"/>
  <c r="E55" i="108"/>
  <c r="H52" i="108"/>
  <c r="E52" i="108"/>
  <c r="H51" i="108"/>
  <c r="E51" i="108"/>
  <c r="H50" i="108"/>
  <c r="E50" i="108"/>
  <c r="H49" i="108"/>
  <c r="E49" i="108"/>
  <c r="H48" i="108"/>
  <c r="E48" i="108"/>
  <c r="G47" i="108"/>
  <c r="F47" i="108"/>
  <c r="D47" i="108"/>
  <c r="C47" i="108"/>
  <c r="H46" i="108"/>
  <c r="E46" i="108"/>
  <c r="H45" i="108"/>
  <c r="E45" i="108"/>
  <c r="H44" i="108"/>
  <c r="E44" i="108"/>
  <c r="H43" i="108"/>
  <c r="E43" i="108"/>
  <c r="H42" i="108"/>
  <c r="E42" i="108"/>
  <c r="G41" i="108"/>
  <c r="F41" i="108"/>
  <c r="D41" i="108"/>
  <c r="C41" i="108"/>
  <c r="H40" i="108"/>
  <c r="E40" i="108"/>
  <c r="H39" i="108"/>
  <c r="E39" i="108"/>
  <c r="H38" i="108"/>
  <c r="E38" i="108"/>
  <c r="E30" i="110" l="1"/>
  <c r="D14" i="110"/>
  <c r="C14" i="110"/>
  <c r="H14" i="110"/>
  <c r="E11" i="110"/>
  <c r="E8" i="110"/>
  <c r="H37" i="109"/>
  <c r="E37" i="109"/>
  <c r="H34" i="109"/>
  <c r="E34" i="109"/>
  <c r="E13" i="109"/>
  <c r="E6" i="109"/>
  <c r="E63" i="108"/>
  <c r="C68" i="108"/>
  <c r="D68" i="108"/>
  <c r="E59" i="108"/>
  <c r="H47" i="108"/>
  <c r="H41" i="108"/>
  <c r="H29" i="109"/>
  <c r="E47" i="108"/>
  <c r="H8" i="110"/>
  <c r="F43" i="109"/>
  <c r="H11" i="110"/>
  <c r="G43" i="109"/>
  <c r="H30" i="110"/>
  <c r="C43" i="109"/>
  <c r="G53" i="108"/>
  <c r="D53" i="108"/>
  <c r="H13" i="109"/>
  <c r="C53" i="108"/>
  <c r="E29" i="109"/>
  <c r="E17" i="110"/>
  <c r="H6" i="109"/>
  <c r="D43" i="109"/>
  <c r="H68" i="108"/>
  <c r="E41" i="108"/>
  <c r="F53" i="108"/>
  <c r="E14" i="110" l="1"/>
  <c r="G45" i="109"/>
  <c r="F45" i="109"/>
  <c r="D45" i="109"/>
  <c r="C45" i="109"/>
  <c r="H69" i="108"/>
  <c r="E68" i="108"/>
  <c r="C69" i="108"/>
  <c r="D69" i="108"/>
  <c r="H53" i="108"/>
  <c r="E53" i="108"/>
  <c r="H43" i="109"/>
  <c r="E43" i="109"/>
  <c r="H45" i="109" l="1"/>
  <c r="E45" i="109"/>
  <c r="E69" i="108"/>
  <c r="B1" i="97"/>
  <c r="G33" i="97"/>
  <c r="F33" i="97"/>
  <c r="E33" i="97"/>
  <c r="D33" i="97"/>
  <c r="C33" i="97"/>
  <c r="G24" i="97"/>
  <c r="F24" i="97"/>
  <c r="E24" i="97"/>
  <c r="D24" i="97"/>
  <c r="C24" i="97"/>
  <c r="G18" i="97"/>
  <c r="F18" i="97"/>
  <c r="E18" i="97"/>
  <c r="D18" i="97"/>
  <c r="C18" i="97"/>
  <c r="G14" i="97"/>
  <c r="F14" i="97"/>
  <c r="E14" i="97"/>
  <c r="D14" i="97"/>
  <c r="C14" i="97"/>
  <c r="G11" i="97"/>
  <c r="F11" i="97"/>
  <c r="E11" i="97"/>
  <c r="D11" i="97"/>
  <c r="C11" i="97"/>
  <c r="G8" i="97"/>
  <c r="F8" i="97"/>
  <c r="E8" i="97"/>
  <c r="D8" i="97"/>
  <c r="C8" i="97"/>
  <c r="G37" i="97" l="1"/>
  <c r="G21" i="97"/>
  <c r="B1" i="95"/>
  <c r="B1" i="93"/>
  <c r="B1" i="64"/>
  <c r="B1" i="90"/>
  <c r="B1" i="69"/>
  <c r="B1" i="94"/>
  <c r="B1" i="89"/>
  <c r="B1" i="73"/>
  <c r="B1" i="88"/>
  <c r="B1" i="52"/>
  <c r="B1" i="86"/>
  <c r="G5" i="86"/>
  <c r="F5" i="86"/>
  <c r="E5" i="86"/>
  <c r="D5" i="86"/>
  <c r="G5" i="84"/>
  <c r="F5" i="84"/>
  <c r="E5" i="84"/>
  <c r="D5" i="84"/>
  <c r="C5" i="84"/>
  <c r="G39" i="97" l="1"/>
  <c r="E6" i="86"/>
  <c r="F6" i="86"/>
  <c r="G6" i="86"/>
  <c r="F13" i="86" l="1"/>
  <c r="G13" i="86"/>
  <c r="E13" i="86"/>
  <c r="C21" i="94"/>
  <c r="C20" i="94"/>
  <c r="C19" i="94"/>
  <c r="B1" i="91" l="1"/>
  <c r="B1" i="84"/>
  <c r="C26" i="95" l="1"/>
  <c r="C22" i="95"/>
  <c r="C8" i="95"/>
  <c r="C32" i="95" l="1"/>
  <c r="D6" i="86"/>
  <c r="D13" i="86"/>
  <c r="B19" i="121" l="1"/>
  <c r="C34" i="95"/>
  <c r="C6" i="86"/>
  <c r="C13" i="86" l="1"/>
  <c r="B18" i="121"/>
  <c r="D19" i="94"/>
  <c r="D9" i="94"/>
  <c r="D11" i="94"/>
  <c r="D12" i="94"/>
  <c r="D13" i="94"/>
  <c r="D16" i="94"/>
  <c r="D20" i="94"/>
  <c r="D21" i="94"/>
  <c r="D7" i="94"/>
  <c r="D17" i="94"/>
  <c r="D8" i="94"/>
  <c r="D15" i="94"/>
  <c r="S21" i="90"/>
  <c r="S20" i="90"/>
  <c r="S19" i="90"/>
  <c r="S18" i="90"/>
  <c r="S17" i="90"/>
  <c r="S16" i="90"/>
  <c r="S15" i="90"/>
  <c r="S14" i="90"/>
  <c r="S13" i="90"/>
  <c r="S12" i="90"/>
  <c r="S11" i="90"/>
  <c r="S10" i="90"/>
  <c r="S9" i="90"/>
  <c r="S8" i="90"/>
  <c r="T21" i="64" l="1"/>
  <c r="U21" i="64"/>
  <c r="S21" i="64"/>
  <c r="C21" i="64"/>
  <c r="G22" i="91"/>
  <c r="F22" i="91"/>
  <c r="E22" i="91"/>
  <c r="D22" i="91"/>
  <c r="C22" i="91"/>
  <c r="H21" i="91"/>
  <c r="H17" i="91"/>
  <c r="H14" i="91"/>
  <c r="H13" i="91"/>
  <c r="H8" i="91"/>
  <c r="H22" i="91" l="1"/>
  <c r="K22" i="90"/>
  <c r="L22" i="90"/>
  <c r="M22" i="90"/>
  <c r="N22" i="90"/>
  <c r="O22" i="90"/>
  <c r="P22" i="90"/>
  <c r="Q22" i="90"/>
  <c r="R22" i="90"/>
  <c r="S22" i="90"/>
  <c r="C5" i="73" l="1"/>
  <c r="C22" i="90" l="1"/>
  <c r="C12" i="89"/>
  <c r="C6" i="89"/>
  <c r="D22" i="90" l="1"/>
  <c r="E22" i="90"/>
  <c r="F22" i="90"/>
  <c r="G22" i="90"/>
  <c r="H22" i="90"/>
  <c r="I22" i="90"/>
  <c r="J22" i="90"/>
  <c r="C29" i="89"/>
  <c r="C32" i="89"/>
  <c r="C36" i="89"/>
  <c r="C44" i="89"/>
  <c r="C48" i="89"/>
  <c r="C31" i="89" l="1"/>
  <c r="B8" i="121"/>
  <c r="C8" i="73"/>
  <c r="C53" i="89"/>
  <c r="B10" i="121" l="1"/>
  <c r="C42" i="89"/>
  <c r="C13" i="73"/>
  <c r="D21" i="64"/>
  <c r="E21" i="64"/>
  <c r="F21" i="64"/>
  <c r="G21" i="64"/>
  <c r="H21" i="64"/>
  <c r="I21" i="64"/>
  <c r="J21" i="64"/>
  <c r="K21" i="64"/>
  <c r="L21" i="64"/>
  <c r="M21" i="64"/>
  <c r="N21" i="64"/>
  <c r="O21" i="64"/>
  <c r="P21" i="64"/>
  <c r="Q21" i="64"/>
  <c r="R21" i="64"/>
  <c r="B9" i="121" l="1"/>
  <c r="B7" i="121" s="1"/>
  <c r="V8" i="64"/>
  <c r="V9" i="64"/>
  <c r="V10" i="64"/>
  <c r="V11" i="64"/>
  <c r="V12" i="64"/>
  <c r="V13" i="64"/>
  <c r="V14" i="64"/>
  <c r="V15" i="64"/>
  <c r="V16" i="64"/>
  <c r="V17" i="64"/>
  <c r="V18" i="64"/>
  <c r="V19" i="64"/>
  <c r="V20" i="64"/>
  <c r="V7" i="64"/>
  <c r="B6" i="121" l="1"/>
  <c r="B16" i="121"/>
  <c r="B14" i="121" s="1"/>
  <c r="V21" i="64"/>
  <c r="G30" i="108"/>
  <c r="H26" i="108"/>
  <c r="H13" i="108"/>
  <c r="H10" i="108"/>
  <c r="H9" i="108"/>
  <c r="B23" i="121" l="1"/>
  <c r="B22" i="121"/>
  <c r="B21" i="121"/>
  <c r="H11" i="108"/>
  <c r="H17" i="108"/>
  <c r="H23" i="108"/>
  <c r="D24" i="108"/>
  <c r="H12" i="108"/>
  <c r="H18" i="108"/>
  <c r="F24" i="108"/>
  <c r="H24" i="108" s="1"/>
  <c r="H25" i="108"/>
  <c r="H32" i="108"/>
  <c r="E18" i="108"/>
  <c r="G24" i="108"/>
  <c r="E26" i="108"/>
  <c r="H20" i="108"/>
  <c r="F19" i="108"/>
  <c r="H33" i="108"/>
  <c r="G7" i="108"/>
  <c r="G19" i="108"/>
  <c r="D7" i="108"/>
  <c r="E9" i="108"/>
  <c r="E14" i="108"/>
  <c r="E21" i="108"/>
  <c r="E34" i="108"/>
  <c r="D27" i="108"/>
  <c r="H14" i="108"/>
  <c r="H21" i="108"/>
  <c r="G27" i="108"/>
  <c r="H34" i="108"/>
  <c r="E10" i="108"/>
  <c r="E16" i="108"/>
  <c r="C15" i="108"/>
  <c r="E22" i="108"/>
  <c r="E13" i="108"/>
  <c r="D19" i="108"/>
  <c r="E33" i="108"/>
  <c r="E35" i="108"/>
  <c r="H16" i="108"/>
  <c r="H22" i="108"/>
  <c r="H29" i="108"/>
  <c r="H35" i="108"/>
  <c r="E17" i="108"/>
  <c r="E23" i="108"/>
  <c r="E31" i="108"/>
  <c r="C30" i="108"/>
  <c r="E30" i="108" s="1"/>
  <c r="E29" i="108"/>
  <c r="G15" i="108"/>
  <c r="E11" i="108"/>
  <c r="D30" i="108"/>
  <c r="C27" i="108" l="1"/>
  <c r="E27" i="108" s="1"/>
  <c r="E28" i="108"/>
  <c r="F30" i="108"/>
  <c r="H30" i="108" s="1"/>
  <c r="H31" i="108"/>
  <c r="H19" i="108"/>
  <c r="F7" i="108"/>
  <c r="H8" i="108"/>
  <c r="F15" i="108"/>
  <c r="H15" i="108" s="1"/>
  <c r="H28" i="108"/>
  <c r="F27" i="108"/>
  <c r="H27" i="108" s="1"/>
  <c r="E32" i="108"/>
  <c r="D15" i="108"/>
  <c r="D36" i="108" s="1"/>
  <c r="G36" i="108"/>
  <c r="E20" i="108"/>
  <c r="C19" i="108"/>
  <c r="E19" i="108" s="1"/>
  <c r="E12" i="108"/>
  <c r="C24" i="108"/>
  <c r="E24" i="108" s="1"/>
  <c r="E25" i="108"/>
  <c r="E15" i="108"/>
  <c r="C7" i="108"/>
  <c r="E8" i="108"/>
  <c r="H7" i="108" l="1"/>
  <c r="F36" i="108"/>
  <c r="H36" i="108" s="1"/>
  <c r="C36" i="108"/>
  <c r="E36" i="108" s="1"/>
  <c r="E7" i="10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<sst xmlns="http://schemas.openxmlformats.org/spreadsheetml/2006/main" count="1251" uniqueCount="782">
  <si>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</si>
  <si>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</si>
  <si>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</si>
  <si>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</si>
  <si>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</si>
  <si>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</si>
  <si>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</si>
  <si>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</si>
  <si>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</si>
  <si>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</si>
  <si>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</si>
  <si>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</si>
  <si>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</si>
  <si>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</si>
  <si>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</si>
  <si>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</si>
  <si>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</si>
  <si>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</si>
  <si>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</si>
  <si>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</si>
  <si>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</si>
  <si>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</si>
  <si>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</si>
  <si>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</si>
  <si>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</si>
  <si>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</si>
  <si>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</si>
  <si>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</si>
  <si>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</si>
  <si>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</si>
  <si>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</si>
  <si>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</si>
  <si>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</si>
  <si>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</si>
  <si>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</si>
  <si>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</si>
  <si>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</si>
  <si>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</si>
  <si>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</si>
  <si>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</si>
  <si>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</si>
  <si>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</si>
  <si>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</si>
  <si>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</si>
  <si>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</si>
  <si>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</si>
  <si>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</si>
  <si>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</si>
  <si>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</si>
  <si>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</si>
  <si>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</si>
  <si>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</si>
  <si>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</si>
  <si>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</si>
  <si>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</si>
  <si>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</si>
  <si>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</si>
  <si>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</si>
  <si>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</si>
  <si>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</si>
  <si>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</si>
  <si>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</si>
  <si>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</si>
  <si>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</si>
  <si>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</si>
  <si>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</si>
  <si>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</si>
  <si>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</si>
  <si>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</si>
  <si>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</si>
  <si>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</si>
  <si>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</si>
  <si>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</si>
  <si>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</si>
  <si>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</si>
  <si>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</si>
  <si>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</si>
  <si>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</si>
  <si>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</si>
  <si>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</si>
  <si>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</si>
  <si>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</si>
  <si>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</si>
  <si>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</si>
  <si>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</si>
  <si>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</si>
  <si>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</si>
  <si>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</si>
  <si>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</si>
  <si>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</si>
  <si>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</si>
  <si>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</si>
  <si>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</si>
  <si>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</si>
  <si>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</si>
  <si>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</si>
  <si>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</si>
  <si>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</si>
  <si>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</si>
  <si>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</si>
  <si>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</si>
  <si>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</si>
  <si>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</si>
  <si>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</si>
  <si>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</si>
  <si>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</si>
  <si>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</si>
  <si>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</si>
  <si>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</si>
  <si>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</si>
  <si>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</si>
  <si>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</si>
  <si>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</si>
  <si>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</si>
  <si>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</si>
  <si>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</si>
  <si>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</si>
  <si>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</si>
  <si>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</si>
  <si>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</si>
  <si>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</si>
  <si>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</si>
  <si>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</si>
  <si>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</si>
  <si>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</si>
  <si>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</si>
  <si>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</si>
  <si>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</si>
  <si>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</si>
  <si>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</si>
  <si>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</si>
  <si>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</si>
  <si>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</si>
  <si>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</si>
  <si>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</si>
  <si>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</si>
  <si>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</si>
  <si>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</si>
  <si>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</si>
  <si>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</si>
  <si>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</si>
  <si>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</si>
  <si>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</si>
  <si>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</si>
  <si>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</si>
  <si>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</si>
  <si>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</si>
  <si>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</si>
  <si>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</si>
  <si>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</si>
  <si>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</si>
  <si>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</si>
  <si>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</si>
  <si>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</si>
  <si>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</si>
  <si>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</si>
  <si>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</si>
  <si>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</si>
  <si>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</si>
  <si>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</si>
  <si>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</si>
  <si>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</si>
  <si>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</si>
  <si>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</si>
  <si>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</si>
  <si>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</si>
  <si>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</si>
  <si>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</si>
  <si>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</si>
  <si>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</si>
  <si>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</si>
  <si>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</si>
  <si>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</si>
  <si>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</si>
  <si>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</si>
  <si>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</si>
  <si>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</si>
  <si>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</si>
  <si>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</si>
  <si>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</si>
  <si>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</si>
  <si>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</si>
  <si>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</si>
  <si>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</si>
  <si>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</si>
  <si>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</si>
  <si>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</si>
  <si>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</si>
  <si>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</si>
  <si>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</si>
  <si>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</si>
  <si>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</si>
  <si>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</si>
  <si>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</si>
  <si>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</si>
  <si>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</si>
  <si>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</si>
  <si>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</si>
  <si>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</si>
  <si>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</si>
  <si>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</si>
  <si>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</si>
  <si>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</si>
  <si>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</si>
  <si>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</si>
  <si>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</si>
  <si>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</si>
  <si>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</si>
  <si>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</si>
  <si>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</si>
  <si>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</si>
  <si>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</si>
  <si>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</si>
  <si>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</si>
  <si>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</si>
  <si>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</si>
  <si>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</si>
  <si>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</si>
  <si>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</si>
  <si>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</si>
  <si>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</si>
  <si>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</si>
  <si>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</si>
  <si>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</si>
  <si>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</si>
  <si>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</si>
  <si>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</si>
  <si>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</si>
  <si>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</si>
  <si>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</si>
  <si>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</si>
  <si>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</si>
  <si>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</si>
  <si>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</si>
  <si>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</si>
  <si>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</si>
  <si>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</si>
  <si>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</si>
  <si>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</si>
  <si>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</si>
  <si>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</si>
  <si>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</si>
  <si>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</si>
  <si>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</si>
  <si>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</si>
  <si>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</si>
  <si>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</si>
  <si>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</si>
  <si>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</si>
  <si>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</si>
  <si>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</si>
  <si>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</si>
  <si>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</si>
  <si>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</si>
  <si>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</si>
  <si>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</si>
  <si>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</si>
  <si>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</si>
  <si>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</si>
  <si>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</si>
  <si>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</si>
  <si>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</si>
  <si>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</si>
  <si>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</si>
  <si>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</si>
  <si>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</si>
  <si>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</si>
  <si>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</si>
  <si>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</si>
  <si>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</si>
  <si>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</si>
  <si>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</si>
  <si>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</si>
  <si>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</si>
  <si>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</si>
  <si>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</si>
  <si>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</si>
  <si>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</si>
  <si>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</si>
  <si>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</si>
  <si>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</si>
  <si>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</si>
  <si>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</si>
  <si>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</si>
  <si>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</si>
  <si>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</si>
  <si>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</si>
  <si>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</si>
  <si>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</si>
  <si>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</si>
  <si>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</si>
  <si>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</si>
  <si>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</si>
  <si>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</si>
  <si>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</si>
  <si>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</si>
  <si>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</si>
  <si>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</si>
  <si>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</si>
  <si>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</si>
  <si>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</si>
  <si>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</si>
  <si>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</si>
  <si>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</si>
  <si>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</si>
  <si>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</si>
  <si>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</si>
  <si>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</si>
  <si>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</si>
  <si>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</si>
  <si>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</si>
  <si>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</si>
  <si>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</si>
  <si>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</si>
  <si>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</si>
  <si>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</si>
  <si>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</si>
  <si>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</si>
  <si>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</si>
  <si>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</si>
  <si>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</si>
  <si>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</si>
  <si>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</si>
  <si>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</si>
  <si>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</si>
  <si>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</si>
  <si>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</si>
  <si>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</si>
  <si>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</si>
  <si>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</si>
  <si>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</si>
  <si>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</si>
  <si>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</si>
  <si>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</si>
  <si>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</si>
  <si>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</si>
  <si>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</si>
  <si>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</si>
  <si>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</si>
  <si>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</si>
  <si>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</si>
  <si>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</si>
  <si>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</si>
  <si>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</si>
  <si>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</si>
  <si>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</si>
  <si>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</si>
  <si>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</si>
  <si>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</si>
  <si>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</si>
  <si>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</si>
  <si>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</si>
  <si>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</si>
  <si>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</si>
  <si>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</si>
  <si>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</si>
  <si>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</si>
  <si>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</si>
  <si>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</si>
  <si>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</si>
  <si>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</si>
  <si>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</si>
  <si>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</si>
  <si>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</si>
  <si>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</si>
  <si>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</si>
  <si>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</si>
  <si>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</si>
  <si>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</si>
  <si>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</si>
  <si>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</si>
  <si>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</si>
  <si>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</si>
  <si>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</si>
  <si>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</si>
  <si>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</si>
  <si>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</si>
  <si>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</si>
  <si>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</si>
  <si>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</si>
  <si>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</si>
  <si>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</si>
  <si>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</si>
  <si>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</si>
  <si>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</si>
  <si>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</si>
  <si>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</si>
  <si>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</si>
  <si>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</si>
  <si>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</si>
  <si>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</si>
  <si>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</si>
  <si>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</si>
  <si>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</si>
  <si>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</si>
  <si>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</si>
  <si>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</si>
  <si>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</si>
  <si>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</si>
  <si>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</si>
  <si>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</si>
  <si>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</si>
  <si>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</si>
  <si>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</si>
  <si>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</si>
  <si>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</si>
  <si>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</si>
  <si>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</si>
  <si>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</si>
  <si>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</si>
  <si>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</si>
  <si>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</si>
  <si>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</si>
  <si>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</si>
  <si>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</si>
  <si>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</si>
  <si>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</si>
  <si>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</si>
  <si>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</si>
  <si>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</si>
  <si>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</si>
  <si>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</si>
  <si>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</si>
  <si>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</si>
  <si>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</si>
  <si>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</si>
  <si>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</si>
  <si>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</si>
  <si>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</si>
  <si>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</si>
  <si>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</si>
  <si>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</si>
  <si>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</si>
  <si>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</si>
  <si>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</si>
  <si>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</si>
  <si>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</si>
  <si>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</si>
  <si>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</si>
  <si>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</si>
  <si>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</si>
  <si>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</si>
  <si>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</si>
  <si>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</si>
  <si>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</si>
  <si>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</si>
  <si>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</si>
  <si>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</si>
  <si>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</si>
  <si>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</si>
  <si>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</si>
  <si>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</si>
  <si>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</si>
  <si>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</si>
  <si>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</si>
  <si>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</si>
  <si>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</si>
  <si>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</si>
  <si>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</si>
  <si>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</si>
  <si>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</si>
  <si>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</si>
  <si>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</si>
  <si>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</si>
  <si>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</si>
  <si>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</si>
  <si>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</si>
  <si>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</si>
  <si>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</si>
  <si>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</si>
  <si>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</si>
  <si>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</si>
  <si>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</si>
  <si>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</si>
  <si>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</si>
  <si>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</si>
  <si>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</si>
  <si>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</si>
  <si>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</si>
  <si>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</si>
  <si>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</si>
  <si>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</si>
  <si>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</si>
  <si>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</si>
  <si>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</si>
  <si>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</si>
  <si>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</si>
  <si>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</si>
  <si>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</si>
  <si>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</si>
  <si>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</si>
  <si>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</si>
  <si>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</si>
  <si>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</si>
  <si>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</si>
  <si>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</si>
  <si>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</si>
  <si>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</si>
  <si>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</si>
  <si>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</si>
  <si>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</si>
  <si>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</si>
  <si>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</si>
  <si>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</si>
  <si>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</si>
  <si>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</si>
  <si>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</si>
  <si>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</si>
  <si>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</si>
  <si>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</si>
  <si>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</si>
  <si>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</si>
  <si>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</si>
  <si>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</si>
  <si>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</si>
  <si>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</si>
  <si>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</si>
  <si>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</si>
  <si>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</si>
  <si>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</si>
  <si>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</si>
  <si>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</si>
  <si>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</si>
  <si>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</si>
  <si>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</si>
  <si>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</si>
  <si>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</si>
  <si>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</si>
  <si>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</si>
  <si>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</si>
  <si>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</si>
  <si>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</si>
  <si>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</si>
  <si>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</si>
  <si>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</si>
  <si>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</si>
  <si>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</si>
  <si>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</si>
  <si>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</si>
  <si>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</si>
  <si>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</si>
  <si>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</si>
  <si>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</si>
  <si>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</si>
  <si>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</si>
  <si>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</si>
  <si>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</si>
  <si>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</si>
  <si>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</si>
  <si>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</si>
  <si>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</si>
  <si>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</si>
  <si>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</si>
  <si>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</si>
  <si>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</si>
  <si>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</si>
  <si>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</si>
  <si>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</si>
  <si>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</si>
  <si>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</si>
  <si>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</si>
  <si>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</si>
  <si>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</si>
  <si>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</si>
  <si>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</si>
  <si>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</si>
  <si>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</si>
  <si>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</si>
  <si>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</si>
  <si>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</si>
  <si>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</si>
  <si>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</si>
  <si>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</si>
  <si>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</si>
  <si>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</si>
  <si>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</si>
  <si>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</si>
  <si>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</si>
  <si>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</si>
  <si>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</si>
  <si>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</si>
  <si>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</si>
  <si>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</si>
  <si>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</si>
  <si>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</si>
  <si>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</si>
  <si>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</si>
  <si>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</si>
  <si>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</si>
  <si>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</si>
  <si>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</si>
  <si>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</si>
  <si>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</si>
  <si>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</si>
  <si>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</si>
  <si>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</si>
  <si>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</si>
  <si>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</si>
  <si>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</si>
  <si>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</si>
  <si>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</si>
  <si>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</si>
  <si>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</si>
  <si>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</si>
  <si>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</si>
  <si>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</si>
  <si>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</si>
  <si>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</si>
  <si>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</si>
  <si>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</si>
  <si>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</si>
  <si>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</si>
  <si>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</si>
  <si>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</si>
  <si>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</si>
  <si>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</si>
  <si>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</si>
  <si>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</si>
  <si>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</si>
  <si>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</si>
  <si>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</si>
  <si>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</si>
  <si>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</si>
  <si>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</si>
  <si>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</si>
  <si>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</si>
  <si>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</si>
  <si>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</si>
  <si>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</si>
  <si>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</si>
  <si>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</si>
  <si>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</si>
  <si>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</si>
  <si>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</si>
  <si>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</si>
  <si>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</si>
  <si>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</si>
  <si>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</si>
  <si>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</si>
  <si>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</si>
  <si>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</si>
  <si>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</si>
  <si>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</si>
  <si>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</si>
  <si>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</si>
  <si>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</si>
  <si>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</si>
  <si>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</si>
  <si>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</si>
  <si>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</si>
  <si>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</si>
  <si>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</si>
  <si>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</si>
  <si>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</si>
  <si>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</si>
  <si>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</si>
  <si>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</si>
  <si>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</si>
  <si>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</si>
  <si>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</si>
  <si>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</si>
  <si>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</si>
  <si>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</si>
  <si>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</si>
  <si>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</si>
  <si>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</si>
  <si>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</si>
  <si>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</si>
  <si>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</si>
  <si>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</si>
  <si>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</si>
  <si>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</si>
  <si>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</si>
  <si>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</si>
  <si>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</si>
  <si>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</si>
  <si>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</si>
  <si>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</si>
  <si>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</si>
  <si>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</si>
  <si>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</si>
  <si>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</si>
  <si>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</si>
  <si>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</si>
  <si>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</si>
  <si>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</si>
  <si>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</si>
  <si>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</si>
  <si>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</si>
  <si>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</si>
  <si>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</si>
  <si>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</si>
  <si>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</si>
  <si>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</si>
  <si>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</si>
  <si>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</si>
  <si>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</si>
  <si>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</si>
  <si>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</si>
  <si>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</si>
  <si>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</si>
  <si>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</si>
  <si>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</si>
  <si>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</si>
  <si>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</si>
  <si>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</si>
  <si>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</si>
  <si>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</si>
  <si>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</si>
  <si>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</si>
  <si>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</si>
  <si>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</si>
  <si>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</si>
  <si>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</si>
  <si>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</si>
  <si>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</si>
  <si>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</si>
  <si>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</si>
  <si>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</si>
  <si>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</si>
  <si>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</si>
  <si>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</si>
  <si>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</si>
  <si>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</si>
  <si>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</si>
  <si>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</si>
  <si>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</si>
  <si>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</si>
  <si>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</si>
  <si>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</si>
  <si>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</si>
  <si>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</si>
  <si>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</si>
  <si>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</si>
  <si>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</si>
  <si>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</si>
  <si>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</si>
  <si>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</si>
  <si>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</si>
  <si>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</si>
  <si>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</si>
  <si>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</si>
  <si>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</si>
  <si>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</si>
  <si>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</si>
  <si>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</si>
  <si>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</si>
  <si>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</si>
  <si>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</si>
  <si>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</si>
  <si>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</si>
  <si>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</si>
  <si>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</si>
  <si>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</si>
  <si>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Cartu Bank</t>
  </si>
  <si>
    <t>Nato Khaindrava</t>
  </si>
  <si>
    <t>Zurab Gelenidze</t>
  </si>
  <si>
    <t>www.cartubank.ge</t>
  </si>
  <si>
    <t>Non-independent chair</t>
  </si>
  <si>
    <t>Lasha Megrelidze</t>
  </si>
  <si>
    <t>Independent member</t>
  </si>
  <si>
    <t>Besik Demetrashvili</t>
  </si>
  <si>
    <t>Non-independent member</t>
  </si>
  <si>
    <t>Zaza Verdzeuli</t>
  </si>
  <si>
    <t>Irine Kinkladze</t>
  </si>
  <si>
    <t>General Director</t>
  </si>
  <si>
    <t>Givi Lebanidze</t>
  </si>
  <si>
    <t>Deputy General Director - Financial Director</t>
  </si>
  <si>
    <t>Beka Kvaratskhelia</t>
  </si>
  <si>
    <t>Deputy General Director - Risk Director</t>
  </si>
  <si>
    <t xml:space="preserve">Zurab Gogua </t>
  </si>
  <si>
    <t>Deputy General Director - Commercial Director</t>
  </si>
  <si>
    <t>Giorgi Korsantia</t>
  </si>
  <si>
    <t>Deputy General Director - Information Technology Director</t>
  </si>
  <si>
    <t>Vakhtang Machavariani</t>
  </si>
  <si>
    <t>Deputy General Director - Operations Director</t>
  </si>
  <si>
    <t xml:space="preserve">N(N)LP INTERNATIONAL CHARITY FUND "CARTU"                                                           </t>
  </si>
  <si>
    <t xml:space="preserve">Uta Ivanishvili </t>
  </si>
  <si>
    <t>Table 9 (Capital), N28 &amp; N38</t>
  </si>
  <si>
    <t>Table 9 (Capital), N2</t>
  </si>
  <si>
    <t>Table 9 (Capital), N27</t>
  </si>
  <si>
    <t>Table 9 (Capital), N5 &amp;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</si>
</sst>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_);_(* \(#,##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9" fontId="23"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2" fillId="8" borderId="32"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0" fontId="21"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168" fontId="23" fillId="63" borderId="39" applyNumberFormat="0" applyAlignment="0" applyProtection="0"/>
    <xf numFmtId="169" fontId="23" fillId="63" borderId="39" applyNumberFormat="0" applyAlignment="0" applyProtection="0"/>
    <xf numFmtId="168" fontId="23" fillId="63" borderId="39" applyNumberFormat="0" applyAlignment="0" applyProtection="0"/>
    <xf numFmtId="0" fontId="21" fillId="63" borderId="39" applyNumberFormat="0" applyAlignment="0" applyProtection="0"/>
    <xf numFmtId="0" fontId="24"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0" fontId="25" fillId="9" borderId="35"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169" fontId="26" fillId="64" borderId="40" applyNumberFormat="0" applyAlignment="0" applyProtection="0"/>
    <xf numFmtId="168" fontId="26" fillId="64" borderId="40" applyNumberFormat="0" applyAlignment="0" applyProtection="0"/>
    <xf numFmtId="0" fontId="24" fillId="64" borderId="4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41">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30" applyNumberFormat="0" applyAlignment="0" applyProtection="0">
      <alignment horizontal="left" vertical="center"/>
    </xf>
    <xf numFmtId="0" fontId="37" fillId="0" borderId="30" applyNumberFormat="0" applyAlignment="0" applyProtection="0">
      <alignment horizontal="left" vertical="center"/>
    </xf>
    <xf numFmtId="168" fontId="37" fillId="0" borderId="30"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2" applyNumberFormat="0" applyFill="0" applyAlignment="0" applyProtection="0"/>
    <xf numFmtId="169" fontId="38" fillId="0" borderId="42" applyNumberFormat="0" applyFill="0" applyAlignment="0" applyProtection="0"/>
    <xf numFmtId="0"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168" fontId="38" fillId="0" borderId="42" applyNumberFormat="0" applyFill="0" applyAlignment="0" applyProtection="0"/>
    <xf numFmtId="169" fontId="38" fillId="0" borderId="42" applyNumberFormat="0" applyFill="0" applyAlignment="0" applyProtection="0"/>
    <xf numFmtId="168" fontId="38" fillId="0" borderId="42" applyNumberFormat="0" applyFill="0" applyAlignment="0" applyProtection="0"/>
    <xf numFmtId="0" fontId="38" fillId="0" borderId="42" applyNumberFormat="0" applyFill="0" applyAlignment="0" applyProtection="0"/>
    <xf numFmtId="0" fontId="39" fillId="0" borderId="43" applyNumberFormat="0" applyFill="0" applyAlignment="0" applyProtection="0"/>
    <xf numFmtId="169" fontId="39" fillId="0" borderId="43" applyNumberFormat="0" applyFill="0" applyAlignment="0" applyProtection="0"/>
    <xf numFmtId="0"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168" fontId="39" fillId="0" borderId="43" applyNumberFormat="0" applyFill="0" applyAlignment="0" applyProtection="0"/>
    <xf numFmtId="169" fontId="39" fillId="0" borderId="43" applyNumberFormat="0" applyFill="0" applyAlignment="0" applyProtection="0"/>
    <xf numFmtId="168" fontId="39" fillId="0" borderId="43" applyNumberFormat="0" applyFill="0" applyAlignment="0" applyProtection="0"/>
    <xf numFmtId="0" fontId="39" fillId="0" borderId="43" applyNumberFormat="0" applyFill="0" applyAlignment="0" applyProtection="0"/>
    <xf numFmtId="0" fontId="40" fillId="0" borderId="44" applyNumberFormat="0" applyFill="0" applyAlignment="0" applyProtection="0"/>
    <xf numFmtId="169"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168" fontId="40" fillId="0" borderId="44" applyNumberFormat="0" applyFill="0" applyAlignment="0" applyProtection="0"/>
    <xf numFmtId="169" fontId="40" fillId="0" borderId="44" applyNumberFormat="0" applyFill="0" applyAlignment="0" applyProtection="0"/>
    <xf numFmtId="168" fontId="40" fillId="0" borderId="44" applyNumberFormat="0" applyFill="0" applyAlignment="0" applyProtection="0"/>
    <xf numFmtId="0" fontId="40" fillId="0" borderId="44"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9" fontId="51"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50" fillId="7" borderId="32"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0" fontId="49"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168" fontId="51" fillId="42" borderId="39" applyNumberFormat="0" applyAlignment="0" applyProtection="0"/>
    <xf numFmtId="169" fontId="51" fillId="42" borderId="39" applyNumberFormat="0" applyAlignment="0" applyProtection="0"/>
    <xf numFmtId="168" fontId="51" fillId="42" borderId="39" applyNumberFormat="0" applyAlignment="0" applyProtection="0"/>
    <xf numFmtId="0" fontId="49" fillId="42" borderId="39"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5"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0" fontId="52" fillId="0" borderId="45"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0" fontId="53" fillId="0" borderId="34"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168" fontId="54" fillId="0" borderId="45" applyNumberFormat="0" applyFill="0" applyAlignment="0" applyProtection="0"/>
    <xf numFmtId="169" fontId="54" fillId="0" borderId="45" applyNumberFormat="0" applyFill="0" applyAlignment="0" applyProtection="0"/>
    <xf numFmtId="168" fontId="54" fillId="0" borderId="45" applyNumberFormat="0" applyFill="0" applyAlignment="0" applyProtection="0"/>
    <xf numFmtId="0" fontId="52" fillId="0" borderId="45"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6"/>
    <xf numFmtId="169" fontId="9" fillId="0" borderId="46"/>
    <xf numFmtId="168" fontId="9" fillId="0" borderId="4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168" fontId="2" fillId="0" borderId="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169"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0" borderId="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1" fillId="10" borderId="36"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10"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168" fontId="2" fillId="0" borderId="0"/>
    <xf numFmtId="0" fontId="2" fillId="73" borderId="47" applyNumberFormat="0" applyFont="0" applyAlignment="0" applyProtection="0"/>
    <xf numFmtId="0" fontId="2" fillId="73" borderId="47" applyNumberFormat="0" applyFont="0" applyAlignment="0" applyProtection="0"/>
    <xf numFmtId="169" fontId="2" fillId="0" borderId="0"/>
    <xf numFmtId="168" fontId="2" fillId="0" borderId="0"/>
    <xf numFmtId="168" fontId="2" fillId="0" borderId="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0" fontId="2" fillId="73" borderId="47"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9" fontId="68"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7" fillId="8" borderId="33"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0" fontId="66"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168" fontId="68" fillId="63" borderId="48" applyNumberFormat="0" applyAlignment="0" applyProtection="0"/>
    <xf numFmtId="169" fontId="68" fillId="63" borderId="48" applyNumberFormat="0" applyAlignment="0" applyProtection="0"/>
    <xf numFmtId="168" fontId="68" fillId="63" borderId="48" applyNumberFormat="0" applyAlignment="0" applyProtection="0"/>
    <xf numFmtId="0" fontId="66" fillId="63" borderId="48"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9" fontId="77"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 fillId="0" borderId="37"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168" fontId="77" fillId="0" borderId="49" applyNumberFormat="0" applyFill="0" applyAlignment="0" applyProtection="0"/>
    <xf numFmtId="169" fontId="77" fillId="0" borderId="49" applyNumberFormat="0" applyFill="0" applyAlignment="0" applyProtection="0"/>
    <xf numFmtId="168" fontId="77" fillId="0" borderId="49" applyNumberFormat="0" applyFill="0" applyAlignment="0" applyProtection="0"/>
    <xf numFmtId="0" fontId="30" fillId="0" borderId="49" applyNumberFormat="0" applyFill="0" applyAlignment="0" applyProtection="0"/>
    <xf numFmtId="0" fontId="8" fillId="0" borderId="50"/>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1" fillId="0" borderId="0"/>
    <xf numFmtId="0" fontId="148" fillId="69" borderId="69"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4" applyFont="0" applyBorder="0">
      <alignment horizontal="center" wrapText="1"/>
    </xf>
    <xf numFmtId="3" fontId="2" fillId="74" borderId="123"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9" fillId="0" borderId="0" applyFont="0" applyFill="0" applyBorder="0" applyAlignment="0" applyProtection="0"/>
    <xf numFmtId="8" fontId="150" fillId="0" borderId="0" applyFont="0" applyFill="0" applyBorder="0" applyAlignment="0" applyProtection="0"/>
    <xf numFmtId="8"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3" fontId="149" fillId="0" borderId="0" applyFont="0" applyFill="0" applyBorder="0" applyAlignment="0" applyProtection="0"/>
    <xf numFmtId="203" fontId="149" fillId="0" borderId="0" applyFont="0" applyFill="0" applyBorder="0" applyAlignment="0" applyProtection="0"/>
    <xf numFmtId="7" fontId="149" fillId="0" borderId="0" applyFont="0" applyFill="0" applyBorder="0" applyAlignment="0" applyProtection="0"/>
    <xf numFmtId="7" fontId="149" fillId="0" borderId="0" applyFont="0" applyFill="0" applyBorder="0" applyAlignment="0" applyProtection="0"/>
    <xf numFmtId="204" fontId="149" fillId="0" borderId="0" applyFont="0" applyFill="0" applyBorder="0" applyAlignment="0" applyProtection="0"/>
    <xf numFmtId="204"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50" fillId="0" borderId="0" applyFont="0" applyFill="0" applyBorder="0" applyAlignment="0" applyProtection="0"/>
    <xf numFmtId="5"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9" fontId="150" fillId="0" borderId="0" applyFont="0" applyFill="0" applyBorder="0" applyAlignment="0" applyProtection="0"/>
    <xf numFmtId="9" fontId="150" fillId="0" borderId="0" applyFont="0" applyFill="0" applyBorder="0" applyAlignment="0" applyProtection="0"/>
    <xf numFmtId="10" fontId="150" fillId="0" borderId="0" applyFont="0" applyFill="0" applyBorder="0" applyAlignment="0" applyProtection="0"/>
    <xf numFmtId="10" fontId="150" fillId="0" borderId="0" applyFon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2" fillId="0" borderId="0" applyNumberFormat="0" applyFill="0" applyBorder="0" applyAlignment="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206" fontId="154" fillId="0" borderId="0" applyFont="0" applyFill="0" applyBorder="0" applyAlignment="0" applyProtection="0"/>
    <xf numFmtId="0" fontId="19" fillId="0" borderId="0" applyFont="0" applyFill="0" applyBorder="0" applyAlignment="0" applyProtection="0"/>
    <xf numFmtId="207" fontId="155" fillId="0" borderId="0" applyFont="0" applyFill="0" applyBorder="0" applyAlignment="0" applyProtection="0"/>
    <xf numFmtId="208" fontId="155" fillId="0" borderId="0" applyFont="0" applyFill="0" applyBorder="0" applyAlignment="0" applyProtection="0"/>
    <xf numFmtId="209" fontId="155" fillId="0" borderId="0" applyFont="0" applyFill="0" applyBorder="0" applyAlignment="0" applyProtection="0"/>
    <xf numFmtId="210" fontId="155" fillId="0" borderId="0" applyFont="0" applyFill="0" applyBorder="0" applyAlignment="0" applyProtection="0"/>
    <xf numFmtId="0" fontId="155" fillId="0" borderId="0"/>
    <xf numFmtId="0" fontId="19" fillId="0" borderId="0" applyFont="0" applyFill="0" applyBorder="0" applyAlignment="0" applyProtection="0"/>
    <xf numFmtId="211" fontId="154" fillId="0" borderId="0" applyFont="0" applyFill="0" applyBorder="0" applyAlignment="0" applyProtection="0"/>
    <xf numFmtId="0" fontId="150"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6"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59" fillId="0" borderId="0"/>
    <xf numFmtId="0" fontId="159"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9" fillId="0" borderId="0"/>
    <xf numFmtId="0" fontId="2" fillId="0" borderId="0"/>
    <xf numFmtId="0" fontId="2" fillId="0" borderId="0">
      <alignment horizontal="left" wrapText="1"/>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0" fillId="0" borderId="0"/>
    <xf numFmtId="0" fontId="160" fillId="0" borderId="0"/>
    <xf numFmtId="0" fontId="160"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50" fillId="0" borderId="0"/>
    <xf numFmtId="0" fontId="2" fillId="85" borderId="0"/>
    <xf numFmtId="0" fontId="2" fillId="0" borderId="0"/>
    <xf numFmtId="0" fontId="2" fillId="0" borderId="0"/>
    <xf numFmtId="0" fontId="2" fillId="0" borderId="0" applyFont="0" applyFill="0" applyBorder="0" applyAlignment="0" applyProtection="0"/>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3" fillId="89"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9" fillId="0" borderId="0"/>
    <xf numFmtId="0" fontId="159" fillId="0" borderId="0"/>
    <xf numFmtId="0" fontId="159" fillId="0" borderId="0"/>
    <xf numFmtId="0" fontId="159"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9"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9"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4" fillId="0" borderId="139"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9" fillId="0" borderId="0"/>
    <xf numFmtId="0" fontId="159" fillId="0" borderId="0"/>
    <xf numFmtId="0" fontId="2" fillId="0" borderId="0"/>
    <xf numFmtId="0" fontId="159" fillId="0" borderId="0"/>
    <xf numFmtId="0" fontId="159" fillId="0" borderId="0"/>
    <xf numFmtId="0" fontId="159" fillId="0" borderId="0"/>
    <xf numFmtId="0" fontId="8" fillId="0" borderId="0"/>
    <xf numFmtId="0" fontId="160" fillId="0" borderId="0"/>
    <xf numFmtId="0" fontId="2" fillId="0" borderId="0"/>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159" fillId="0" borderId="0"/>
    <xf numFmtId="0" fontId="159"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 fillId="0" borderId="0">
      <alignment horizontal="left" wrapText="1"/>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7" fillId="0" borderId="140" applyNumberFormat="0" applyFill="0" applyProtection="0">
      <alignment horizontal="center"/>
    </xf>
    <xf numFmtId="0" fontId="167"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7"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lignment horizontal="left" wrapText="1"/>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70"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59" fillId="0" borderId="0"/>
    <xf numFmtId="0" fontId="159" fillId="0" borderId="0"/>
    <xf numFmtId="0" fontId="2" fillId="0" borderId="0"/>
    <xf numFmtId="0" fontId="2" fillId="0" borderId="0"/>
    <xf numFmtId="0" fontId="159" fillId="0" borderId="0"/>
    <xf numFmtId="0" fontId="159"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159" fillId="0"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xf numFmtId="0" fontId="2" fillId="0" borderId="0"/>
    <xf numFmtId="0" fontId="2" fillId="0" borderId="0"/>
    <xf numFmtId="0" fontId="161"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1" fillId="0" borderId="0">
      <alignment horizontal="left" vertical="center"/>
    </xf>
    <xf numFmtId="0" fontId="159" fillId="0" borderId="0"/>
    <xf numFmtId="0" fontId="17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2" fillId="0" borderId="0"/>
    <xf numFmtId="1" fontId="173" fillId="0" borderId="133">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4" fillId="0" borderId="0" applyFill="0" applyBorder="0" applyAlignment="0" applyProtection="0"/>
    <xf numFmtId="239" fontId="174" fillId="0" borderId="0" applyFill="0" applyBorder="0" applyAlignment="0" applyProtection="0"/>
    <xf numFmtId="239"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5" fillId="0" borderId="67"/>
    <xf numFmtId="0" fontId="161"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0" fontId="150" fillId="0" borderId="0" applyFont="0" applyFill="0" applyBorder="0" applyAlignment="0" applyProtection="0"/>
    <xf numFmtId="14" fontId="176" fillId="0" borderId="0" applyFill="0" applyBorder="0" applyProtection="0">
      <alignment horizontal="right"/>
    </xf>
    <xf numFmtId="16" fontId="176" fillId="0" borderId="0" applyFill="0" applyBorder="0" applyProtection="0">
      <alignment horizontal="right"/>
    </xf>
    <xf numFmtId="18" fontId="176" fillId="0" borderId="0" applyFill="0" applyBorder="0" applyProtection="0">
      <alignment horizontal="right"/>
    </xf>
    <xf numFmtId="16" fontId="176" fillId="0" borderId="0" applyFill="0" applyBorder="0" applyProtection="0">
      <alignment horizontal="right"/>
    </xf>
    <xf numFmtId="22" fontId="176" fillId="0" borderId="0" applyFill="0" applyBorder="0" applyProtection="0">
      <alignment horizontal="right"/>
    </xf>
    <xf numFmtId="14" fontId="176" fillId="0" borderId="0" applyFill="0" applyBorder="0" applyProtection="0">
      <alignment horizontal="right"/>
    </xf>
    <xf numFmtId="20" fontId="176" fillId="0" borderId="0" applyFill="0" applyBorder="0" applyProtection="0">
      <alignment horizontal="right"/>
    </xf>
    <xf numFmtId="16" fontId="176" fillId="0" borderId="0" applyFill="0" applyBorder="0" applyProtection="0">
      <alignment horizontal="right"/>
    </xf>
    <xf numFmtId="16" fontId="176" fillId="0" borderId="0" applyFill="0" applyBorder="0" applyProtection="0">
      <alignment horizontal="right"/>
    </xf>
    <xf numFmtId="14"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7" fillId="0" borderId="75"/>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9"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7"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80" fillId="0" borderId="0" applyNumberForma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0" fontId="181" fillId="96"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0" fontId="161"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3" fillId="0" borderId="142"/>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4" fillId="108" borderId="143" applyNumberFormat="0" applyAlignment="0" applyProtection="0"/>
    <xf numFmtId="0" fontId="184" fillId="108" borderId="143" applyNumberFormat="0" applyAlignment="0" applyProtection="0"/>
    <xf numFmtId="0" fontId="185" fillId="0" borderId="0" applyNumberFormat="0" applyFill="0" applyAlignment="0"/>
    <xf numFmtId="0" fontId="186" fillId="0" borderId="144" applyNumberFormat="0" applyFont="0" applyFill="0" applyAlignment="0"/>
    <xf numFmtId="248"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21" fillId="63" borderId="145" applyNumberFormat="0" applyAlignment="0" applyProtection="0"/>
    <xf numFmtId="0" fontId="188" fillId="0" borderId="0" applyNumberFormat="0" applyFill="0" applyBorder="0" applyAlignment="0">
      <alignment horizontal="right"/>
    </xf>
    <xf numFmtId="38" fontId="189"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1" fillId="110"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0"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1" fillId="0" borderId="0" applyFont="0" applyFill="0" applyBorder="0" applyAlignment="0" applyProtection="0"/>
    <xf numFmtId="250" fontId="192" fillId="0" borderId="0"/>
    <xf numFmtId="0" fontId="193" fillId="0" borderId="146"/>
    <xf numFmtId="251" fontId="2" fillId="0" borderId="0"/>
    <xf numFmtId="0" fontId="193" fillId="0" borderId="147"/>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4" fillId="108" borderId="148">
      <alignment horizontal="center" vertical="center"/>
    </xf>
    <xf numFmtId="0" fontId="184" fillId="108" borderId="148">
      <alignment horizontal="center" vertical="center"/>
    </xf>
    <xf numFmtId="0" fontId="197" fillId="0" borderId="0" applyProtection="0">
      <alignment horizontal="center"/>
    </xf>
    <xf numFmtId="0" fontId="197"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8"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2" fontId="161" fillId="0" borderId="0">
      <alignment vertical="top"/>
    </xf>
    <xf numFmtId="172" fontId="161" fillId="0" borderId="0">
      <alignment vertical="top"/>
    </xf>
    <xf numFmtId="172" fontId="161" fillId="0" borderId="0">
      <alignment vertical="top"/>
    </xf>
    <xf numFmtId="0" fontId="45" fillId="0" borderId="0" applyNumberFormat="0" applyFill="0" applyBorder="0" applyProtection="0">
      <alignment horizontal="right"/>
    </xf>
    <xf numFmtId="172" fontId="200" fillId="0" borderId="0">
      <alignment horizontal="right"/>
    </xf>
    <xf numFmtId="172" fontId="200" fillId="0" borderId="0">
      <alignment horizontal="right"/>
    </xf>
    <xf numFmtId="172" fontId="200" fillId="0" borderId="0">
      <alignment horizontal="right"/>
    </xf>
    <xf numFmtId="0" fontId="200" fillId="0" borderId="0">
      <alignment horizontal="left"/>
    </xf>
    <xf numFmtId="0" fontId="201" fillId="74" borderId="0" applyNumberFormat="0" applyBorder="0" applyAlignment="0" applyProtection="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2" fillId="72" borderId="0"/>
    <xf numFmtId="0" fontId="202" fillId="0" borderId="1" applyNumberFormat="0" applyFont="0" applyFill="0" applyAlignment="0" applyProtection="0"/>
    <xf numFmtId="0" fontId="202" fillId="0" borderId="149"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7" applyNumberFormat="0" applyFont="0" applyFill="0" applyAlignment="0" applyProtection="0"/>
    <xf numFmtId="0" fontId="150" fillId="0" borderId="67"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0" fontId="2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0"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7" fontId="8"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8" fontId="203"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4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9" fontId="203"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04" fillId="109" borderId="145" applyNumberFormat="0" applyAlignment="0" applyProtection="0"/>
    <xf numFmtId="0" fontId="146" fillId="8" borderId="32" applyNumberFormat="0" applyAlignment="0" applyProtection="0"/>
    <xf numFmtId="3" fontId="45" fillId="41" borderId="69">
      <protection hidden="1"/>
    </xf>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40" fontId="150" fillId="0" borderId="0" applyFont="0" applyFill="0" applyBorder="0" applyAlignment="0" applyProtection="0"/>
    <xf numFmtId="40" fontId="150"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5" applyNumberFormat="0" applyFill="0" applyAlignment="0" applyProtection="0"/>
    <xf numFmtId="0" fontId="24" fillId="64"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24" fillId="113" borderId="40" applyNumberFormat="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5" fillId="0" borderId="69" applyBorder="0"/>
    <xf numFmtId="260" fontId="206" fillId="0" borderId="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6" fillId="113" borderId="40" applyNumberFormat="0" applyAlignment="0" applyProtection="0"/>
    <xf numFmtId="0" fontId="24" fillId="64" borderId="40" applyNumberFormat="0" applyAlignment="0" applyProtection="0"/>
    <xf numFmtId="0" fontId="24"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0" fontId="26" fillId="64" borderId="40" applyNumberFormat="0" applyAlignment="0" applyProtection="0"/>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10" fontId="208" fillId="0" borderId="0">
      <alignment vertical="center"/>
    </xf>
    <xf numFmtId="3" fontId="208"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9" fillId="0" borderId="150"/>
    <xf numFmtId="201" fontId="210" fillId="0" borderId="0" applyFont="0" applyFill="0" applyBorder="0" applyAlignment="0" applyProtection="0"/>
    <xf numFmtId="0" fontId="211" fillId="0" borderId="0"/>
    <xf numFmtId="0" fontId="211" fillId="0" borderId="0"/>
    <xf numFmtId="0" fontId="211" fillId="0" borderId="0"/>
    <xf numFmtId="0" fontId="211" fillId="0" borderId="0"/>
    <xf numFmtId="261" fontId="2" fillId="0" borderId="0"/>
    <xf numFmtId="261" fontId="2" fillId="0" borderId="0"/>
    <xf numFmtId="261" fontId="2" fillId="0" borderId="0"/>
    <xf numFmtId="261" fontId="2" fillId="0" borderId="0"/>
    <xf numFmtId="217" fontId="212" fillId="0" borderId="0">
      <alignment horizontal="right" vertical="center" wrapText="1"/>
    </xf>
    <xf numFmtId="217" fontId="212" fillId="0" borderId="0">
      <alignment horizontal="right" vertical="center" wrapText="1"/>
    </xf>
    <xf numFmtId="217" fontId="212"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4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38" fontId="213"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4" fillId="0" borderId="0">
      <alignment horizontal="center"/>
      <protection locked="0"/>
    </xf>
    <xf numFmtId="0" fontId="2" fillId="0" borderId="0" applyFont="0" applyFill="0" applyBorder="0" applyAlignment="0" applyProtection="0"/>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3" fillId="0" borderId="0" applyFont="0" applyFill="0" applyBorder="0" applyAlignment="0" applyProtection="0">
      <alignment horizontal="right"/>
    </xf>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3" fontId="16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3"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5"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21" fontId="149" fillId="0" borderId="0" applyFont="0" applyFill="0" applyBorder="0" applyAlignment="0" applyProtection="0"/>
    <xf numFmtId="221" fontId="149" fillId="0" borderId="0" applyFont="0" applyFill="0" applyBorder="0" applyAlignment="0" applyProtection="0"/>
    <xf numFmtId="3" fontId="210" fillId="0" borderId="134">
      <alignment vertical="center"/>
    </xf>
    <xf numFmtId="39"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6" fillId="111" borderId="0" applyBorder="0">
      <alignment horizontal="left"/>
    </xf>
    <xf numFmtId="0" fontId="217" fillId="114" borderId="0" applyNumberFormat="0" applyBorder="0">
      <alignment horizontal="left"/>
    </xf>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3" fontId="210" fillId="0" borderId="134">
      <alignment vertical="center"/>
    </xf>
    <xf numFmtId="0" fontId="29" fillId="73" borderId="151" applyNumberFormat="0" applyFont="0" applyAlignment="0" applyProtection="0"/>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71" fillId="73" borderId="151"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8" fillId="0" borderId="0" applyFill="0" applyBorder="0">
      <alignment horizontal="left"/>
    </xf>
    <xf numFmtId="0" fontId="219" fillId="115" borderId="0"/>
    <xf numFmtId="0" fontId="24" fillId="64" borderId="40"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20" fillId="0" borderId="0" applyNumberFormat="0" applyAlignment="0">
      <alignment horizontal="left"/>
    </xf>
    <xf numFmtId="0" fontId="221" fillId="0" borderId="127" applyNumberFormat="0" applyFill="0" applyBorder="0" applyAlignment="0" applyProtection="0">
      <alignment horizontal="center"/>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3" fontId="223" fillId="0" borderId="152" applyNumberFormat="0" applyAlignment="0">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3" fontId="210" fillId="0" borderId="134">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 fillId="0" borderId="0" applyFont="0" applyFill="0" applyBorder="0" applyAlignment="0" applyProtection="0"/>
    <xf numFmtId="265" fontId="224"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10" fillId="0" borderId="134">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21"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3" fillId="0" borderId="0" applyFont="0" applyFill="0" applyBorder="0" applyAlignment="0" applyProtection="0">
      <alignment horizontal="right"/>
    </xf>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267" fontId="163" fillId="0" borderId="0" applyFont="0" applyFill="0" applyBorder="0" applyAlignment="0" applyProtection="0">
      <alignment horizontal="right"/>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10" fillId="0" borderId="134">
      <alignment vertical="center"/>
    </xf>
    <xf numFmtId="3" fontId="210" fillId="0" borderId="134">
      <alignment vertical="center"/>
    </xf>
    <xf numFmtId="268" fontId="225" fillId="0" borderId="0"/>
    <xf numFmtId="0" fontId="2" fillId="0" borderId="0" applyNumberFormat="0" applyFont="0" applyFill="0" applyBorder="0" applyAlignment="0" applyProtection="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 fillId="0" borderId="0" applyNumberFormat="0" applyFont="0" applyFill="0" applyBorder="0" applyAlignment="0" applyProtection="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3" applyNumberFormat="0" applyFont="0" applyBorder="0" applyAlignment="0" applyProtection="0">
      <alignment horizontal="centerContinuous"/>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10" fillId="0" borderId="134">
      <alignment vertical="center"/>
    </xf>
    <xf numFmtId="0" fontId="188" fillId="0" borderId="0" applyNumberFormat="0" applyBorder="0" applyAlignment="0">
      <alignment horizontal="center"/>
    </xf>
    <xf numFmtId="0" fontId="188" fillId="117" borderId="0" applyNumberFormat="0" applyBorder="0" applyAlignment="0">
      <alignment horizontal="center"/>
    </xf>
    <xf numFmtId="0" fontId="184" fillId="118" borderId="0" applyNumberFormat="0" applyBorder="0" applyAlignment="0"/>
    <xf numFmtId="0" fontId="227"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14" fontId="229" fillId="0" borderId="0"/>
    <xf numFmtId="271" fontId="212" fillId="0" borderId="0">
      <alignment horizontal="left" vertical="center" wrapText="1"/>
    </xf>
    <xf numFmtId="271" fontId="212" fillId="0" borderId="0">
      <alignment horizontal="left" vertical="center" wrapText="1"/>
    </xf>
    <xf numFmtId="271" fontId="212" fillId="0" borderId="0">
      <alignment horizontal="left" vertical="center" wrapText="1"/>
    </xf>
    <xf numFmtId="17" fontId="212" fillId="0" borderId="0">
      <alignment horizontal="left" vertical="center" wrapText="1"/>
    </xf>
    <xf numFmtId="0" fontId="2" fillId="0" borderId="0" applyNumberFormat="0" applyFont="0" applyFill="0" applyBorder="0" applyAlignment="0" applyProtection="0"/>
    <xf numFmtId="21" fontId="212" fillId="0" borderId="0">
      <alignment horizontal="left" vertical="center" wrapText="1"/>
    </xf>
    <xf numFmtId="19" fontId="212" fillId="0" borderId="0">
      <alignment horizontal="left" vertical="center" wrapText="1"/>
    </xf>
    <xf numFmtId="3" fontId="210" fillId="0" borderId="134">
      <alignment vertical="center"/>
    </xf>
    <xf numFmtId="0" fontId="212" fillId="0" borderId="0">
      <alignment horizontal="left" vertical="center" wrapText="1"/>
    </xf>
    <xf numFmtId="3" fontId="210" fillId="0" borderId="134">
      <alignment vertical="center"/>
    </xf>
    <xf numFmtId="0" fontId="212" fillId="0" borderId="0">
      <alignment horizontal="left" vertical="center" wrapText="1"/>
    </xf>
    <xf numFmtId="19" fontId="212" fillId="0" borderId="0">
      <alignment horizontal="left" vertical="center" wrapText="1"/>
    </xf>
    <xf numFmtId="19" fontId="212" fillId="0" borderId="0">
      <alignment horizontal="left" vertical="center" wrapText="1"/>
    </xf>
    <xf numFmtId="17" fontId="212"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9" fillId="0" borderId="0"/>
    <xf numFmtId="273" fontId="163"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10" fillId="0" borderId="134">
      <alignment vertical="center"/>
    </xf>
    <xf numFmtId="22" fontId="29" fillId="0" borderId="0" applyFill="0" applyBorder="0" applyAlignment="0"/>
    <xf numFmtId="3" fontId="210" fillId="0" borderId="134">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10" fillId="0" borderId="134">
      <alignment vertical="center"/>
    </xf>
    <xf numFmtId="172" fontId="202" fillId="0" borderId="0" applyFont="0" applyFill="0" applyBorder="0" applyProtection="0">
      <alignment horizontal="right"/>
    </xf>
    <xf numFmtId="179" fontId="161"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30"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0" fontId="232" fillId="0" borderId="0"/>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34" fillId="121"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9"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3" fillId="0" borderId="154"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6" fillId="1" borderId="0" applyNumberFormat="0" applyBorder="0" applyAlignment="0" applyProtection="0"/>
    <xf numFmtId="0" fontId="10" fillId="0" borderId="0"/>
    <xf numFmtId="0" fontId="10" fillId="0" borderId="0"/>
    <xf numFmtId="0" fontId="10" fillId="0" borderId="0"/>
    <xf numFmtId="0" fontId="10" fillId="0" borderId="0"/>
    <xf numFmtId="0" fontId="23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7" fontId="238"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39" fillId="0" borderId="137" applyNumberFormat="0" applyAlignment="0">
      <protection locked="0"/>
    </xf>
    <xf numFmtId="0" fontId="49" fillId="42" borderId="145" applyNumberFormat="0" applyAlignment="0" applyProtection="0"/>
    <xf numFmtId="0" fontId="10" fillId="0" borderId="0"/>
    <xf numFmtId="0" fontId="10" fillId="0" borderId="0"/>
    <xf numFmtId="0" fontId="49" fillId="42" borderId="145" applyNumberFormat="0" applyAlignment="0" applyProtection="0"/>
    <xf numFmtId="0" fontId="49" fillId="42" borderId="145" applyNumberFormat="0" applyAlignment="0" applyProtection="0"/>
    <xf numFmtId="0" fontId="49" fillId="42" borderId="145" applyNumberFormat="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19"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6"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85" fontId="240" fillId="0" borderId="0">
      <alignment horizontal="right" vertical="top"/>
    </xf>
    <xf numFmtId="286" fontId="241" fillId="0" borderId="0" applyBorder="0">
      <alignment horizontal="right" vertical="top"/>
    </xf>
    <xf numFmtId="286" fontId="241" fillId="0" borderId="0" applyBorder="0">
      <alignment horizontal="right" vertical="top"/>
    </xf>
    <xf numFmtId="3" fontId="210" fillId="0" borderId="134">
      <alignment vertical="center"/>
    </xf>
    <xf numFmtId="287" fontId="20" fillId="0" borderId="0">
      <alignment horizontal="right" vertical="top"/>
    </xf>
    <xf numFmtId="288" fontId="156" fillId="0" borderId="0" applyBorder="0">
      <alignment horizontal="right" vertical="top"/>
    </xf>
    <xf numFmtId="288" fontId="156" fillId="0" borderId="0" applyBorder="0">
      <alignment horizontal="right" vertical="top"/>
    </xf>
    <xf numFmtId="3" fontId="210" fillId="0" borderId="134">
      <alignment vertical="center"/>
    </xf>
    <xf numFmtId="287" fontId="240" fillId="0" borderId="0">
      <alignment horizontal="right" vertical="top"/>
    </xf>
    <xf numFmtId="288" fontId="241" fillId="0" borderId="0" applyBorder="0">
      <alignment horizontal="right" vertical="top"/>
    </xf>
    <xf numFmtId="288" fontId="241" fillId="0" borderId="0" applyBorder="0">
      <alignment horizontal="right" vertical="top"/>
    </xf>
    <xf numFmtId="3" fontId="210" fillId="0" borderId="134">
      <alignment vertical="center"/>
    </xf>
    <xf numFmtId="289" fontId="20" fillId="0" borderId="0" applyFill="0" applyBorder="0">
      <alignment horizontal="right" vertical="top"/>
    </xf>
    <xf numFmtId="290" fontId="20" fillId="0" borderId="0" applyFill="0" applyBorder="0">
      <alignment horizontal="right" vertical="top"/>
    </xf>
    <xf numFmtId="212" fontId="156" fillId="0" borderId="0" applyFill="0" applyBorder="0">
      <alignment horizontal="right" vertical="top"/>
    </xf>
    <xf numFmtId="212" fontId="156" fillId="0" borderId="0" applyFill="0" applyBorder="0">
      <alignment horizontal="right" vertical="top"/>
    </xf>
    <xf numFmtId="3" fontId="210" fillId="0" borderId="134">
      <alignment vertical="center"/>
    </xf>
    <xf numFmtId="291" fontId="20" fillId="0" borderId="0" applyFill="0" applyBorder="0">
      <alignment horizontal="right" vertical="top"/>
    </xf>
    <xf numFmtId="292" fontId="156" fillId="0" borderId="0" applyFill="0" applyBorder="0">
      <alignment horizontal="right" vertical="top"/>
    </xf>
    <xf numFmtId="292" fontId="156" fillId="0" borderId="0" applyFill="0" applyBorder="0">
      <alignment horizontal="right" vertical="top"/>
    </xf>
    <xf numFmtId="3" fontId="210" fillId="0" borderId="134">
      <alignment vertical="center"/>
    </xf>
    <xf numFmtId="293" fontId="20" fillId="0" borderId="0" applyFill="0" applyBorder="0">
      <alignment horizontal="right" vertical="top"/>
    </xf>
    <xf numFmtId="294" fontId="156" fillId="0" borderId="0" applyFill="0" applyBorder="0">
      <alignment horizontal="right" vertical="top"/>
    </xf>
    <xf numFmtId="294" fontId="156" fillId="0" borderId="0" applyFill="0" applyBorder="0">
      <alignment horizontal="right" vertical="top"/>
    </xf>
    <xf numFmtId="3" fontId="210" fillId="0" borderId="134">
      <alignment vertical="center"/>
    </xf>
    <xf numFmtId="295" fontId="20" fillId="0" borderId="0" applyFill="0" applyBorder="0">
      <alignment horizontal="right" vertical="top"/>
    </xf>
    <xf numFmtId="296" fontId="156" fillId="0" borderId="0" applyFill="0" applyBorder="0">
      <alignment horizontal="right" vertical="top"/>
    </xf>
    <xf numFmtId="296" fontId="156" fillId="0" borderId="0" applyFill="0" applyBorder="0">
      <alignment horizontal="right" vertical="top"/>
    </xf>
    <xf numFmtId="3" fontId="210" fillId="0" borderId="134">
      <alignment vertical="center"/>
    </xf>
    <xf numFmtId="0" fontId="242" fillId="0" borderId="0">
      <alignment horizontal="left"/>
    </xf>
    <xf numFmtId="0" fontId="243" fillId="0" borderId="0">
      <alignment horizontal="center"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97" fontId="244"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right"/>
    </xf>
    <xf numFmtId="297" fontId="244" fillId="0" borderId="155">
      <alignment horizontal="right"/>
    </xf>
    <xf numFmtId="297" fontId="244" fillId="0" borderId="155">
      <alignment horizontal="right"/>
    </xf>
    <xf numFmtId="0" fontId="2" fillId="0" borderId="0" applyNumberFormat="0" applyFont="0" applyFill="0" applyBorder="0" applyAlignment="0" applyProtection="0"/>
    <xf numFmtId="0" fontId="245" fillId="0" borderId="0">
      <alignment vertical="center"/>
    </xf>
    <xf numFmtId="298" fontId="245" fillId="0" borderId="0">
      <alignment horizontal="left" vertical="center"/>
    </xf>
    <xf numFmtId="299" fontId="246" fillId="0" borderId="0">
      <alignment vertical="center"/>
    </xf>
    <xf numFmtId="0" fontId="42" fillId="0" borderId="0">
      <alignment vertical="center"/>
    </xf>
    <xf numFmtId="297" fontId="244"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left"/>
    </xf>
    <xf numFmtId="297" fontId="244" fillId="0" borderId="155">
      <alignment horizontal="left"/>
    </xf>
    <xf numFmtId="0" fontId="2" fillId="0" borderId="0" applyNumberFormat="0" applyFont="0" applyFill="0" applyBorder="0" applyAlignment="0" applyProtection="0"/>
    <xf numFmtId="297" fontId="218" fillId="0" borderId="0" applyFill="0" applyBorder="0">
      <alignment vertical="top"/>
    </xf>
    <xf numFmtId="297" fontId="229" fillId="0" borderId="0" applyFill="0" applyBorder="0" applyProtection="0">
      <alignment vertical="top"/>
    </xf>
    <xf numFmtId="297" fontId="247" fillId="0" borderId="0">
      <alignment vertical="top"/>
    </xf>
    <xf numFmtId="297" fontId="156" fillId="0" borderId="0">
      <alignment horizontal="center"/>
    </xf>
    <xf numFmtId="297" fontId="248"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8" fillId="0" borderId="155">
      <alignment horizontal="center"/>
    </xf>
    <xf numFmtId="297" fontId="248" fillId="0" borderId="155">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1" fillId="0" borderId="0"/>
    <xf numFmtId="297"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10" fillId="0" borderId="134">
      <alignment vertical="center"/>
    </xf>
    <xf numFmtId="297" fontId="250"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6" fillId="0" borderId="0" applyFill="0" applyBorder="0">
      <alignment horizontal="left" vertical="top" wrapText="1"/>
    </xf>
    <xf numFmtId="0" fontId="156" fillId="0" borderId="0" applyFill="0" applyBorder="0">
      <alignment horizontal="left" vertical="top" wrapText="1"/>
    </xf>
    <xf numFmtId="3" fontId="210" fillId="0" borderId="134">
      <alignment vertical="center"/>
    </xf>
    <xf numFmtId="0" fontId="251" fillId="0" borderId="0">
      <alignment horizontal="left" vertical="top" wrapText="1"/>
    </xf>
    <xf numFmtId="0" fontId="252" fillId="0" borderId="0">
      <alignment horizontal="left" vertical="top" wrapText="1"/>
    </xf>
    <xf numFmtId="0" fontId="241" fillId="0" borderId="0">
      <alignment horizontal="left" vertical="top" wrapText="1"/>
    </xf>
    <xf numFmtId="3" fontId="253" fillId="85" borderId="69">
      <alignment horizontal="centerContinuous"/>
    </xf>
    <xf numFmtId="0" fontId="166" fillId="0" borderId="62" applyNumberFormat="0" applyFill="0" applyBorder="0" applyAlignment="0"/>
    <xf numFmtId="300" fontId="254" fillId="0" borderId="0"/>
    <xf numFmtId="0" fontId="2" fillId="0" borderId="0" applyNumberFormat="0" applyFont="0" applyFill="0" applyBorder="0" applyAlignment="0" applyProtection="0"/>
    <xf numFmtId="0" fontId="10" fillId="0" borderId="0"/>
    <xf numFmtId="38" fontId="202" fillId="0" borderId="0"/>
    <xf numFmtId="301" fontId="255"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10" fillId="0" borderId="134">
      <alignment vertical="center"/>
    </xf>
    <xf numFmtId="0" fontId="10" fillId="0" borderId="0"/>
    <xf numFmtId="0" fontId="256" fillId="0" borderId="0" applyFill="0" applyBorder="0" applyProtection="0">
      <alignment horizontal="left"/>
    </xf>
    <xf numFmtId="0" fontId="257" fillId="68" borderId="0"/>
    <xf numFmtId="37" fontId="258" fillId="68" borderId="0" applyNumberFormat="0" applyBorder="0" applyAlignment="0" applyProtection="0"/>
    <xf numFmtId="295" fontId="258" fillId="68" borderId="0" applyNumberFormat="0" applyBorder="0" applyAlignment="0" applyProtection="0"/>
    <xf numFmtId="3" fontId="210" fillId="0" borderId="134">
      <alignment vertical="center"/>
    </xf>
    <xf numFmtId="0" fontId="259"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60" fillId="0" borderId="0">
      <alignment horizontal="centerContinuous" vertical="center"/>
    </xf>
    <xf numFmtId="304" fontId="2" fillId="0" borderId="0" applyFont="0" applyFill="0" applyBorder="0" applyAlignment="0" applyProtection="0"/>
    <xf numFmtId="0" fontId="219" fillId="115" borderId="0">
      <alignment horizontal="left"/>
    </xf>
    <xf numFmtId="1" fontId="261" fillId="0" borderId="157">
      <alignment horizontal="left"/>
    </xf>
    <xf numFmtId="248" fontId="262"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4" fillId="123" borderId="0" applyNumberFormat="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9" fontId="174" fillId="123" borderId="0" applyNumberFormat="0" applyBorder="0" applyAlignment="0" applyProtection="0"/>
    <xf numFmtId="0" fontId="2" fillId="0" borderId="0" applyNumberFormat="0" applyFont="0" applyFill="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74"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45" fillId="113" borderId="125"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5" applyAlignment="0" applyProtection="0"/>
    <xf numFmtId="0" fontId="45" fillId="113" borderId="125" applyAlignment="0" applyProtection="0"/>
    <xf numFmtId="0" fontId="2" fillId="0" borderId="0" applyNumberFormat="0" applyFont="0" applyFill="0" applyBorder="0" applyAlignment="0" applyProtection="0"/>
    <xf numFmtId="0" fontId="2" fillId="68" borderId="123"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3"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45" fillId="68" borderId="137"/>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8" fillId="111" borderId="0" applyBorder="0" applyAlignment="0"/>
    <xf numFmtId="306" fontId="163"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1" fillId="126" borderId="124" applyNumberFormat="0" applyFont="0" applyBorder="0" applyAlignment="0">
      <alignment horizontal="centerContinuous"/>
    </xf>
    <xf numFmtId="0" fontId="263" fillId="0" borderId="0" applyProtection="0">
      <alignment horizontal="right"/>
    </xf>
    <xf numFmtId="0" fontId="263" fillId="0" borderId="0" applyProtection="0">
      <alignment horizontal="right"/>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263"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7" fillId="0" borderId="125">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64" fillId="109" borderId="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38" fillId="0" borderId="42"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2" applyNumberFormat="0" applyFill="0" applyAlignment="0" applyProtection="0"/>
    <xf numFmtId="0" fontId="38" fillId="0" borderId="42" applyNumberFormat="0" applyFill="0" applyAlignment="0" applyProtection="0"/>
    <xf numFmtId="0" fontId="38" fillId="0" borderId="42"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10" fillId="0" borderId="0"/>
    <xf numFmtId="0" fontId="10" fillId="0" borderId="0"/>
    <xf numFmtId="0" fontId="10" fillId="0" borderId="0"/>
    <xf numFmtId="0" fontId="10" fillId="0" borderId="0"/>
    <xf numFmtId="0" fontId="267" fillId="0" borderId="159" applyNumberFormat="0" applyFill="0" applyAlignment="0" applyProtection="0"/>
    <xf numFmtId="0" fontId="267" fillId="0" borderId="159" applyNumberFormat="0" applyFill="0" applyAlignment="0" applyProtection="0"/>
    <xf numFmtId="0" fontId="267" fillId="0" borderId="159" applyNumberFormat="0" applyFill="0" applyAlignment="0" applyProtection="0"/>
    <xf numFmtId="0" fontId="266"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9" fillId="0" borderId="160" applyNumberFormat="0" applyFill="0" applyAlignment="0" applyProtection="0"/>
    <xf numFmtId="0" fontId="269" fillId="0" borderId="160" applyNumberFormat="0" applyFill="0" applyAlignment="0" applyProtection="0"/>
    <xf numFmtId="0" fontId="269" fillId="0" borderId="160" applyNumberFormat="0" applyFill="0" applyAlignment="0" applyProtection="0"/>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36"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4"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3" applyFont="0" applyProtection="0">
      <alignment horizontal="right"/>
    </xf>
    <xf numFmtId="0" fontId="10" fillId="0" borderId="0"/>
    <xf numFmtId="3" fontId="2" fillId="70" borderId="123" applyFont="0" applyProtection="0">
      <alignment horizontal="right"/>
    </xf>
    <xf numFmtId="0" fontId="2" fillId="0" borderId="0" applyNumberFormat="0" applyFont="0" applyFill="0" applyBorder="0" applyAlignment="0" applyProtection="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0" borderId="123" applyFont="0" applyProtection="0">
      <alignment horizontal="right"/>
    </xf>
    <xf numFmtId="0" fontId="10" fillId="0" borderId="0"/>
    <xf numFmtId="10" fontId="2" fillId="70" borderId="123" applyFont="0" applyProtection="0">
      <alignment horizontal="right"/>
    </xf>
    <xf numFmtId="0" fontId="2" fillId="0" borderId="0" applyNumberFormat="0" applyFont="0" applyFill="0" applyBorder="0" applyAlignment="0" applyProtection="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0" borderId="123" applyFont="0" applyProtection="0">
      <alignment horizontal="right"/>
    </xf>
    <xf numFmtId="0" fontId="10" fillId="0" borderId="0"/>
    <xf numFmtId="9" fontId="2" fillId="70" borderId="123" applyFont="0" applyProtection="0">
      <alignment horizontal="right"/>
    </xf>
    <xf numFmtId="0" fontId="2" fillId="0" borderId="0" applyNumberFormat="0" applyFont="0" applyFill="0" applyBorder="0" applyAlignment="0" applyProtection="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0" borderId="124"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4" applyNumberFormat="0" applyFont="0" applyBorder="0" applyAlignment="0" applyProtection="0">
      <alignment horizontal="left"/>
    </xf>
    <xf numFmtId="0" fontId="2" fillId="0" borderId="0" applyNumberFormat="0" applyFont="0" applyFill="0" applyBorder="0" applyAlignment="0" applyProtection="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58" fillId="0" borderId="0" applyNumberFormat="0" applyBorder="0" applyAlignment="0" applyProtection="0"/>
    <xf numFmtId="295" fontId="258" fillId="0" borderId="0" applyNumberFormat="0" applyBorder="0" applyAlignment="0" applyProtection="0"/>
    <xf numFmtId="3" fontId="210" fillId="0" borderId="134">
      <alignment vertical="center"/>
    </xf>
    <xf numFmtId="37" fontId="45" fillId="0" borderId="0"/>
    <xf numFmtId="295" fontId="45" fillId="0" borderId="0"/>
    <xf numFmtId="3" fontId="210" fillId="0" borderId="134">
      <alignment vertical="center"/>
    </xf>
    <xf numFmtId="0" fontId="27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8" fontId="271"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3"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3" applyNumberFormat="0" applyBorder="0" applyAlignment="0" applyProtection="0"/>
    <xf numFmtId="0" fontId="10" fillId="0" borderId="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10" fillId="0" borderId="0"/>
    <xf numFmtId="0" fontId="10" fillId="0" borderId="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272" fillId="0" borderId="75">
      <protection locked="0"/>
    </xf>
    <xf numFmtId="0" fontId="272" fillId="0" borderId="75">
      <protection locked="0"/>
    </xf>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2" fillId="88" borderId="161">
      <alignment horizontal="right" vertical="center"/>
      <protection locked="0"/>
    </xf>
    <xf numFmtId="310" fontId="272" fillId="88" borderId="161">
      <alignment horizontal="right" vertical="center"/>
      <protection locked="0"/>
    </xf>
    <xf numFmtId="310" fontId="272" fillId="88" borderId="161">
      <alignment horizontal="right" vertical="center"/>
      <protection locked="0"/>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 fontId="234" fillId="129" borderId="75"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10" fillId="0" borderId="134">
      <alignment vertical="center"/>
    </xf>
    <xf numFmtId="311" fontId="2" fillId="71" borderId="123" applyFont="0" applyAlignment="0">
      <protection locked="0"/>
    </xf>
    <xf numFmtId="0" fontId="10" fillId="0" borderId="0"/>
    <xf numFmtId="311" fontId="2" fillId="71" borderId="123" applyFont="0" applyAlignment="0">
      <protection locked="0"/>
    </xf>
    <xf numFmtId="0" fontId="2" fillId="0" borderId="0" applyNumberFormat="0" applyFont="0" applyFill="0" applyBorder="0" applyAlignment="0" applyProtection="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71" borderId="123" applyFont="0">
      <alignment horizontal="right"/>
      <protection locked="0"/>
    </xf>
    <xf numFmtId="0" fontId="10" fillId="0" borderId="0"/>
    <xf numFmtId="3"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1" borderId="123" applyFont="0">
      <alignment horizontal="right"/>
      <protection locked="0"/>
    </xf>
    <xf numFmtId="0" fontId="10" fillId="0" borderId="0"/>
    <xf numFmtId="260" fontId="2" fillId="71" borderId="123" applyFont="0">
      <alignment horizontal="right"/>
      <protection locked="0"/>
    </xf>
    <xf numFmtId="0" fontId="2" fillId="0" borderId="0" applyNumberFormat="0" applyFont="0" applyFill="0" applyBorder="0" applyAlignment="0" applyProtection="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0" fontId="2" fillId="71" borderId="123" applyFont="0">
      <alignment horizontal="right"/>
      <protection locked="0"/>
    </xf>
    <xf numFmtId="0" fontId="10" fillId="0" borderId="0"/>
    <xf numFmtId="10" fontId="2" fillId="71" borderId="123" applyFont="0">
      <alignment horizontal="right"/>
      <protection locked="0"/>
    </xf>
    <xf numFmtId="0" fontId="2" fillId="0" borderId="0" applyNumberFormat="0" applyFont="0" applyFill="0" applyBorder="0" applyAlignment="0" applyProtection="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1" borderId="127"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1" borderId="123" applyFont="0">
      <alignment horizontal="center" wrapText="1"/>
      <protection locked="0"/>
    </xf>
    <xf numFmtId="0" fontId="10" fillId="0" borderId="0"/>
    <xf numFmtId="0" fontId="2" fillId="71" borderId="123" applyFont="0">
      <alignment horizontal="center" wrapText="1"/>
      <protection locked="0"/>
    </xf>
    <xf numFmtId="0" fontId="2" fillId="0" borderId="0" applyNumberFormat="0" applyFont="0" applyFill="0" applyBorder="0" applyAlignment="0" applyProtection="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71" borderId="123" applyFont="0" applyAlignment="0">
      <protection locked="0"/>
    </xf>
    <xf numFmtId="0" fontId="10" fillId="0" borderId="0"/>
    <xf numFmtId="0" fontId="10" fillId="0" borderId="0"/>
    <xf numFmtId="3" fontId="210" fillId="0" borderId="134">
      <alignment vertical="center"/>
    </xf>
    <xf numFmtId="0" fontId="10" fillId="0" borderId="0"/>
    <xf numFmtId="0" fontId="10" fillId="0" borderId="0"/>
    <xf numFmtId="49" fontId="2" fillId="71" borderId="123" applyFont="0" applyAlignment="0">
      <protection locked="0"/>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8" fontId="261" fillId="0" borderId="0" applyNumberFormat="0" applyFill="0" applyBorder="0" applyAlignment="0" applyProtection="0"/>
    <xf numFmtId="0" fontId="2" fillId="0" borderId="0" applyNumberFormat="0" applyFont="0" applyFill="0" applyBorder="0" applyAlignment="0" applyProtection="0"/>
    <xf numFmtId="0" fontId="185"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84" fillId="53" borderId="0" applyNumberFormat="0" applyBorder="0" applyProtection="0">
      <alignment horizontal="center"/>
    </xf>
    <xf numFmtId="314" fontId="274"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5" fontId="2" fillId="0" borderId="0" applyFont="0" applyFill="0" applyBorder="0" applyAlignment="0" applyProtection="0"/>
    <xf numFmtId="316" fontId="27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7" fontId="161" fillId="0" borderId="75"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17" fontId="229" fillId="96" borderId="162"/>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9" fillId="96" borderId="75"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lignment horizontal="right"/>
    </xf>
    <xf numFmtId="0" fontId="276" fillId="0" borderId="0">
      <protection locked="0"/>
    </xf>
    <xf numFmtId="0" fontId="10" fillId="0" borderId="0"/>
    <xf numFmtId="38" fontId="202"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7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0" fontId="54" fillId="0" borderId="45" applyNumberFormat="0" applyFill="0" applyAlignment="0" applyProtection="0"/>
    <xf numFmtId="260" fontId="258"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61"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17" fontId="281" fillId="0" borderId="135" applyAlignment="0" applyProtection="0">
      <alignment horizontal="centerContinuous"/>
    </xf>
    <xf numFmtId="19" fontId="281" fillId="0" borderId="135" applyAlignment="0" applyProtection="0">
      <alignment horizontal="centerContinuous"/>
    </xf>
    <xf numFmtId="3" fontId="210" fillId="0" borderId="134">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10" fillId="0" borderId="134">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9"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4" fillId="107" borderId="123"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1"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6" applyNumberFormat="0" applyFill="0" applyBorder="0" applyAlignment="0"/>
    <xf numFmtId="17" fontId="45" fillId="131" borderId="136" applyNumberFormat="0" applyFill="0" applyBorder="0" applyAlignment="0"/>
    <xf numFmtId="3" fontId="210" fillId="0" borderId="134">
      <alignment vertical="center"/>
    </xf>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24" fontId="212" fillId="0" borderId="0">
      <alignment horizontal="right" vertical="center" wrapText="1"/>
    </xf>
    <xf numFmtId="325" fontId="212"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2"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2" fillId="72" borderId="0" applyNumberFormat="0" applyBorder="0" applyAlignment="0" applyProtection="0"/>
    <xf numFmtId="0" fontId="282" fillId="72" borderId="0" applyNumberFormat="0" applyBorder="0" applyAlignment="0" applyProtection="0"/>
    <xf numFmtId="0" fontId="282"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7" fontId="283" fillId="0" borderId="0"/>
    <xf numFmtId="295" fontId="283"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38" fillId="69" borderId="123"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3"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1"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10" fillId="0" borderId="134">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7" fontId="202"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xf numFmtId="0" fontId="45" fillId="70" borderId="124"/>
    <xf numFmtId="0" fontId="45" fillId="70" borderId="124"/>
    <xf numFmtId="0" fontId="45"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xf>
    <xf numFmtId="0" fontId="284" fillId="132" borderId="126">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4"/>
    <xf numFmtId="0" fontId="45" fillId="0" borderId="124"/>
    <xf numFmtId="0" fontId="45" fillId="0" borderId="124"/>
    <xf numFmtId="0" fontId="45"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xf numFmtId="0" fontId="2" fillId="0" borderId="126"/>
    <xf numFmtId="0" fontId="2" fillId="0" borderId="126"/>
    <xf numFmtId="0" fontId="2" fillId="0" borderId="126"/>
    <xf numFmtId="0" fontId="2" fillId="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5" fillId="70" borderId="127"/>
    <xf numFmtId="0" fontId="285"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5"/>
    <xf numFmtId="3" fontId="2" fillId="0" borderId="125"/>
    <xf numFmtId="3" fontId="2" fillId="0" borderId="125"/>
    <xf numFmtId="3"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45" fillId="70" borderId="126">
      <alignment horizontal="center"/>
    </xf>
    <xf numFmtId="0" fontId="45" fillId="70" borderId="126">
      <alignment horizontal="center"/>
    </xf>
    <xf numFmtId="0" fontId="45" fillId="70" borderId="126">
      <alignment horizontal="center"/>
    </xf>
    <xf numFmtId="0" fontId="45" fillId="70" borderId="12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5">
      <alignment horizontal="center" vertical="center"/>
    </xf>
    <xf numFmtId="0" fontId="284" fillId="132" borderId="125">
      <alignment horizontal="center" vertical="center"/>
    </xf>
    <xf numFmtId="0" fontId="2" fillId="0" borderId="0" applyNumberFormat="0" applyFont="0" applyFill="0" applyBorder="0" applyAlignment="0" applyProtection="0"/>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 fillId="0" borderId="0" applyNumberFormat="0" applyFont="0" applyFill="0" applyBorder="0" applyAlignment="0" applyProtection="0"/>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04" borderId="125">
      <alignment horizontal="center" vertical="center"/>
    </xf>
    <xf numFmtId="0" fontId="284" fillId="104" borderId="125">
      <alignment horizontal="center" vertical="center"/>
    </xf>
    <xf numFmtId="0" fontId="2" fillId="0" borderId="0" applyNumberFormat="0" applyFont="0" applyFill="0" applyBorder="0" applyAlignment="0" applyProtection="0"/>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6"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87" fillId="0" borderId="7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238" fillId="0" borderId="75" applyNumberFormat="0" applyBorder="0" applyAlignment="0" applyProtection="0">
      <alignment horizontal="right"/>
      <protection locked="0"/>
    </xf>
    <xf numFmtId="0" fontId="186" fillId="133" borderId="0" applyNumberFormat="0" applyFont="0" applyBorder="0" applyAlignment="0"/>
    <xf numFmtId="0" fontId="2" fillId="0" borderId="0" applyNumberFormat="0" applyFont="0" applyFill="0" applyBorder="0" applyAlignment="0" applyProtection="0"/>
    <xf numFmtId="3" fontId="2" fillId="74" borderId="123">
      <alignment horizontal="right"/>
      <protection locked="0"/>
    </xf>
    <xf numFmtId="0" fontId="10" fillId="0" borderId="0"/>
    <xf numFmtId="3" fontId="2" fillId="74" borderId="123">
      <alignment horizontal="right"/>
      <protection locked="0"/>
    </xf>
    <xf numFmtId="0" fontId="2" fillId="0" borderId="0" applyNumberFormat="0" applyFont="0" applyFill="0" applyBorder="0" applyAlignment="0" applyProtection="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4" borderId="123">
      <alignment horizontal="right"/>
      <protection locked="0"/>
    </xf>
    <xf numFmtId="0" fontId="10" fillId="0" borderId="0"/>
    <xf numFmtId="260" fontId="2" fillId="74" borderId="123">
      <alignment horizontal="right"/>
      <protection locked="0"/>
    </xf>
    <xf numFmtId="0" fontId="2" fillId="0" borderId="0" applyNumberFormat="0" applyFont="0" applyFill="0" applyBorder="0" applyAlignment="0" applyProtection="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4" borderId="123" applyFont="0">
      <alignment horizontal="right"/>
      <protection locked="0"/>
    </xf>
    <xf numFmtId="0" fontId="10" fillId="0" borderId="0"/>
    <xf numFmtId="10" fontId="2" fillId="74" borderId="123" applyFont="0">
      <alignment horizontal="right"/>
      <protection locked="0"/>
    </xf>
    <xf numFmtId="0" fontId="2" fillId="0" borderId="0" applyNumberFormat="0" applyFont="0" applyFill="0" applyBorder="0" applyAlignment="0" applyProtection="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4" borderId="123">
      <alignment horizontal="right"/>
      <protection locked="0"/>
    </xf>
    <xf numFmtId="0" fontId="10" fillId="0" borderId="0"/>
    <xf numFmtId="9" fontId="2" fillId="74" borderId="123">
      <alignment horizontal="right"/>
      <protection locked="0"/>
    </xf>
    <xf numFmtId="0" fontId="2" fillId="0" borderId="0" applyNumberFormat="0" applyFont="0" applyFill="0" applyBorder="0" applyAlignment="0" applyProtection="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4" borderId="123">
      <alignment horizontal="center" wrapText="1"/>
    </xf>
    <xf numFmtId="0" fontId="10" fillId="0" borderId="0"/>
    <xf numFmtId="0" fontId="2" fillId="74" borderId="123">
      <alignment horizontal="center" wrapText="1"/>
    </xf>
    <xf numFmtId="0" fontId="2" fillId="0" borderId="0" applyNumberFormat="0" applyFont="0" applyFill="0" applyBorder="0" applyAlignment="0" applyProtection="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4" borderId="123" applyNumberFormat="0" applyFont="0">
      <alignment horizontal="center" wrapText="1"/>
      <protection locked="0"/>
    </xf>
    <xf numFmtId="0" fontId="10" fillId="0" borderId="0"/>
    <xf numFmtId="0" fontId="2" fillId="74" borderId="123" applyNumberFormat="0" applyFont="0">
      <alignment horizontal="center" wrapText="1"/>
      <protection locked="0"/>
    </xf>
    <xf numFmtId="0" fontId="2" fillId="0" borderId="0" applyNumberFormat="0" applyFont="0" applyFill="0" applyBorder="0" applyAlignment="0" applyProtection="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66"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10" fillId="0" borderId="0"/>
    <xf numFmtId="0" fontId="10" fillId="0" borderId="0"/>
    <xf numFmtId="0" fontId="10" fillId="0" borderId="0"/>
    <xf numFmtId="0" fontId="10" fillId="0" borderId="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173" fontId="234" fillId="134" borderId="75"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8" fillId="57"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89" fillId="135"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90" fillId="0" borderId="0" applyFill="0" applyBorder="0" applyProtection="0">
      <alignment horizontal="left"/>
    </xf>
    <xf numFmtId="0" fontId="291" fillId="0" borderId="0" applyFill="0" applyBorder="0" applyProtection="0">
      <alignment horizontal="left"/>
    </xf>
    <xf numFmtId="1" fontId="292"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74" borderId="0" applyNumberFormat="0" applyFont="0" applyBorder="0" applyAlignment="0" applyProtection="0"/>
    <xf numFmtId="0" fontId="19" fillId="131" borderId="75" applyNumberFormat="0" applyFont="0" applyBorder="0" applyAlignment="0" applyProtection="0">
      <alignment horizontal="center"/>
    </xf>
    <xf numFmtId="0" fontId="19" fillId="131"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9" fillId="96" borderId="75" applyNumberFormat="0" applyFont="0" applyBorder="0" applyAlignment="0" applyProtection="0">
      <alignment horizontal="center"/>
    </xf>
    <xf numFmtId="0" fontId="19" fillId="96"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61"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2"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54" fillId="0" borderId="0"/>
    <xf numFmtId="0" fontId="2" fillId="0" borderId="0" applyNumberFormat="0" applyFont="0" applyFill="0" applyBorder="0" applyAlignment="0" applyProtection="0"/>
    <xf numFmtId="0" fontId="10" fillId="0" borderId="0"/>
    <xf numFmtId="0" fontId="46" fillId="69" borderId="69">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94"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10" fillId="0" borderId="134">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5" fillId="0" borderId="0">
      <protection locked="0"/>
    </xf>
    <xf numFmtId="0" fontId="295"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5" fillId="92" borderId="69"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96" fillId="0" borderId="0" applyNumberFormat="0" applyFill="0" applyBorder="0" applyAlignment="0" applyProtection="0"/>
    <xf numFmtId="295" fontId="296" fillId="0" borderId="0" applyNumberFormat="0" applyFill="0" applyBorder="0" applyAlignment="0" applyProtection="0"/>
    <xf numFmtId="3" fontId="210" fillId="0" borderId="134">
      <alignment vertical="center"/>
    </xf>
    <xf numFmtId="0" fontId="10" fillId="0" borderId="0"/>
    <xf numFmtId="0" fontId="178" fillId="111"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200" fillId="0" borderId="0"/>
    <xf numFmtId="0" fontId="10" fillId="0" borderId="0"/>
    <xf numFmtId="38" fontId="297" fillId="0" borderId="0">
      <alignment horizontal="center"/>
    </xf>
    <xf numFmtId="0" fontId="10" fillId="0" borderId="0"/>
    <xf numFmtId="0" fontId="298" fillId="45" borderId="123"/>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65" fontId="299" fillId="0" borderId="0">
      <alignment horizontal="right"/>
    </xf>
    <xf numFmtId="0" fontId="10"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301" fillId="139" borderId="0"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2"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2" applyProtection="0">
      <alignment horizontal="right" vertical="center"/>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302" fillId="0" borderId="0"/>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303" fillId="0" borderId="0"/>
    <xf numFmtId="341" fontId="161" fillId="0" borderId="0"/>
    <xf numFmtId="342" fontId="161" fillId="0" borderId="0"/>
    <xf numFmtId="0" fontId="211" fillId="0" borderId="27"/>
    <xf numFmtId="0" fontId="304"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5" fillId="141" borderId="0"/>
    <xf numFmtId="0" fontId="306" fillId="141" borderId="0"/>
    <xf numFmtId="0" fontId="307" fillId="141" borderId="173">
      <alignment horizontal="right"/>
    </xf>
    <xf numFmtId="0" fontId="307" fillId="141" borderId="0"/>
    <xf numFmtId="0" fontId="305" fillId="69" borderId="173">
      <protection locked="0"/>
    </xf>
    <xf numFmtId="0" fontId="305" fillId="141" borderId="0"/>
    <xf numFmtId="0" fontId="308" fillId="71" borderId="0"/>
    <xf numFmtId="0" fontId="308" fillId="98" borderId="0"/>
    <xf numFmtId="0" fontId="308"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9" fillId="0" borderId="0">
      <alignment horizontal="right"/>
    </xf>
    <xf numFmtId="0" fontId="232" fillId="0" borderId="0"/>
    <xf numFmtId="164" fontId="202" fillId="142" borderId="0" applyNumberFormat="0" applyFont="0"/>
    <xf numFmtId="0" fontId="161" fillId="143" borderId="0" applyNumberFormat="0" applyFont="0" applyBorder="0" applyAlignment="0" applyProtection="0"/>
    <xf numFmtId="346" fontId="309" fillId="0" borderId="0" applyFont="0" applyFill="0" applyBorder="0" applyAlignment="0" applyProtection="0"/>
    <xf numFmtId="1" fontId="2" fillId="0" borderId="0"/>
    <xf numFmtId="347" fontId="2" fillId="69" borderId="123">
      <alignment horizontal="center"/>
    </xf>
    <xf numFmtId="0" fontId="10" fillId="0" borderId="0"/>
    <xf numFmtId="347" fontId="2" fillId="69" borderId="123">
      <alignment horizontal="center"/>
    </xf>
    <xf numFmtId="0" fontId="2" fillId="0" borderId="0" applyNumberFormat="0" applyFont="0" applyFill="0" applyBorder="0" applyAlignment="0" applyProtection="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69" borderId="123" applyFont="0">
      <alignment horizontal="right"/>
    </xf>
    <xf numFmtId="0" fontId="10" fillId="0" borderId="0"/>
    <xf numFmtId="3" fontId="2" fillId="69" borderId="123"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87" fontId="2" fillId="69" borderId="123" applyFont="0">
      <alignment horizontal="right"/>
    </xf>
    <xf numFmtId="0" fontId="10" fillId="0" borderId="0"/>
    <xf numFmtId="187" fontId="2" fillId="69" borderId="123" applyFont="0">
      <alignment horizontal="right"/>
    </xf>
    <xf numFmtId="0" fontId="2" fillId="0" borderId="0" applyNumberFormat="0" applyFont="0" applyFill="0" applyBorder="0" applyAlignment="0" applyProtection="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69" borderId="123" applyFont="0">
      <alignment horizontal="right"/>
    </xf>
    <xf numFmtId="0" fontId="10" fillId="0" borderId="0"/>
    <xf numFmtId="260" fontId="2" fillId="69" borderId="123" applyFont="0">
      <alignment horizontal="right"/>
    </xf>
    <xf numFmtId="0" fontId="2" fillId="0" borderId="0" applyNumberFormat="0" applyFont="0" applyFill="0" applyBorder="0" applyAlignment="0" applyProtection="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69" borderId="123" applyFont="0">
      <alignment horizontal="right"/>
    </xf>
    <xf numFmtId="0" fontId="10" fillId="0" borderId="0"/>
    <xf numFmtId="10" fontId="2" fillId="69" borderId="123" applyFont="0">
      <alignment horizontal="right"/>
    </xf>
    <xf numFmtId="0" fontId="2" fillId="0" borderId="0" applyNumberFormat="0" applyFont="0" applyFill="0" applyBorder="0" applyAlignment="0" applyProtection="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69" borderId="123" applyFont="0">
      <alignment horizontal="right"/>
    </xf>
    <xf numFmtId="0" fontId="10" fillId="0" borderId="0"/>
    <xf numFmtId="9" fontId="2" fillId="69" borderId="123" applyFont="0">
      <alignment horizontal="right"/>
    </xf>
    <xf numFmtId="0" fontId="2" fillId="0" borderId="0" applyNumberFormat="0" applyFont="0" applyFill="0" applyBorder="0" applyAlignment="0" applyProtection="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48" fontId="2" fillId="69" borderId="123" applyFont="0">
      <alignment horizontal="center" wrapText="1"/>
    </xf>
    <xf numFmtId="0" fontId="10" fillId="0" borderId="0"/>
    <xf numFmtId="348" fontId="2" fillId="69" borderId="123" applyFont="0">
      <alignment horizontal="center" wrapText="1"/>
    </xf>
    <xf numFmtId="0" fontId="2" fillId="0" borderId="0" applyNumberFormat="0" applyFont="0" applyFill="0" applyBorder="0" applyAlignment="0" applyProtection="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65" fontId="310"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38" fontId="174" fillId="0" borderId="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7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45" fillId="0" borderId="0" applyNumberFormat="0"/>
    <xf numFmtId="0" fontId="10" fillId="0" borderId="0"/>
    <xf numFmtId="165" fontId="312"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5" applyBorder="0"/>
    <xf numFmtId="3" fontId="2" fillId="68" borderId="125" applyBorder="0"/>
    <xf numFmtId="3" fontId="2" fillId="68" borderId="125" applyBorder="0"/>
    <xf numFmtId="3" fontId="2" fillId="68" borderId="125" applyBorder="0"/>
    <xf numFmtId="3" fontId="2" fillId="68" borderId="125" applyBorder="0"/>
    <xf numFmtId="0" fontId="10" fillId="0" borderId="0"/>
    <xf numFmtId="221" fontId="161"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3" fillId="0" borderId="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4" fillId="0" borderId="75"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2" fillId="68" borderId="0">
      <alignment horizontal="center"/>
    </xf>
    <xf numFmtId="0" fontId="2" fillId="0" borderId="0" applyNumberFormat="0" applyFont="0" applyFill="0" applyBorder="0" applyAlignment="0" applyProtection="0"/>
    <xf numFmtId="0" fontId="10" fillId="0" borderId="0"/>
    <xf numFmtId="236" fontId="312"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1" fillId="0" borderId="0"/>
    <xf numFmtId="40" fontId="315" fillId="0" borderId="0" applyBorder="0">
      <alignment horizontal="right"/>
    </xf>
    <xf numFmtId="0" fontId="316" fillId="0" borderId="0" applyNumberFormat="0" applyFont="0" applyBorder="0" applyAlignment="0">
      <alignment horizontal="left"/>
    </xf>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2" fillId="0" borderId="0" applyNumberFormat="0" applyFont="0" applyFill="0" applyBorder="0" applyAlignment="0" applyProtection="0"/>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144" borderId="123" applyFont="0">
      <alignment horizontal="right"/>
    </xf>
    <xf numFmtId="0" fontId="10" fillId="0" borderId="0"/>
    <xf numFmtId="1" fontId="2" fillId="144" borderId="123" applyFont="0">
      <alignment horizontal="right"/>
    </xf>
    <xf numFmtId="0" fontId="2" fillId="0" borderId="0" applyNumberFormat="0" applyFont="0" applyFill="0" applyBorder="0" applyAlignment="0" applyProtection="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144" borderId="123" applyFont="0"/>
    <xf numFmtId="0" fontId="10" fillId="0" borderId="0"/>
    <xf numFmtId="304" fontId="2" fillId="144" borderId="123" applyFont="0"/>
    <xf numFmtId="0" fontId="2" fillId="0" borderId="0" applyNumberFormat="0" applyFont="0" applyFill="0" applyBorder="0" applyAlignment="0" applyProtection="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4" borderId="123" applyFont="0">
      <alignment horizontal="right"/>
    </xf>
    <xf numFmtId="0" fontId="10" fillId="0" borderId="0"/>
    <xf numFmtId="9" fontId="2" fillId="144" borderId="123" applyFont="0">
      <alignment horizontal="right"/>
    </xf>
    <xf numFmtId="0" fontId="2" fillId="0" borderId="0" applyNumberFormat="0" applyFont="0" applyFill="0" applyBorder="0" applyAlignment="0" applyProtection="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144" borderId="123" applyFont="0">
      <alignment horizontal="right"/>
    </xf>
    <xf numFmtId="0" fontId="10" fillId="0" borderId="0"/>
    <xf numFmtId="331" fontId="2" fillId="144" borderId="123" applyFont="0">
      <alignment horizontal="right"/>
    </xf>
    <xf numFmtId="0" fontId="2" fillId="0" borderId="0" applyNumberFormat="0" applyFont="0" applyFill="0" applyBorder="0" applyAlignment="0" applyProtection="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144" borderId="123" applyFont="0">
      <alignment horizontal="right"/>
    </xf>
    <xf numFmtId="0" fontId="10" fillId="0" borderId="0"/>
    <xf numFmtId="10" fontId="2" fillId="144" borderId="123" applyFont="0">
      <alignment horizontal="right"/>
    </xf>
    <xf numFmtId="0" fontId="2" fillId="0" borderId="0" applyNumberFormat="0" applyFont="0" applyFill="0" applyBorder="0" applyAlignment="0" applyProtection="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144" borderId="123" applyFont="0">
      <alignment horizontal="center" wrapText="1"/>
    </xf>
    <xf numFmtId="0" fontId="10" fillId="0" borderId="0"/>
    <xf numFmtId="0" fontId="2" fillId="144" borderId="123" applyFont="0">
      <alignment horizontal="center" wrapText="1"/>
    </xf>
    <xf numFmtId="0" fontId="2" fillId="0" borderId="0" applyNumberFormat="0" applyFont="0" applyFill="0" applyBorder="0" applyAlignment="0" applyProtection="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144"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144"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304" fontId="2" fillId="145" borderId="123" applyFont="0"/>
    <xf numFmtId="0" fontId="10" fillId="0" borderId="0"/>
    <xf numFmtId="304" fontId="2" fillId="145" borderId="123" applyFont="0"/>
    <xf numFmtId="0" fontId="2" fillId="0" borderId="0" applyNumberFormat="0" applyFont="0" applyFill="0" applyBorder="0" applyAlignment="0" applyProtection="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5" borderId="123" applyFont="0">
      <alignment horizontal="right"/>
    </xf>
    <xf numFmtId="0" fontId="10" fillId="0" borderId="0"/>
    <xf numFmtId="9" fontId="2" fillId="145" borderId="123" applyFont="0">
      <alignment horizontal="right"/>
    </xf>
    <xf numFmtId="0" fontId="2" fillId="0" borderId="0" applyNumberFormat="0" applyFont="0" applyFill="0" applyBorder="0" applyAlignment="0" applyProtection="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04" fontId="2" fillId="93" borderId="123" applyFont="0">
      <alignment horizontal="right"/>
    </xf>
    <xf numFmtId="0" fontId="10" fillId="0" borderId="0"/>
    <xf numFmtId="304" fontId="2" fillId="93" borderId="123" applyFont="0">
      <alignment horizontal="right"/>
    </xf>
    <xf numFmtId="0" fontId="2" fillId="0" borderId="0" applyNumberFormat="0" applyFont="0" applyFill="0" applyBorder="0" applyAlignment="0" applyProtection="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93" borderId="123" applyFont="0">
      <alignment horizontal="right"/>
    </xf>
    <xf numFmtId="0" fontId="10" fillId="0" borderId="0"/>
    <xf numFmtId="1" fontId="2" fillId="93" borderId="123" applyFont="0">
      <alignment horizontal="right"/>
    </xf>
    <xf numFmtId="0" fontId="2" fillId="0" borderId="0" applyNumberFormat="0" applyFont="0" applyFill="0" applyBorder="0" applyAlignment="0" applyProtection="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93" borderId="123" applyFont="0"/>
    <xf numFmtId="0" fontId="10" fillId="0" borderId="0"/>
    <xf numFmtId="304" fontId="2" fillId="93" borderId="123" applyFont="0"/>
    <xf numFmtId="0" fontId="2" fillId="0" borderId="0" applyNumberFormat="0" applyFont="0" applyFill="0" applyBorder="0" applyAlignment="0" applyProtection="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93" borderId="123" applyFont="0"/>
    <xf numFmtId="0" fontId="10" fillId="0" borderId="0"/>
    <xf numFmtId="260" fontId="2" fillId="93" borderId="123" applyFont="0"/>
    <xf numFmtId="0" fontId="2" fillId="0" borderId="0" applyNumberFormat="0" applyFont="0" applyFill="0" applyBorder="0" applyAlignment="0" applyProtection="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3" applyFont="0">
      <alignment horizontal="right"/>
    </xf>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93" borderId="123" applyFont="0">
      <alignment horizontal="right"/>
    </xf>
    <xf numFmtId="0" fontId="10" fillId="0" borderId="0"/>
    <xf numFmtId="9" fontId="2" fillId="93" borderId="123" applyFont="0">
      <alignment horizontal="right"/>
    </xf>
    <xf numFmtId="0" fontId="2" fillId="0" borderId="0" applyNumberFormat="0" applyFont="0" applyFill="0" applyBorder="0" applyAlignment="0" applyProtection="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93" borderId="123" applyFont="0">
      <alignment horizontal="right"/>
    </xf>
    <xf numFmtId="0" fontId="10" fillId="0" borderId="0"/>
    <xf numFmtId="331" fontId="2" fillId="93" borderId="123" applyFont="0">
      <alignment horizontal="right"/>
    </xf>
    <xf numFmtId="0" fontId="2" fillId="0" borderId="0" applyNumberFormat="0" applyFont="0" applyFill="0" applyBorder="0" applyAlignment="0" applyProtection="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6"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6" applyFont="0">
      <alignment horizontal="right"/>
    </xf>
    <xf numFmtId="0" fontId="2" fillId="0" borderId="0" applyNumberFormat="0" applyFont="0" applyFill="0" applyBorder="0" applyAlignment="0" applyProtection="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93" borderId="123" applyFont="0">
      <alignment horizontal="center" wrapText="1"/>
      <protection locked="0"/>
    </xf>
    <xf numFmtId="0" fontId="10" fillId="0" borderId="0"/>
    <xf numFmtId="0" fontId="2" fillId="93" borderId="123" applyFont="0">
      <alignment horizontal="center" wrapText="1"/>
      <protection locked="0"/>
    </xf>
    <xf numFmtId="0" fontId="2" fillId="0" borderId="0" applyNumberFormat="0" applyFont="0" applyFill="0" applyBorder="0" applyAlignment="0" applyProtection="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93"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93"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317" fillId="0" borderId="175" applyNumberFormat="0" applyAlignment="0" applyProtection="0"/>
    <xf numFmtId="0" fontId="318"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Alignment="0" applyProtection="0"/>
    <xf numFmtId="0" fontId="319" fillId="0" borderId="0" applyNumberFormat="0" applyFill="0" applyBorder="0" applyProtection="0"/>
    <xf numFmtId="0" fontId="320" fillId="0" borderId="0" applyNumberFormat="0" applyFill="0" applyBorder="0" applyProtection="0">
      <alignmen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1" fillId="0" borderId="125" applyNumberFormat="0" applyProtection="0">
      <alignment horizontal="lef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18" fillId="0" borderId="0" applyNumberFormat="0" applyProtection="0">
      <alignment horizontal="left" vertical="top"/>
    </xf>
    <xf numFmtId="0" fontId="318" fillId="0" borderId="0"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22" fillId="0" borderId="0" applyNumberFormat="0" applyFill="0" applyBorder="0" applyProtection="0">
      <alignment horizontal="right" vertical="top"/>
    </xf>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8" fillId="0" borderId="107" applyNumberFormat="0" applyFill="0" applyAlignment="0" applyProtection="0">
      <alignment vertical="top"/>
    </xf>
    <xf numFmtId="0" fontId="318" fillId="0" borderId="107" applyNumberFormat="0" applyFill="0" applyAlignment="0" applyProtection="0">
      <alignment vertical="top"/>
    </xf>
    <xf numFmtId="349"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3" fillId="0" borderId="0" applyBorder="0" applyProtection="0">
      <alignment vertical="center"/>
    </xf>
    <xf numFmtId="277" fontId="323"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4"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4"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62"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5"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6" fillId="0" borderId="69"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lignment horizontal="centerContinuous"/>
    </xf>
    <xf numFmtId="0" fontId="10" fillId="0" borderId="0"/>
    <xf numFmtId="0" fontId="10" fillId="0" borderId="0"/>
    <xf numFmtId="3" fontId="210" fillId="0" borderId="134">
      <alignment vertical="center"/>
    </xf>
    <xf numFmtId="0" fontId="326"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6" fillId="131" borderId="179"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7"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7"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8" fillId="148" borderId="0" applyNumberFormat="0">
      <alignment horizontal="left"/>
    </xf>
    <xf numFmtId="0" fontId="328" fillId="148" borderId="0" applyNumberFormat="0">
      <alignment horizontal="left"/>
    </xf>
    <xf numFmtId="0" fontId="328"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9"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1" fontId="329" fillId="0" borderId="0">
      <protection locked="0"/>
    </xf>
    <xf numFmtId="351" fontId="329" fillId="0" borderId="0">
      <protection locked="0"/>
    </xf>
    <xf numFmtId="0" fontId="10" fillId="0" borderId="0"/>
    <xf numFmtId="0" fontId="76" fillId="0" borderId="0" applyNumberForma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38" fillId="0" borderId="42" applyNumberFormat="0" applyFill="0" applyAlignment="0" applyProtection="0"/>
    <xf numFmtId="0" fontId="10" fillId="0" borderId="0"/>
    <xf numFmtId="0" fontId="10" fillId="0" borderId="0"/>
    <xf numFmtId="0" fontId="10" fillId="0" borderId="0"/>
    <xf numFmtId="0" fontId="39" fillId="0" borderId="43" applyNumberFormat="0" applyFill="0" applyAlignment="0" applyProtection="0"/>
    <xf numFmtId="0" fontId="10" fillId="0" borderId="0"/>
    <xf numFmtId="0" fontId="10" fillId="0" borderId="0"/>
    <xf numFmtId="0" fontId="10" fillId="0" borderId="0"/>
    <xf numFmtId="0" fontId="40" fillId="0" borderId="44"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30" fillId="149" borderId="0">
      <alignment horizontal="centerContinuous"/>
    </xf>
    <xf numFmtId="0" fontId="331" fillId="63" borderId="0" applyNumberFormat="0" applyBorder="0" applyAlignment="0">
      <alignment horizontal="center"/>
    </xf>
    <xf numFmtId="0" fontId="332" fillId="0" borderId="102"/>
    <xf numFmtId="0" fontId="10" fillId="0" borderId="0"/>
    <xf numFmtId="0" fontId="332" fillId="0" borderId="102"/>
    <xf numFmtId="0" fontId="10" fillId="0" borderId="0"/>
    <xf numFmtId="0" fontId="332" fillId="0" borderId="102"/>
    <xf numFmtId="0" fontId="10" fillId="0" borderId="0"/>
    <xf numFmtId="0" fontId="332" fillId="0" borderId="102"/>
    <xf numFmtId="0" fontId="332" fillId="0" borderId="102"/>
    <xf numFmtId="246" fontId="254"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3" fontId="210" fillId="0" borderId="134">
      <alignment vertical="center"/>
    </xf>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38" fontId="202" fillId="0" borderId="181">
      <alignment horizontal="right"/>
    </xf>
    <xf numFmtId="0" fontId="273" fillId="0" borderId="182"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5" fillId="69" borderId="0">
      <alignment horizontal="center"/>
    </xf>
    <xf numFmtId="0" fontId="105" fillId="69" borderId="0">
      <alignment horizontal="center"/>
    </xf>
    <xf numFmtId="3" fontId="210" fillId="0" borderId="134">
      <alignment vertical="center"/>
    </xf>
    <xf numFmtId="0" fontId="333" fillId="104" borderId="0" applyNumberFormat="0" applyBorder="0"/>
    <xf numFmtId="0" fontId="186" fillId="0" borderId="183" applyNumberFormat="0" applyFont="0" applyFill="0" applyAlignment="0"/>
    <xf numFmtId="0" fontId="334" fillId="0" borderId="127"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80" fillId="0" borderId="62" applyNumberFormat="0" applyBorder="0">
      <protection locked="0"/>
    </xf>
    <xf numFmtId="37" fontId="335" fillId="111" borderId="0"/>
    <xf numFmtId="37" fontId="161" fillId="150" borderId="123" applyNumberFormat="0" applyAlignment="0" applyProtection="0"/>
    <xf numFmtId="0" fontId="2" fillId="0" borderId="0" applyNumberFormat="0" applyFont="0" applyFill="0" applyBorder="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 fontId="210" fillId="0" borderId="134">
      <alignment vertical="center"/>
    </xf>
    <xf numFmtId="0" fontId="2" fillId="0" borderId="0" applyNumberFormat="0" applyFont="0" applyFill="0" applyBorder="0" applyAlignment="0" applyProtection="0"/>
    <xf numFmtId="0" fontId="149" fillId="0" borderId="0" applyNumberFormat="0" applyFill="0" applyBorder="0" applyAlignment="0" applyProtection="0"/>
    <xf numFmtId="0" fontId="10" fillId="0" borderId="0"/>
    <xf numFmtId="0" fontId="10" fillId="0" borderId="0"/>
    <xf numFmtId="221" fontId="3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7" fillId="0" borderId="107">
      <alignment horizontal="center"/>
    </xf>
    <xf numFmtId="43" fontId="2" fillId="0" borderId="0" applyNumberFormat="0" applyFont="0" applyBorder="0" applyAlignment="0">
      <protection locked="0"/>
    </xf>
    <xf numFmtId="2" fontId="335" fillId="111" borderId="0" applyNumberFormat="0" applyFill="0" applyBorder="0" applyAlignment="0" applyProtection="0"/>
    <xf numFmtId="352" fontId="338" fillId="111" borderId="0" applyNumberFormat="0" applyFill="0" applyBorder="0" applyAlignment="0" applyProtection="0"/>
    <xf numFmtId="37" fontId="339" fillId="110" borderId="0" applyNumberFormat="0" applyFill="0" applyBorder="0" applyAlignment="0"/>
    <xf numFmtId="0" fontId="151"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8" fontId="2" fillId="0" borderId="0"/>
    <xf numFmtId="2" fontId="234" fillId="69" borderId="123"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65" fontId="340" fillId="69" borderId="69">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4" fontId="2" fillId="0" borderId="0" applyFont="0" applyFill="0" applyBorder="0" applyAlignment="0" applyProtection="0"/>
    <xf numFmtId="355" fontId="255" fillId="0" borderId="0">
      <protection locked="0"/>
    </xf>
    <xf numFmtId="0" fontId="10" fillId="0" borderId="0"/>
    <xf numFmtId="0" fontId="10" fillId="0" borderId="0"/>
    <xf numFmtId="0" fontId="10" fillId="0" borderId="0"/>
    <xf numFmtId="0" fontId="24" fillId="64" borderId="40" applyNumberFormat="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1"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2"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7" fillId="0" borderId="0">
      <alignment horizontal="center"/>
    </xf>
    <xf numFmtId="0" fontId="10" fillId="0" borderId="0"/>
    <xf numFmtId="3" fontId="210" fillId="0" borderId="134">
      <alignment vertical="center"/>
    </xf>
    <xf numFmtId="0" fontId="310" fillId="0" borderId="0" applyProtection="0">
      <alignment horizontal="center"/>
    </xf>
    <xf numFmtId="0" fontId="10" fillId="0" borderId="0"/>
    <xf numFmtId="3" fontId="210" fillId="0" borderId="134">
      <alignment vertical="center"/>
    </xf>
    <xf numFmtId="0" fontId="2" fillId="0" borderId="0" applyNumberFormat="0" applyFont="0" applyFill="0" applyBorder="0" applyAlignment="0" applyProtection="0"/>
    <xf numFmtId="0" fontId="343" fillId="0" borderId="0" applyProtection="0">
      <alignment horizontal="center"/>
    </xf>
    <xf numFmtId="0" fontId="10" fillId="0" borderId="0"/>
    <xf numFmtId="3" fontId="210" fillId="0" borderId="134">
      <alignment vertical="center"/>
    </xf>
    <xf numFmtId="0" fontId="45" fillId="0" borderId="0" applyNumberFormat="0" applyFill="0" applyBorder="0" applyProtection="0">
      <alignment horizontal="left"/>
    </xf>
    <xf numFmtId="331" fontId="161" fillId="0" borderId="0" applyNumberFormat="0" applyFont="0" applyFill="0" applyBorder="0" applyProtection="0">
      <alignment vertical="top" wrapText="1"/>
    </xf>
    <xf numFmtId="0" fontId="207" fillId="0" borderId="0" applyNumberFormat="0" applyFill="0" applyBorder="0" applyProtection="0">
      <alignment horizontal="right"/>
    </xf>
    <xf numFmtId="0" fontId="180" fillId="0" borderId="0" applyNumberFormat="0" applyFill="0" applyBorder="0" applyProtection="0">
      <alignment horizontal="center"/>
    </xf>
    <xf numFmtId="15" fontId="180"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45" fillId="0" borderId="184" applyNumberFormat="0"/>
    <xf numFmtId="14" fontId="161" fillId="0" borderId="0" applyFont="0" applyFill="0" applyBorder="0" applyProtection="0"/>
    <xf numFmtId="16" fontId="161" fillId="0" borderId="0" applyFont="0" applyFill="0" applyBorder="0" applyProtection="0"/>
    <xf numFmtId="3" fontId="210" fillId="0" borderId="134">
      <alignment vertical="center"/>
    </xf>
    <xf numFmtId="358" fontId="344"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19"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5" fillId="0" borderId="0" applyNumberFormat="0" applyFont="0" applyBorder="0" applyAlignment="0"/>
    <xf numFmtId="0" fontId="346" fillId="0" borderId="0"/>
    <xf numFmtId="0" fontId="6" fillId="0" borderId="0" applyNumberFormat="0" applyFill="0" applyBorder="0" applyAlignment="0" applyProtection="0">
      <alignment vertical="top"/>
      <protection locked="0"/>
    </xf>
    <xf numFmtId="208" fontId="346" fillId="0" borderId="0" applyFont="0" applyFill="0" applyBorder="0" applyAlignment="0" applyProtection="0"/>
    <xf numFmtId="209" fontId="346" fillId="0" borderId="0" applyFont="0" applyFill="0" applyBorder="0" applyAlignment="0" applyProtection="0"/>
    <xf numFmtId="207" fontId="346" fillId="0" borderId="0" applyFont="0" applyFill="0" applyBorder="0" applyAlignment="0" applyProtection="0"/>
    <xf numFmtId="210" fontId="3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7" fillId="0" borderId="0" applyNumberFormat="0" applyFill="0" applyBorder="0" applyAlignment="0" applyProtection="0"/>
    <xf numFmtId="3" fontId="2" fillId="74" borderId="191" applyFont="0">
      <alignment horizontal="right" vertical="center"/>
      <protection locked="0"/>
    </xf>
    <xf numFmtId="0" fontId="45" fillId="69" borderId="187" applyFont="0" applyBorder="0">
      <alignment horizontal="center" wrapText="1"/>
    </xf>
    <xf numFmtId="0" fontId="148" fillId="69" borderId="190" applyNumberFormat="0" applyFill="0" applyBorder="0" applyAlignment="0" applyProtection="0">
      <alignment horizontal="left"/>
    </xf>
    <xf numFmtId="0" fontId="1" fillId="0" borderId="0"/>
    <xf numFmtId="0" fontId="175" fillId="0" borderId="195"/>
    <xf numFmtId="244" fontId="177" fillId="0" borderId="196"/>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4" fillId="108" borderId="197" applyNumberFormat="0" applyAlignment="0" applyProtection="0"/>
    <xf numFmtId="0" fontId="184" fillId="108" borderId="197" applyNumberFormat="0" applyAlignment="0" applyProtection="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202" fillId="0" borderId="186"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5" applyNumberFormat="0" applyFont="0" applyFill="0" applyAlignment="0" applyProtection="0"/>
    <xf numFmtId="0" fontId="150" fillId="0" borderId="195"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3" fontId="45" fillId="41" borderId="190">
      <protection hidden="1"/>
    </xf>
    <xf numFmtId="0" fontId="205" fillId="0" borderId="190" applyBorder="0"/>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vertical="center"/>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201" fontId="2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3" fillId="0" borderId="0" applyFont="0" applyFill="0" applyBorder="0" applyAlignment="0" applyProtection="0">
      <alignment horizontal="righ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0" fontId="233" fillId="120" borderId="191" applyNumberFormat="0" applyBorder="0" applyAlignment="0">
      <alignment horizontal="center"/>
      <protection locked="0"/>
    </xf>
    <xf numFmtId="0" fontId="233" fillId="120" borderId="191" applyNumberFormat="0" applyBorder="0" applyAlignment="0">
      <alignment horizontal="center"/>
      <protection locked="0"/>
    </xf>
    <xf numFmtId="3" fontId="234" fillId="121" borderId="198" applyNumberFormat="0" applyBorder="0" applyAlignment="0" applyProtection="0">
      <protection hidden="1"/>
    </xf>
    <xf numFmtId="281" fontId="2" fillId="0" borderId="0" applyFont="0" applyFill="0" applyBorder="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45" fillId="113" borderId="193" applyAlignment="0" applyProtection="0"/>
    <xf numFmtId="0" fontId="45" fillId="113" borderId="193" applyAlignment="0" applyProtection="0"/>
    <xf numFmtId="0" fontId="45" fillId="113" borderId="193" applyAlignment="0" applyProtection="0"/>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37" fillId="0" borderId="193">
      <alignment horizontal="left" vertical="center"/>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0" borderId="0" applyNumberFormat="0" applyFont="0" applyFill="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2" fontId="234" fillId="129" borderId="196" applyNumberFormat="0" applyBorder="0" applyAlignment="0" applyProtection="0">
      <alignment horizontal="center"/>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49" fontId="2" fillId="71" borderId="191" applyFont="0" applyAlignment="0">
      <protection locked="0"/>
    </xf>
    <xf numFmtId="49" fontId="2" fillId="71" borderId="191" applyFont="0" applyAlignment="0">
      <protection locked="0"/>
    </xf>
    <xf numFmtId="317" fontId="161" fillId="0" borderId="196" applyBorder="0"/>
    <xf numFmtId="253" fontId="229" fillId="96" borderId="196" applyBorder="0"/>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2" fontId="234" fillId="107" borderId="191" applyNumberFormat="0" applyBorder="0" applyAlignment="0">
      <protection locked="0"/>
    </xf>
    <xf numFmtId="3" fontId="210" fillId="0" borderId="134">
      <alignment vertical="center"/>
    </xf>
    <xf numFmtId="37" fontId="202" fillId="0" borderId="0" applyNumberFormat="0" applyFill="0" applyAlignment="0"/>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 fillId="0" borderId="193"/>
    <xf numFmtId="0" fontId="2" fillId="0" borderId="193"/>
    <xf numFmtId="0" fontId="2" fillId="0" borderId="193"/>
    <xf numFmtId="0" fontId="2" fillId="0" borderId="193"/>
    <xf numFmtId="0" fontId="45" fillId="70" borderId="187"/>
    <xf numFmtId="0" fontId="45" fillId="70" borderId="187"/>
    <xf numFmtId="0" fontId="45" fillId="70" borderId="187"/>
    <xf numFmtId="0" fontId="45" fillId="70" borderId="187"/>
    <xf numFmtId="0" fontId="45" fillId="0" borderId="188"/>
    <xf numFmtId="0" fontId="45" fillId="0" borderId="188"/>
    <xf numFmtId="0" fontId="45"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84" fillId="132" borderId="192">
      <alignment horizontal="center" vertical="top"/>
    </xf>
    <xf numFmtId="0" fontId="284" fillId="132" borderId="192">
      <alignment horizontal="center" vertical="top"/>
    </xf>
    <xf numFmtId="0" fontId="45" fillId="0" borderId="187"/>
    <xf numFmtId="0" fontId="45" fillId="0" borderId="187"/>
    <xf numFmtId="0" fontId="45" fillId="0" borderId="187"/>
    <xf numFmtId="0" fontId="45" fillId="0" borderId="187"/>
    <xf numFmtId="0" fontId="2" fillId="0" borderId="192"/>
    <xf numFmtId="0" fontId="2" fillId="0" borderId="192"/>
    <xf numFmtId="0" fontId="2" fillId="0" borderId="192"/>
    <xf numFmtId="0" fontId="2" fillId="0" borderId="192"/>
    <xf numFmtId="0" fontId="2" fillId="0" borderId="192"/>
    <xf numFmtId="0" fontId="285" fillId="70" borderId="198"/>
    <xf numFmtId="0" fontId="285" fillId="70" borderId="198"/>
    <xf numFmtId="0" fontId="2" fillId="0" borderId="188">
      <alignment horizontal="center"/>
    </xf>
    <xf numFmtId="0" fontId="2" fillId="0" borderId="188">
      <alignment horizontal="center"/>
    </xf>
    <xf numFmtId="0" fontId="2" fillId="0" borderId="188">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94">
      <alignment horizontal="center"/>
    </xf>
    <xf numFmtId="0" fontId="2" fillId="0" borderId="194">
      <alignment horizontal="center"/>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3" fontId="2" fillId="0" borderId="193"/>
    <xf numFmtId="3" fontId="2" fillId="0" borderId="193"/>
    <xf numFmtId="3" fontId="2" fillId="0" borderId="193"/>
    <xf numFmtId="3" fontId="2" fillId="0" borderId="193"/>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93">
      <alignment horizontal="center"/>
    </xf>
    <xf numFmtId="0" fontId="45" fillId="70" borderId="193">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88">
      <alignment horizontal="left" vertical="top"/>
    </xf>
    <xf numFmtId="0" fontId="45" fillId="70" borderId="188">
      <alignment horizontal="left" vertical="top"/>
    </xf>
    <xf numFmtId="0" fontId="45" fillId="70" borderId="188">
      <alignment horizontal="left" vertical="top"/>
    </xf>
    <xf numFmtId="0" fontId="284" fillId="132" borderId="193">
      <alignment horizontal="center" vertical="center"/>
    </xf>
    <xf numFmtId="0" fontId="284" fillId="132" borderId="193">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93">
      <alignment horizontal="center" vertical="center"/>
    </xf>
    <xf numFmtId="0" fontId="284" fillId="104" borderId="193">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 fillId="0" borderId="189"/>
    <xf numFmtId="0" fontId="2" fillId="0" borderId="189"/>
    <xf numFmtId="0" fontId="2" fillId="0" borderId="189"/>
    <xf numFmtId="0" fontId="2" fillId="0" borderId="189"/>
    <xf numFmtId="0" fontId="2" fillId="0" borderId="194"/>
    <xf numFmtId="0" fontId="2" fillId="0" borderId="194"/>
    <xf numFmtId="0" fontId="2" fillId="0" borderId="0" applyNumberFormat="0" applyFont="0" applyFill="0" applyBorder="0" applyAlignment="0" applyProtection="0"/>
    <xf numFmtId="0" fontId="287" fillId="0" borderId="196"/>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173" fontId="234" fillId="134" borderId="196" applyNumberFormat="0" applyBorder="0" applyAlignment="0" applyProtection="0">
      <alignment horizontal="center"/>
      <protection hidden="1"/>
    </xf>
    <xf numFmtId="3" fontId="288" fillId="57" borderId="191" applyNumberFormat="0" applyBorder="0" applyAlignment="0" applyProtection="0">
      <protection hidden="1"/>
    </xf>
    <xf numFmtId="3" fontId="289" fillId="135" borderId="198" applyNumberFormat="0" applyBorder="0" applyAlignment="0" applyProtection="0">
      <protection hidden="1"/>
    </xf>
    <xf numFmtId="0" fontId="19" fillId="131" borderId="196" applyNumberFormat="0" applyFont="0" applyBorder="0" applyAlignment="0" applyProtection="0">
      <alignment horizontal="center"/>
    </xf>
    <xf numFmtId="0" fontId="19" fillId="131"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61" fillId="0" borderId="199" applyNumberFormat="0" applyAlignment="0" applyProtection="0"/>
    <xf numFmtId="0" fontId="10" fillId="0" borderId="0"/>
    <xf numFmtId="0" fontId="46" fillId="69" borderId="190">
      <alignment horizontal="center"/>
    </xf>
    <xf numFmtId="0" fontId="41" fillId="0" borderId="186">
      <alignment horizontal="center"/>
    </xf>
    <xf numFmtId="0" fontId="45" fillId="92" borderId="190" applyNumberFormat="0" applyBorder="0" applyAlignment="0"/>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0" fontId="298" fillId="45" borderId="191"/>
    <xf numFmtId="0" fontId="2" fillId="0" borderId="200">
      <alignment vertical="center"/>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 fontId="2" fillId="69" borderId="191" applyFont="0">
      <alignment horizontal="right"/>
    </xf>
    <xf numFmtId="3" fontId="2" fillId="69" borderId="191" applyFont="0">
      <alignment horizontal="right"/>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 fontId="2" fillId="68" borderId="193" applyBorder="0"/>
    <xf numFmtId="3" fontId="2" fillId="68" borderId="193" applyBorder="0"/>
    <xf numFmtId="3" fontId="2" fillId="68" borderId="193" applyBorder="0"/>
    <xf numFmtId="3" fontId="2" fillId="68" borderId="193" applyBorder="0"/>
    <xf numFmtId="3" fontId="2" fillId="68" borderId="193" applyBorder="0"/>
    <xf numFmtId="2" fontId="314" fillId="0" borderId="196" applyNumberFormat="0" applyFill="0" applyBorder="0" applyAlignment="0" applyProtection="0">
      <alignment horizontal="center"/>
      <protection locked="0"/>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49" fontId="2" fillId="144" borderId="191" applyFont="0"/>
    <xf numFmtId="49" fontId="2" fillId="144"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49" fontId="2" fillId="93" borderId="191" applyFont="0"/>
    <xf numFmtId="49" fontId="2" fillId="93" borderId="191" applyFont="0"/>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56" fillId="0" borderId="190" applyFill="0" applyBorder="0" applyProtection="0">
      <alignment horizontal="left" vertical="top"/>
    </xf>
    <xf numFmtId="0" fontId="186" fillId="131" borderId="202" applyNumberFormat="0" applyFont="0">
      <alignment horizontal="center" vertical="center"/>
    </xf>
    <xf numFmtId="350" fontId="45" fillId="68" borderId="198" applyNumberFormat="0" applyBorder="0" applyAlignment="0">
      <alignment horizontal="right"/>
    </xf>
    <xf numFmtId="0" fontId="332" fillId="0" borderId="188"/>
    <xf numFmtId="0" fontId="332" fillId="0" borderId="188"/>
    <xf numFmtId="0" fontId="332" fillId="0" borderId="188"/>
    <xf numFmtId="0" fontId="332" fillId="0" borderId="188"/>
    <xf numFmtId="0" fontId="332"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334" fillId="0" borderId="198" applyNumberFormat="0" applyFill="0" applyBorder="0" applyAlignment="0" applyProtection="0">
      <alignment horizontal="center"/>
      <protection locked="0"/>
    </xf>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2" fontId="234" fillId="69" borderId="191" applyBorder="0" applyAlignment="0"/>
    <xf numFmtId="165" fontId="340" fillId="69" borderId="190">
      <alignment horizontal="center"/>
    </xf>
    <xf numFmtId="0" fontId="347" fillId="0" borderId="0" applyNumberFormat="0" applyFill="0" applyBorder="0" applyAlignment="0" applyProtection="0"/>
    <xf numFmtId="0" fontId="1" fillId="0" borderId="0"/>
    <xf numFmtId="0" fontId="1" fillId="0" borderId="0"/>
  </cellStyleXfs>
  <cellXfs count="837">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9" xfId="0" applyNumberFormat="1" applyFont="1" applyBorder="1" applyAlignment="1" applyProtection="1">
      <alignment vertical="center" wrapText="1"/>
      <protection locked="0"/>
    </xf>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9"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8" xfId="0" applyFont="1" applyBorder="1" applyAlignment="1">
      <alignment horizontal="center" vertical="center" wrapText="1"/>
    </xf>
    <xf numFmtId="0" fontId="84" fillId="0" borderId="3" xfId="0" applyFont="1" applyBorder="1" applyAlignment="1">
      <alignment vertical="center" wrapText="1"/>
    </xf>
    <xf numFmtId="0" fontId="84" fillId="0" borderId="21" xfId="0" applyFont="1" applyBorder="1" applyAlignment="1">
      <alignment horizontal="center" vertical="center" wrapText="1"/>
    </xf>
    <xf numFmtId="0" fontId="86" fillId="0" borderId="22" xfId="0" applyFont="1" applyBorder="1" applyAlignment="1">
      <alignment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5" xfId="0" applyFont="1" applyBorder="1"/>
    <xf numFmtId="0" fontId="2" fillId="0" borderId="18" xfId="0" applyFont="1" applyBorder="1" applyAlignment="1">
      <alignment vertical="center"/>
    </xf>
    <xf numFmtId="0" fontId="2" fillId="0" borderId="8" xfId="0" applyFont="1" applyBorder="1" applyAlignment="1">
      <alignment wrapText="1"/>
    </xf>
    <xf numFmtId="0" fontId="84" fillId="0" borderId="20" xfId="0" applyFont="1" applyBorder="1"/>
    <xf numFmtId="0" fontId="85" fillId="0" borderId="0" xfId="0" applyFont="1" applyAlignment="1">
      <alignment wrapText="1"/>
    </xf>
    <xf numFmtId="0" fontId="2" fillId="0" borderId="20" xfId="0" applyFont="1" applyBorder="1"/>
    <xf numFmtId="0" fontId="2" fillId="0" borderId="20" xfId="0" applyFont="1" applyBorder="1" applyAlignment="1">
      <alignment wrapText="1"/>
    </xf>
    <xf numFmtId="0" fontId="2" fillId="0" borderId="21" xfId="0" applyFont="1" applyBorder="1"/>
    <xf numFmtId="0" fontId="2" fillId="0" borderId="24" xfId="0" applyFont="1" applyBorder="1" applyAlignment="1">
      <alignment wrapText="1"/>
    </xf>
    <xf numFmtId="0" fontId="84" fillId="0" borderId="38" xfId="0" applyFont="1" applyBorder="1"/>
    <xf numFmtId="0" fontId="46" fillId="0" borderId="0" xfId="11" applyFont="1" applyAlignment="1">
      <alignment horizontal="right"/>
    </xf>
    <xf numFmtId="0" fontId="45" fillId="0" borderId="16" xfId="11" applyFont="1" applyBorder="1" applyAlignment="1">
      <alignment horizontal="center" vertical="center"/>
    </xf>
    <xf numFmtId="0" fontId="45" fillId="0" borderId="17" xfId="11" applyFont="1" applyBorder="1" applyAlignment="1">
      <alignment horizontal="center" vertical="center"/>
    </xf>
    <xf numFmtId="0" fontId="2" fillId="0" borderId="0" xfId="11" applyAlignment="1">
      <alignment vertical="center"/>
    </xf>
    <xf numFmtId="0" fontId="84" fillId="0" borderId="0" xfId="0" applyFont="1" applyAlignment="1">
      <alignment vertical="center"/>
    </xf>
    <xf numFmtId="0" fontId="84" fillId="0" borderId="18"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5"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0" fontId="2" fillId="0" borderId="18"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7" xfId="13" applyFont="1" applyFill="1" applyBorder="1" applyAlignment="1" applyProtection="1">
      <alignment vertical="center" wrapText="1"/>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0" fontId="2" fillId="3" borderId="7" xfId="13" applyFont="1" applyFill="1" applyBorder="1" applyAlignment="1" applyProtection="1">
      <alignment horizontal="left" vertical="center"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8"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2" xfId="13" applyFont="1" applyFill="1" applyBorder="1" applyAlignment="1" applyProtection="1">
      <alignment vertical="center" wrapText="1"/>
      <protection locked="0"/>
    </xf>
    <xf numFmtId="0" fontId="45" fillId="0" borderId="0" xfId="11" applyFont="1"/>
    <xf numFmtId="0" fontId="84" fillId="0" borderId="4" xfId="0" applyFont="1" applyBorder="1" applyAlignment="1">
      <alignment horizontal="center" vertical="center" wrapText="1"/>
    </xf>
    <xf numFmtId="0" fontId="84" fillId="0" borderId="58" xfId="0" applyFont="1" applyBorder="1" applyAlignment="1">
      <alignment horizontal="center" vertical="center" wrapText="1"/>
    </xf>
    <xf numFmtId="0" fontId="84" fillId="0" borderId="6" xfId="0" applyFont="1" applyBorder="1" applyAlignment="1">
      <alignment horizontal="center" vertical="center" wrapText="1"/>
    </xf>
    <xf numFmtId="167" fontId="84" fillId="0" borderId="59" xfId="0" applyNumberFormat="1" applyFont="1" applyBorder="1" applyAlignment="1">
      <alignment horizontal="center"/>
    </xf>
    <xf numFmtId="167" fontId="85" fillId="0" borderId="0" xfId="0" applyNumberFormat="1" applyFont="1" applyAlignment="1">
      <alignment horizontal="center"/>
    </xf>
    <xf numFmtId="167" fontId="84" fillId="0" borderId="57" xfId="0" applyNumberFormat="1" applyFont="1" applyBorder="1" applyAlignment="1">
      <alignment horizontal="center"/>
    </xf>
    <xf numFmtId="167" fontId="92" fillId="0" borderId="0" xfId="0" applyNumberFormat="1" applyFont="1" applyAlignment="1">
      <alignment horizontal="center"/>
    </xf>
    <xf numFmtId="167" fontId="84" fillId="0" borderId="60" xfId="0" applyNumberFormat="1" applyFont="1" applyBorder="1" applyAlignment="1">
      <alignment horizontal="center"/>
    </xf>
    <xf numFmtId="167" fontId="90" fillId="0" borderId="0" xfId="0" applyNumberFormat="1" applyFont="1" applyAlignment="1">
      <alignment horizontal="center"/>
    </xf>
    <xf numFmtId="167" fontId="84" fillId="0" borderId="61" xfId="0" applyNumberFormat="1" applyFont="1" applyBorder="1" applyAlignment="1">
      <alignment horizontal="center"/>
    </xf>
    <xf numFmtId="0" fontId="84" fillId="0" borderId="18" xfId="0" applyFont="1" applyBorder="1" applyAlignment="1">
      <alignment vertical="center"/>
    </xf>
    <xf numFmtId="0" fontId="2" fillId="3" borderId="21" xfId="9" applyFont="1" applyFill="1" applyBorder="1" applyAlignment="1" applyProtection="1">
      <alignment horizontal="left" vertical="center"/>
      <protection locked="0"/>
    </xf>
    <xf numFmtId="0" fontId="45" fillId="3" borderId="22" xfId="16" applyFont="1" applyFill="1" applyBorder="1" applyProtection="1">
      <protection locked="0"/>
    </xf>
    <xf numFmtId="0" fontId="86" fillId="0" borderId="0" xfId="0" applyFont="1" applyAlignment="1">
      <alignment horizontal="center"/>
    </xf>
    <xf numFmtId="0" fontId="84" fillId="0" borderId="15" xfId="0" applyFont="1" applyBorder="1"/>
    <xf numFmtId="0" fontId="84" fillId="0" borderId="17" xfId="0" applyFont="1" applyBorder="1"/>
    <xf numFmtId="0" fontId="84" fillId="0" borderId="19" xfId="0" applyFont="1" applyBorder="1" applyAlignment="1">
      <alignment horizontal="center" vertical="center"/>
    </xf>
    <xf numFmtId="164" fontId="2" fillId="3" borderId="18"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9" xfId="1" applyNumberFormat="1" applyFont="1" applyFill="1" applyBorder="1" applyAlignment="1" applyProtection="1">
      <alignment horizontal="center" vertical="center" wrapText="1"/>
      <protection locked="0"/>
    </xf>
    <xf numFmtId="0" fontId="2" fillId="3" borderId="18" xfId="5" applyFill="1" applyBorder="1" applyAlignment="1" applyProtection="1">
      <alignment horizontal="right" vertical="center"/>
      <protection locked="0"/>
    </xf>
    <xf numFmtId="191" fontId="84" fillId="0" borderId="19" xfId="0" applyNumberFormat="1" applyFont="1" applyBorder="1"/>
    <xf numFmtId="0" fontId="45" fillId="3" borderId="23" xfId="16" applyFont="1" applyFill="1" applyBorder="1" applyProtection="1">
      <protection locked="0"/>
    </xf>
    <xf numFmtId="0" fontId="84" fillId="0" borderId="16" xfId="0" applyFont="1" applyBorder="1"/>
    <xf numFmtId="0" fontId="89" fillId="0" borderId="0" xfId="0" applyFont="1" applyAlignment="1">
      <alignment wrapText="1"/>
    </xf>
    <xf numFmtId="0" fontId="84" fillId="0" borderId="18" xfId="0" applyFont="1" applyBorder="1"/>
    <xf numFmtId="0" fontId="84" fillId="0" borderId="3" xfId="0" applyFont="1" applyBorder="1"/>
    <xf numFmtId="0" fontId="84" fillId="0" borderId="62" xfId="0" applyFont="1" applyBorder="1" applyAlignment="1">
      <alignment wrapText="1"/>
    </xf>
    <xf numFmtId="0" fontId="84" fillId="0" borderId="21" xfId="0" applyFont="1" applyBorder="1"/>
    <xf numFmtId="0" fontId="86" fillId="0" borderId="22" xfId="0" applyFont="1" applyBorder="1"/>
    <xf numFmtId="0" fontId="2" fillId="0" borderId="3" xfId="13" applyFont="1" applyBorder="1" applyAlignment="1" applyProtection="1">
      <alignment horizontal="center" vertical="center" wrapText="1"/>
      <protection locked="0"/>
    </xf>
    <xf numFmtId="0" fontId="45" fillId="0" borderId="25" xfId="0" applyFont="1" applyBorder="1" applyAlignment="1">
      <alignment vertical="center" wrapText="1"/>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2" xfId="0" applyFont="1" applyBorder="1" applyAlignment="1">
      <alignment vertical="center" wrapText="1"/>
    </xf>
    <xf numFmtId="0" fontId="2" fillId="0" borderId="15" xfId="11" applyBorder="1" applyAlignment="1">
      <alignment vertical="center"/>
    </xf>
    <xf numFmtId="0" fontId="2" fillId="0" borderId="16"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2" xfId="0" applyFont="1" applyFill="1" applyBorder="1" applyAlignment="1">
      <alignment wrapText="1"/>
    </xf>
    <xf numFmtId="0" fontId="84" fillId="0" borderId="15" xfId="0" applyFont="1" applyBorder="1" applyAlignment="1">
      <alignment horizontal="center" vertical="center"/>
    </xf>
    <xf numFmtId="191" fontId="84" fillId="35" borderId="17" xfId="0" applyNumberFormat="1" applyFont="1" applyFill="1" applyBorder="1" applyAlignment="1">
      <alignment horizontal="center" vertical="center"/>
    </xf>
    <xf numFmtId="191" fontId="84" fillId="0" borderId="19" xfId="0" applyNumberFormat="1" applyFont="1" applyBorder="1" applyAlignment="1">
      <alignment wrapText="1"/>
    </xf>
    <xf numFmtId="191" fontId="84" fillId="35" borderId="19" xfId="0" applyNumberFormat="1" applyFont="1" applyFill="1" applyBorder="1" applyAlignment="1">
      <alignment horizontal="center" vertical="center" wrapText="1"/>
    </xf>
    <xf numFmtId="191" fontId="84" fillId="35" borderId="23" xfId="0" applyNumberFormat="1" applyFont="1" applyFill="1" applyBorder="1" applyAlignment="1">
      <alignment horizontal="center" vertical="center" wrapText="1"/>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5" xfId="0" applyFont="1" applyBorder="1" applyAlignment="1">
      <alignment horizontal="center" vertical="center" wrapText="1"/>
    </xf>
    <xf numFmtId="0" fontId="84" fillId="0" borderId="16"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9" xfId="1" applyNumberFormat="1" applyFont="1" applyFill="1" applyBorder="1" applyAlignment="1" applyProtection="1">
      <alignment horizontal="center" vertical="center" wrapText="1"/>
      <protection locked="0"/>
    </xf>
    <xf numFmtId="0" fontId="3" fillId="0" borderId="54" xfId="0" applyFont="1" applyBorder="1"/>
    <xf numFmtId="0" fontId="3" fillId="0" borderId="55" xfId="0" applyFont="1" applyBorder="1"/>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97" fillId="0" borderId="0" xfId="0" applyFont="1"/>
    <xf numFmtId="0" fontId="3" fillId="0" borderId="62" xfId="0" applyFont="1" applyBorder="1"/>
    <xf numFmtId="0" fontId="3" fillId="0" borderId="16" xfId="0" applyFont="1" applyBorder="1" applyAlignment="1">
      <alignment wrapText="1"/>
    </xf>
    <xf numFmtId="0" fontId="3" fillId="0" borderId="26" xfId="0" applyFont="1" applyBorder="1" applyAlignment="1">
      <alignment wrapText="1"/>
    </xf>
    <xf numFmtId="0" fontId="3" fillId="0" borderId="17" xfId="0" applyFont="1" applyBorder="1" applyAlignment="1">
      <alignment wrapText="1"/>
    </xf>
    <xf numFmtId="0" fontId="3" fillId="0" borderId="3" xfId="0" applyFont="1" applyBorder="1" applyAlignment="1">
      <alignment horizontal="center" vertical="center" wrapText="1"/>
    </xf>
    <xf numFmtId="9" fontId="3" fillId="0" borderId="19" xfId="20950" applyFont="1" applyBorder="1"/>
    <xf numFmtId="9" fontId="3" fillId="35" borderId="23" xfId="20950" applyFont="1" applyFill="1" applyBorder="1"/>
    <xf numFmtId="0" fontId="86" fillId="0" borderId="0" xfId="0" applyFont="1" applyAlignment="1">
      <alignment horizontal="center" wrapText="1"/>
    </xf>
    <xf numFmtId="167" fontId="84" fillId="0" borderId="3" xfId="0" applyNumberFormat="1" applyFont="1" applyBorder="1"/>
    <xf numFmtId="167" fontId="84" fillId="35" borderId="22" xfId="0" applyNumberFormat="1" applyFont="1" applyFill="1" applyBorder="1"/>
    <xf numFmtId="0" fontId="84" fillId="0" borderId="67" xfId="0" applyFont="1" applyBorder="1" applyAlignment="1">
      <alignment vertical="center" wrapText="1"/>
    </xf>
    <xf numFmtId="191" fontId="86" fillId="35" borderId="22"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77" xfId="0" applyFont="1" applyFill="1" applyBorder="1" applyAlignment="1">
      <alignment horizontal="left"/>
    </xf>
    <xf numFmtId="0" fontId="99"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3" borderId="83"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169" fontId="9" fillId="36" borderId="0" xfId="20"/>
    <xf numFmtId="0" fontId="3" fillId="0" borderId="18"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1" xfId="0" applyFont="1" applyBorder="1" applyAlignment="1">
      <alignment horizontal="center" vertical="center"/>
    </xf>
    <xf numFmtId="0" fontId="4" fillId="0" borderId="22"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169" fontId="9" fillId="36" borderId="55" xfId="20" applyBorder="1"/>
    <xf numFmtId="0" fontId="3" fillId="0" borderId="86" xfId="0" applyFont="1" applyBorder="1" applyAlignment="1">
      <alignment horizontal="center" vertical="center"/>
    </xf>
    <xf numFmtId="0" fontId="3" fillId="0" borderId="87" xfId="0" applyFont="1" applyBorder="1" applyAlignment="1">
      <alignment vertical="center"/>
    </xf>
    <xf numFmtId="169" fontId="9" fillId="36" borderId="24" xfId="20" applyBorder="1"/>
    <xf numFmtId="169" fontId="9" fillId="36" borderId="88" xfId="20" applyBorder="1"/>
    <xf numFmtId="169" fontId="9" fillId="36" borderId="25" xfId="20" applyBorder="1"/>
    <xf numFmtId="0" fontId="3" fillId="0" borderId="90" xfId="0" applyFont="1" applyBorder="1" applyAlignment="1">
      <alignment horizontal="center" vertical="center"/>
    </xf>
    <xf numFmtId="0" fontId="3" fillId="0" borderId="91" xfId="0" applyFont="1" applyBorder="1" applyAlignment="1">
      <alignment vertical="center"/>
    </xf>
    <xf numFmtId="169" fontId="9" fillId="36" borderId="30" xfId="20" applyBorder="1"/>
    <xf numFmtId="0" fontId="4" fillId="0" borderId="0" xfId="0" applyFont="1" applyAlignment="1">
      <alignment horizontal="center"/>
    </xf>
    <xf numFmtId="0" fontId="86" fillId="0" borderId="79" xfId="0" applyFont="1" applyBorder="1" applyAlignment="1">
      <alignment horizontal="center" vertical="center" wrapText="1"/>
    </xf>
    <xf numFmtId="0" fontId="86" fillId="0" borderId="80" xfId="0" applyFont="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8" xfId="0" applyFont="1" applyBorder="1" applyAlignment="1">
      <alignment horizontal="right" vertical="center" wrapText="1"/>
    </xf>
    <xf numFmtId="0" fontId="100" fillId="0" borderId="18" xfId="0" applyFont="1" applyBorder="1" applyAlignment="1">
      <alignment horizontal="right" vertical="center" wrapText="1"/>
    </xf>
    <xf numFmtId="0" fontId="4" fillId="0" borderId="18"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21" xfId="5" applyNumberFormat="1" applyFont="1" applyBorder="1" applyAlignment="1" applyProtection="1">
      <alignment horizontal="left" vertical="center"/>
      <protection locked="0"/>
    </xf>
    <xf numFmtId="0" fontId="102" fillId="0" borderId="22"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5" xfId="0" applyFont="1" applyBorder="1" applyAlignment="1">
      <alignment horizontal="left" vertical="center" wrapText="1"/>
    </xf>
    <xf numFmtId="10" fontId="96" fillId="0" borderId="95" xfId="20950" applyNumberFormat="1" applyFont="1" applyFill="1" applyBorder="1" applyAlignment="1">
      <alignment horizontal="left" vertical="center" wrapText="1"/>
    </xf>
    <xf numFmtId="10" fontId="3" fillId="0"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left" vertical="center" wrapText="1"/>
    </xf>
    <xf numFmtId="10" fontId="100" fillId="0" borderId="95" xfId="20950" applyNumberFormat="1" applyFont="1" applyFill="1" applyBorder="1" applyAlignment="1">
      <alignment horizontal="left" vertical="center" wrapText="1"/>
    </xf>
    <xf numFmtId="10" fontId="4" fillId="35"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2" fillId="0" borderId="22" xfId="20950"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0" fontId="4" fillId="35" borderId="81" xfId="0" applyFont="1" applyFill="1" applyBorder="1" applyAlignment="1">
      <alignment vertical="center" wrapText="1"/>
    </xf>
    <xf numFmtId="0" fontId="4" fillId="35" borderId="94" xfId="0" applyFont="1" applyFill="1" applyBorder="1" applyAlignment="1">
      <alignment vertical="center" wrapText="1"/>
    </xf>
    <xf numFmtId="0" fontId="4" fillId="35" borderId="68" xfId="0" applyFont="1" applyFill="1" applyBorder="1" applyAlignment="1">
      <alignment vertical="center" wrapText="1"/>
    </xf>
    <xf numFmtId="0" fontId="4" fillId="35" borderId="29"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6" xfId="0" applyFont="1" applyBorder="1" applyAlignment="1">
      <alignment horizontal="center" vertical="center" wrapText="1"/>
    </xf>
    <xf numFmtId="0" fontId="45" fillId="0" borderId="17" xfId="0" applyFont="1" applyBorder="1" applyAlignment="1">
      <alignment horizontal="center" vertical="center" wrapText="1"/>
    </xf>
    <xf numFmtId="0" fontId="2" fillId="0" borderId="3" xfId="0" applyFont="1" applyBorder="1" applyAlignment="1">
      <alignment wrapText="1"/>
    </xf>
    <xf numFmtId="0" fontId="84" fillId="0" borderId="19" xfId="0" applyFont="1" applyBorder="1"/>
    <xf numFmtId="0" fontId="45" fillId="0" borderId="19"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92" xfId="20" applyFont="1" applyBorder="1"/>
    <xf numFmtId="0" fontId="2" fillId="2" borderId="18" xfId="0" applyFont="1" applyFill="1" applyBorder="1" applyAlignment="1">
      <alignment horizontal="right" vertical="center"/>
    </xf>
    <xf numFmtId="0" fontId="45" fillId="0" borderId="18" xfId="0" applyFont="1" applyBorder="1" applyAlignment="1">
      <alignment horizontal="center" vertical="center" wrapText="1"/>
    </xf>
    <xf numFmtId="0" fontId="2" fillId="2" borderId="21" xfId="0" applyFont="1" applyFill="1" applyBorder="1" applyAlignment="1">
      <alignment horizontal="right" vertical="center"/>
    </xf>
    <xf numFmtId="0" fontId="4" fillId="0" borderId="0" xfId="0" applyFont="1" applyAlignment="1">
      <alignment horizontal="center" wrapText="1"/>
    </xf>
    <xf numFmtId="0" fontId="3" fillId="3" borderId="54"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4" xfId="0" applyFont="1" applyFill="1" applyBorder="1" applyAlignment="1">
      <alignment horizontal="center" wrapText="1"/>
    </xf>
    <xf numFmtId="0" fontId="3" fillId="0" borderId="95"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8" xfId="0" applyFont="1" applyBorder="1"/>
    <xf numFmtId="0" fontId="3" fillId="0" borderId="95" xfId="0" applyFont="1" applyBorder="1" applyAlignment="1">
      <alignment wrapText="1"/>
    </xf>
    <xf numFmtId="164" fontId="3" fillId="0" borderId="95" xfId="7" applyNumberFormat="1" applyFont="1" applyBorder="1"/>
    <xf numFmtId="164" fontId="3" fillId="0" borderId="80" xfId="7" applyNumberFormat="1" applyFont="1" applyBorder="1"/>
    <xf numFmtId="0" fontId="99" fillId="0" borderId="95" xfId="0" applyFont="1" applyBorder="1" applyAlignment="1">
      <alignment horizontal="left" wrapText="1" indent="2"/>
    </xf>
    <xf numFmtId="169" fontId="9" fillId="36" borderId="95" xfId="20" applyBorder="1"/>
    <xf numFmtId="164" fontId="3" fillId="0" borderId="95" xfId="7" applyNumberFormat="1" applyFont="1" applyBorder="1" applyAlignment="1">
      <alignment vertical="center"/>
    </xf>
    <xf numFmtId="0" fontId="4" fillId="0" borderId="18" xfId="0" applyFont="1" applyBorder="1"/>
    <xf numFmtId="0" fontId="4" fillId="0" borderId="95" xfId="0" applyFont="1" applyBorder="1" applyAlignment="1">
      <alignment wrapText="1"/>
    </xf>
    <xf numFmtId="164" fontId="4" fillId="0" borderId="80" xfId="7" applyNumberFormat="1" applyFont="1" applyBorder="1"/>
    <xf numFmtId="0" fontId="109" fillId="3" borderId="62" xfId="0" applyFont="1" applyFill="1" applyBorder="1" applyAlignment="1">
      <alignment horizontal="left"/>
    </xf>
    <xf numFmtId="0" fontId="109"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2" xfId="7" applyNumberFormat="1" applyFont="1" applyFill="1" applyBorder="1"/>
    <xf numFmtId="164" fontId="3" fillId="0" borderId="95" xfId="7" applyNumberFormat="1" applyFont="1" applyFill="1" applyBorder="1"/>
    <xf numFmtId="164" fontId="3" fillId="0" borderId="95" xfId="7" applyNumberFormat="1" applyFont="1" applyFill="1" applyBorder="1" applyAlignment="1">
      <alignment vertical="center"/>
    </xf>
    <xf numFmtId="0" fontId="99"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21" xfId="0" applyFont="1" applyBorder="1"/>
    <xf numFmtId="0" fontId="4" fillId="0" borderId="22" xfId="0" applyFont="1" applyBorder="1" applyAlignment="1">
      <alignment wrapText="1"/>
    </xf>
    <xf numFmtId="10" fontId="4" fillId="0" borderId="23" xfId="20950" applyNumberFormat="1" applyFont="1" applyBorder="1"/>
    <xf numFmtId="0" fontId="2" fillId="2" borderId="86" xfId="0" applyFont="1" applyFill="1" applyBorder="1" applyAlignment="1">
      <alignment horizontal="right" vertical="center"/>
    </xf>
    <xf numFmtId="0" fontId="2" fillId="0" borderId="93" xfId="0" applyFont="1" applyBorder="1" applyAlignment="1">
      <alignment vertical="center" wrapText="1"/>
    </xf>
    <xf numFmtId="191" fontId="2" fillId="2" borderId="93" xfId="0" applyNumberFormat="1" applyFont="1" applyFill="1" applyBorder="1" applyAlignment="1" applyProtection="1">
      <alignment vertical="center"/>
      <protection locked="0"/>
    </xf>
    <xf numFmtId="191" fontId="87" fillId="2" borderId="93" xfId="0" applyNumberFormat="1" applyFont="1" applyFill="1" applyBorder="1" applyAlignment="1" applyProtection="1">
      <alignment vertical="center"/>
      <protection locked="0"/>
    </xf>
    <xf numFmtId="191" fontId="87" fillId="2" borderId="89"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7" xfId="0" applyFont="1" applyBorder="1" applyAlignment="1">
      <alignment horizontal="left" vertical="center" wrapText="1"/>
    </xf>
    <xf numFmtId="0" fontId="6" fillId="0" borderId="110" xfId="17" applyBorder="1" applyAlignment="1" applyProtection="1"/>
    <xf numFmtId="0" fontId="111" fillId="0" borderId="0" xfId="0" applyFont="1" applyAlignment="1">
      <alignment horizontal="left" vertical="top" wrapText="1"/>
    </xf>
    <xf numFmtId="0" fontId="0" fillId="0" borderId="110" xfId="0" applyBorder="1" applyAlignment="1">
      <alignment horizontal="center"/>
    </xf>
    <xf numFmtId="0" fontId="122" fillId="3" borderId="110" xfId="20954" applyFont="1" applyFill="1" applyBorder="1" applyAlignment="1">
      <alignment horizontal="left" vertical="center" wrapText="1"/>
    </xf>
    <xf numFmtId="0" fontId="123" fillId="0" borderId="110" xfId="20954" applyFont="1" applyBorder="1" applyAlignment="1">
      <alignment horizontal="left" vertical="center" wrapText="1" indent="1"/>
    </xf>
    <xf numFmtId="0" fontId="124" fillId="3" borderId="120" xfId="0" applyFont="1" applyFill="1" applyBorder="1" applyAlignment="1">
      <alignment horizontal="left" vertical="center" wrapText="1"/>
    </xf>
    <xf numFmtId="0" fontId="123" fillId="3" borderId="110" xfId="20954" applyFont="1" applyFill="1" applyBorder="1" applyAlignment="1">
      <alignment horizontal="left" vertical="center" wrapText="1" indent="1"/>
    </xf>
    <xf numFmtId="0" fontId="122" fillId="0" borderId="120" xfId="0" applyFont="1" applyBorder="1" applyAlignment="1">
      <alignment horizontal="left" vertical="center" wrapText="1"/>
    </xf>
    <xf numFmtId="0" fontId="124" fillId="0" borderId="120" xfId="0" applyFont="1" applyBorder="1" applyAlignment="1">
      <alignment horizontal="left" vertical="center" wrapText="1"/>
    </xf>
    <xf numFmtId="0" fontId="124" fillId="0" borderId="120" xfId="0" applyFont="1" applyBorder="1" applyAlignment="1">
      <alignment vertical="center" wrapText="1"/>
    </xf>
    <xf numFmtId="0" fontId="125" fillId="0" borderId="120" xfId="0" applyFont="1" applyBorder="1" applyAlignment="1">
      <alignment horizontal="left" vertical="center" wrapText="1" indent="1"/>
    </xf>
    <xf numFmtId="0" fontId="125" fillId="3" borderId="120" xfId="0" applyFont="1" applyFill="1" applyBorder="1" applyAlignment="1">
      <alignment horizontal="left" vertical="center" wrapText="1" indent="1"/>
    </xf>
    <xf numFmtId="0" fontId="124" fillId="3" borderId="121" xfId="0" applyFont="1" applyFill="1" applyBorder="1" applyAlignment="1">
      <alignment horizontal="left" vertical="center" wrapText="1"/>
    </xf>
    <xf numFmtId="0" fontId="125" fillId="0" borderId="110" xfId="20954" applyFont="1" applyBorder="1" applyAlignment="1">
      <alignment horizontal="left" vertical="center" wrapText="1" indent="1"/>
    </xf>
    <xf numFmtId="0" fontId="124" fillId="0" borderId="110" xfId="0" applyFont="1" applyBorder="1" applyAlignment="1">
      <alignment horizontal="left" vertical="center" wrapText="1"/>
    </xf>
    <xf numFmtId="0" fontId="126" fillId="0" borderId="110" xfId="20954" applyFont="1" applyBorder="1" applyAlignment="1">
      <alignment horizontal="center" vertical="center" wrapText="1"/>
    </xf>
    <xf numFmtId="0" fontId="124" fillId="3" borderId="122" xfId="0" applyFont="1" applyFill="1" applyBorder="1" applyAlignment="1">
      <alignment horizontal="left" vertical="center" wrapText="1"/>
    </xf>
    <xf numFmtId="0" fontId="0" fillId="0" borderId="123" xfId="0" applyBorder="1" applyAlignment="1">
      <alignment horizontal="center"/>
    </xf>
    <xf numFmtId="0" fontId="123" fillId="3" borderId="123" xfId="20954" applyFont="1" applyFill="1" applyBorder="1" applyAlignment="1">
      <alignment horizontal="left" vertical="center" wrapText="1" indent="1"/>
    </xf>
    <xf numFmtId="0" fontId="123" fillId="3" borderId="120" xfId="0" applyFont="1" applyFill="1" applyBorder="1" applyAlignment="1">
      <alignment horizontal="left" vertical="center" wrapText="1" indent="1"/>
    </xf>
    <xf numFmtId="0" fontId="123" fillId="0" borderId="123" xfId="20954" applyFont="1" applyBorder="1" applyAlignment="1">
      <alignment horizontal="left" vertical="center" wrapText="1" indent="1"/>
    </xf>
    <xf numFmtId="0" fontId="124" fillId="0" borderId="123" xfId="20954" applyFont="1" applyBorder="1" applyAlignment="1">
      <alignment horizontal="left" vertical="center" wrapText="1"/>
    </xf>
    <xf numFmtId="0" fontId="124" fillId="0" borderId="123" xfId="0" applyFont="1" applyBorder="1" applyAlignment="1">
      <alignment vertical="center" wrapText="1"/>
    </xf>
    <xf numFmtId="0" fontId="126" fillId="0" borderId="123" xfId="20954" applyFont="1" applyBorder="1" applyAlignment="1">
      <alignment horizontal="center" vertical="center" wrapText="1"/>
    </xf>
    <xf numFmtId="0" fontId="124" fillId="3" borderId="123" xfId="20954" applyFont="1" applyFill="1" applyBorder="1" applyAlignment="1">
      <alignment horizontal="left" vertical="center" wrapText="1"/>
    </xf>
    <xf numFmtId="0" fontId="124" fillId="0" borderId="123" xfId="0" applyFont="1" applyBorder="1" applyAlignment="1">
      <alignment horizontal="left" vertical="center" wrapText="1"/>
    </xf>
    <xf numFmtId="0" fontId="2" fillId="0" borderId="123" xfId="0" applyFont="1" applyBorder="1" applyAlignment="1">
      <alignment horizontal="center" vertical="center" wrapText="1"/>
    </xf>
    <xf numFmtId="0" fontId="0" fillId="0" borderId="123" xfId="0" applyBorder="1" applyAlignment="1">
      <alignment horizontal="center" vertical="center"/>
    </xf>
    <xf numFmtId="0" fontId="124" fillId="0" borderId="128" xfId="0" applyFont="1" applyBorder="1" applyAlignment="1">
      <alignment horizontal="justify" vertical="center" wrapText="1"/>
    </xf>
    <xf numFmtId="0" fontId="123" fillId="0" borderId="120" xfId="0" applyFont="1" applyBorder="1" applyAlignment="1">
      <alignment horizontal="left" vertical="center" wrapText="1" indent="1"/>
    </xf>
    <xf numFmtId="0" fontId="123" fillId="0" borderId="121" xfId="0" applyFont="1" applyBorder="1" applyAlignment="1">
      <alignment horizontal="left" vertical="center" wrapText="1" indent="1"/>
    </xf>
    <xf numFmtId="0" fontId="124" fillId="0" borderId="120" xfId="0" applyFont="1" applyBorder="1" applyAlignment="1">
      <alignment horizontal="justify" vertical="center" wrapText="1"/>
    </xf>
    <xf numFmtId="0" fontId="122" fillId="0" borderId="120" xfId="0" applyFont="1" applyBorder="1" applyAlignment="1">
      <alignment horizontal="justify" vertical="center" wrapText="1"/>
    </xf>
    <xf numFmtId="0" fontId="124" fillId="3" borderId="120" xfId="0" applyFont="1" applyFill="1" applyBorder="1" applyAlignment="1">
      <alignment horizontal="justify" vertical="center" wrapText="1"/>
    </xf>
    <xf numFmtId="0" fontId="124" fillId="0" borderId="121" xfId="0" applyFont="1" applyBorder="1" applyAlignment="1">
      <alignment horizontal="justify" vertical="center" wrapText="1"/>
    </xf>
    <xf numFmtId="0" fontId="124" fillId="0" borderId="122" xfId="0" applyFont="1" applyBorder="1" applyAlignment="1">
      <alignment horizontal="justify" vertical="center" wrapText="1"/>
    </xf>
    <xf numFmtId="0" fontId="122" fillId="0" borderId="120" xfId="0" applyFont="1" applyBorder="1" applyAlignment="1">
      <alignment vertical="center" wrapText="1"/>
    </xf>
    <xf numFmtId="0" fontId="123" fillId="0" borderId="120" xfId="0" applyFont="1" applyBorder="1" applyAlignment="1">
      <alignment horizontal="left" vertical="center" wrapText="1"/>
    </xf>
    <xf numFmtId="0" fontId="124" fillId="0" borderId="129" xfId="0" applyFont="1" applyBorder="1" applyAlignment="1">
      <alignment vertical="center" wrapText="1"/>
    </xf>
    <xf numFmtId="0" fontId="124" fillId="3" borderId="120" xfId="0" applyFont="1" applyFill="1" applyBorder="1" applyAlignment="1">
      <alignment vertical="center" wrapText="1"/>
    </xf>
    <xf numFmtId="0" fontId="2" fillId="0" borderId="126" xfId="0" applyFont="1" applyBorder="1" applyAlignment="1">
      <alignment horizontal="left" vertical="center" wrapText="1" indent="4"/>
    </xf>
    <xf numFmtId="0" fontId="45" fillId="0" borderId="126" xfId="0" applyFont="1" applyBorder="1" applyAlignment="1">
      <alignment vertical="center" wrapText="1"/>
    </xf>
    <xf numFmtId="0" fontId="2" fillId="0" borderId="123" xfId="0" applyFont="1" applyBorder="1" applyAlignment="1" applyProtection="1">
      <alignment horizontal="left" vertical="center" indent="11"/>
      <protection locked="0"/>
    </xf>
    <xf numFmtId="0" fontId="46" fillId="0" borderId="123" xfId="0" applyFont="1" applyBorder="1" applyAlignment="1" applyProtection="1">
      <alignment horizontal="left" vertical="center" indent="17"/>
      <protection locked="0"/>
    </xf>
    <xf numFmtId="0" fontId="2" fillId="0" borderId="126" xfId="0" applyFont="1" applyBorder="1" applyAlignment="1">
      <alignment horizontal="left" vertical="center" wrapText="1"/>
    </xf>
    <xf numFmtId="191" fontId="94" fillId="0" borderId="0" xfId="0" applyNumberFormat="1" applyFont="1" applyAlignment="1">
      <alignment horizontal="right"/>
    </xf>
    <xf numFmtId="0" fontId="123" fillId="3" borderId="121" xfId="0" applyFont="1" applyFill="1" applyBorder="1" applyAlignment="1">
      <alignment horizontal="left" vertical="center" wrapText="1" indent="1"/>
    </xf>
    <xf numFmtId="0" fontId="123" fillId="3" borderId="123" xfId="0" applyFont="1" applyFill="1" applyBorder="1" applyAlignment="1">
      <alignment horizontal="left" vertical="center" wrapText="1" indent="1"/>
    </xf>
    <xf numFmtId="0" fontId="123" fillId="0" borderId="123" xfId="0" applyFont="1" applyBorder="1" applyAlignment="1">
      <alignment horizontal="left" vertical="center" wrapText="1" indent="1"/>
    </xf>
    <xf numFmtId="0" fontId="124" fillId="3" borderId="123" xfId="0" applyFont="1" applyFill="1" applyBorder="1" applyAlignment="1">
      <alignment horizontal="left" vertical="center" wrapText="1"/>
    </xf>
    <xf numFmtId="0" fontId="125" fillId="3" borderId="123" xfId="0" applyFont="1" applyFill="1" applyBorder="1" applyAlignment="1">
      <alignment horizontal="left" vertical="center" wrapText="1" indent="1"/>
    </xf>
    <xf numFmtId="0" fontId="127" fillId="0" borderId="123" xfId="0" applyFont="1" applyBorder="1" applyAlignment="1">
      <alignment horizontal="justify"/>
    </xf>
    <xf numFmtId="167" fontId="88" fillId="0" borderId="57" xfId="0" applyNumberFormat="1" applyFont="1" applyBorder="1" applyAlignment="1">
      <alignment horizontal="center"/>
    </xf>
    <xf numFmtId="167" fontId="46" fillId="0" borderId="57" xfId="0" applyNumberFormat="1" applyFont="1" applyBorder="1" applyAlignment="1">
      <alignment horizontal="center"/>
    </xf>
    <xf numFmtId="0" fontId="84" fillId="0" borderId="123" xfId="0" applyFont="1" applyBorder="1" applyAlignment="1">
      <alignment horizontal="center"/>
    </xf>
    <xf numFmtId="0" fontId="114" fillId="0" borderId="123" xfId="0" applyFont="1" applyBorder="1"/>
    <xf numFmtId="49" fontId="116" fillId="0" borderId="123" xfId="5" applyNumberFormat="1" applyFont="1" applyBorder="1" applyAlignment="1" applyProtection="1">
      <alignment horizontal="right" vertical="center"/>
      <protection locked="0"/>
    </xf>
    <xf numFmtId="0" fontId="115" fillId="3" borderId="123" xfId="13" applyFont="1" applyFill="1" applyBorder="1" applyAlignment="1" applyProtection="1">
      <alignment horizontal="left" vertical="center" wrapText="1"/>
      <protection locked="0"/>
    </xf>
    <xf numFmtId="49" fontId="115" fillId="3" borderId="123" xfId="5" applyNumberFormat="1" applyFont="1" applyFill="1" applyBorder="1" applyAlignment="1" applyProtection="1">
      <alignment horizontal="right" vertical="center"/>
      <protection locked="0"/>
    </xf>
    <xf numFmtId="0" fontId="115" fillId="0" borderId="123" xfId="13" applyFont="1" applyBorder="1" applyAlignment="1" applyProtection="1">
      <alignment horizontal="left" vertical="center" wrapText="1"/>
      <protection locked="0"/>
    </xf>
    <xf numFmtId="49" fontId="115" fillId="0" borderId="123" xfId="5" applyNumberFormat="1" applyFont="1" applyBorder="1" applyAlignment="1" applyProtection="1">
      <alignment horizontal="right" vertical="center"/>
      <protection locked="0"/>
    </xf>
    <xf numFmtId="0" fontId="117" fillId="0" borderId="123" xfId="13" applyFont="1" applyBorder="1" applyAlignment="1" applyProtection="1">
      <alignment horizontal="left" vertical="center" wrapText="1"/>
      <protection locked="0"/>
    </xf>
    <xf numFmtId="0" fontId="114" fillId="0" borderId="123" xfId="0" applyFont="1" applyBorder="1" applyAlignment="1">
      <alignment horizontal="center" vertical="center" wrapText="1"/>
    </xf>
    <xf numFmtId="14" fontId="111" fillId="0" borderId="0" xfId="0" applyNumberFormat="1" applyFont="1"/>
    <xf numFmtId="43" fontId="96" fillId="0" borderId="0" xfId="7" applyFont="1"/>
    <xf numFmtId="0" fontId="111" fillId="0" borderId="0" xfId="0" applyFont="1" applyAlignment="1">
      <alignment wrapText="1"/>
    </xf>
    <xf numFmtId="0" fontId="110" fillId="0" borderId="123" xfId="0" applyFont="1" applyBorder="1"/>
    <xf numFmtId="0" fontId="110" fillId="0" borderId="123" xfId="0" applyFont="1" applyBorder="1" applyAlignment="1">
      <alignment horizontal="left" indent="8"/>
    </xf>
    <xf numFmtId="0" fontId="110" fillId="0" borderId="123" xfId="0" applyFont="1" applyBorder="1" applyAlignment="1">
      <alignment wrapText="1"/>
    </xf>
    <xf numFmtId="0" fontId="114" fillId="0" borderId="0" xfId="0" applyFont="1"/>
    <xf numFmtId="0" fontId="113" fillId="0" borderId="123" xfId="0" applyFont="1" applyBorder="1"/>
    <xf numFmtId="49" fontId="116" fillId="0" borderId="123" xfId="5" applyNumberFormat="1" applyFont="1" applyBorder="1" applyAlignment="1" applyProtection="1">
      <alignment horizontal="right" vertical="center" wrapText="1"/>
      <protection locked="0"/>
    </xf>
    <xf numFmtId="49" fontId="115" fillId="3" borderId="123" xfId="5" applyNumberFormat="1" applyFont="1" applyFill="1" applyBorder="1" applyAlignment="1" applyProtection="1">
      <alignment horizontal="right" vertical="center" wrapText="1"/>
      <protection locked="0"/>
    </xf>
    <xf numFmtId="49" fontId="115" fillId="0" borderId="123" xfId="5" applyNumberFormat="1" applyFont="1" applyBorder="1" applyAlignment="1" applyProtection="1">
      <alignment horizontal="right" vertical="center" wrapText="1"/>
      <protection locked="0"/>
    </xf>
    <xf numFmtId="0" fontId="110" fillId="0" borderId="123"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123"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23" xfId="0" applyFont="1" applyBorder="1" applyAlignment="1">
      <alignment horizontal="left" vertical="center" wrapText="1"/>
    </xf>
    <xf numFmtId="0" fontId="113" fillId="0" borderId="123" xfId="0" applyFont="1" applyBorder="1" applyAlignment="1">
      <alignment horizontal="left" wrapText="1" indent="1"/>
    </xf>
    <xf numFmtId="0" fontId="113" fillId="0" borderId="123" xfId="0" applyFont="1" applyBorder="1" applyAlignment="1">
      <alignment horizontal="left" vertical="center" indent="1"/>
    </xf>
    <xf numFmtId="0" fontId="111" fillId="0" borderId="123" xfId="0" applyFont="1" applyBorder="1"/>
    <xf numFmtId="0" fontId="110" fillId="0" borderId="123" xfId="0" applyFont="1" applyBorder="1" applyAlignment="1">
      <alignment horizontal="left" wrapText="1" indent="1"/>
    </xf>
    <xf numFmtId="0" fontId="110" fillId="0" borderId="123" xfId="0" applyFont="1" applyBorder="1" applyAlignment="1">
      <alignment horizontal="left" indent="1"/>
    </xf>
    <xf numFmtId="0" fontId="110" fillId="0" borderId="123" xfId="0" applyFont="1" applyBorder="1" applyAlignment="1">
      <alignment horizontal="left" wrapText="1" indent="4"/>
    </xf>
    <xf numFmtId="0" fontId="110" fillId="0" borderId="123" xfId="0" applyFont="1" applyBorder="1" applyAlignment="1">
      <alignment horizontal="left" indent="3"/>
    </xf>
    <xf numFmtId="0" fontId="113" fillId="0" borderId="123" xfId="0" applyFont="1" applyBorder="1" applyAlignment="1">
      <alignment horizontal="left" indent="1"/>
    </xf>
    <xf numFmtId="0" fontId="114" fillId="0" borderId="7" xfId="0" applyFont="1" applyBorder="1"/>
    <xf numFmtId="0" fontId="111" fillId="0" borderId="123" xfId="0" applyFont="1" applyBorder="1" applyAlignment="1">
      <alignment horizontal="left" wrapText="1" indent="2"/>
    </xf>
    <xf numFmtId="0" fontId="111" fillId="0" borderId="123" xfId="0" applyFont="1" applyBorder="1" applyAlignment="1">
      <alignment horizontal="left" wrapText="1"/>
    </xf>
    <xf numFmtId="0" fontId="110" fillId="0" borderId="123" xfId="0" applyFont="1" applyBorder="1" applyAlignment="1">
      <alignment horizontal="center"/>
    </xf>
    <xf numFmtId="0" fontId="110" fillId="0" borderId="0" xfId="0" applyFont="1" applyAlignment="1">
      <alignment horizontal="center" vertical="center"/>
    </xf>
    <xf numFmtId="0" fontId="110" fillId="0" borderId="7" xfId="0" applyFont="1" applyBorder="1" applyAlignment="1">
      <alignment horizontal="center" vertical="center" wrapText="1"/>
    </xf>
    <xf numFmtId="0" fontId="110" fillId="0" borderId="7" xfId="0" applyFont="1" applyBorder="1" applyAlignment="1">
      <alignment wrapText="1"/>
    </xf>
    <xf numFmtId="0" fontId="110" fillId="0" borderId="0" xfId="0" applyFont="1" applyAlignment="1">
      <alignment horizontal="center" vertical="center" wrapText="1"/>
    </xf>
    <xf numFmtId="0" fontId="110" fillId="0" borderId="102" xfId="0" applyFont="1" applyBorder="1" applyAlignment="1">
      <alignment horizontal="center" vertical="center" wrapText="1"/>
    </xf>
    <xf numFmtId="0" fontId="110" fillId="0" borderId="126" xfId="0" applyFont="1" applyBorder="1" applyAlignment="1">
      <alignment horizontal="center" vertical="center" wrapText="1"/>
    </xf>
    <xf numFmtId="0" fontId="110" fillId="0" borderId="103" xfId="0" applyFont="1" applyBorder="1" applyAlignment="1">
      <alignment horizontal="center" vertical="center" wrapText="1"/>
    </xf>
    <xf numFmtId="49" fontId="110" fillId="0" borderId="23" xfId="0" applyNumberFormat="1" applyFont="1" applyBorder="1" applyAlignment="1">
      <alignment horizontal="left" wrapText="1" indent="1"/>
    </xf>
    <xf numFmtId="0" fontId="110" fillId="0" borderId="21" xfId="0" applyFont="1" applyBorder="1" applyAlignment="1">
      <alignment horizontal="left" wrapText="1" indent="1"/>
    </xf>
    <xf numFmtId="49" fontId="110" fillId="0" borderId="80" xfId="0" applyNumberFormat="1" applyFont="1" applyBorder="1" applyAlignment="1">
      <alignment horizontal="left" wrapText="1" indent="1"/>
    </xf>
    <xf numFmtId="0" fontId="110" fillId="0" borderId="18" xfId="0" applyFont="1" applyBorder="1" applyAlignment="1">
      <alignment horizontal="left" wrapText="1" indent="1"/>
    </xf>
    <xf numFmtId="49" fontId="110" fillId="0" borderId="18" xfId="0" applyNumberFormat="1" applyFont="1" applyBorder="1" applyAlignment="1">
      <alignment horizontal="left" wrapText="1" indent="3"/>
    </xf>
    <xf numFmtId="49" fontId="110" fillId="0" borderId="80" xfId="0" applyNumberFormat="1" applyFont="1" applyBorder="1" applyAlignment="1">
      <alignment horizontal="left" wrapText="1" indent="3"/>
    </xf>
    <xf numFmtId="49" fontId="110" fillId="0" borderId="18" xfId="0" applyNumberFormat="1" applyFont="1" applyBorder="1" applyAlignment="1">
      <alignment horizontal="left" wrapText="1" indent="2"/>
    </xf>
    <xf numFmtId="49" fontId="110" fillId="0" borderId="80" xfId="0" applyNumberFormat="1" applyFont="1" applyBorder="1" applyAlignment="1">
      <alignment horizontal="left" wrapText="1" indent="2"/>
    </xf>
    <xf numFmtId="49" fontId="110" fillId="0" borderId="80" xfId="0" applyNumberFormat="1" applyFont="1" applyBorder="1" applyAlignment="1">
      <alignment horizontal="left" vertical="top" wrapText="1" indent="2"/>
    </xf>
    <xf numFmtId="49" fontId="110" fillId="0" borderId="80" xfId="0" applyNumberFormat="1" applyFont="1" applyBorder="1" applyAlignment="1">
      <alignment horizontal="left" indent="1"/>
    </xf>
    <xf numFmtId="0" fontId="110" fillId="0" borderId="18" xfId="0" applyFont="1" applyBorder="1" applyAlignment="1">
      <alignment horizontal="left" indent="1"/>
    </xf>
    <xf numFmtId="49" fontId="110" fillId="0" borderId="18" xfId="0" applyNumberFormat="1" applyFont="1" applyBorder="1" applyAlignment="1">
      <alignment horizontal="left" indent="1"/>
    </xf>
    <xf numFmtId="49" fontId="110" fillId="0" borderId="18" xfId="0" applyNumberFormat="1" applyFont="1" applyBorder="1" applyAlignment="1">
      <alignment horizontal="left" indent="3"/>
    </xf>
    <xf numFmtId="49" fontId="110" fillId="0" borderId="80" xfId="0" applyNumberFormat="1" applyFont="1" applyBorder="1" applyAlignment="1">
      <alignment horizontal="left" indent="3"/>
    </xf>
    <xf numFmtId="0" fontId="110" fillId="0" borderId="18" xfId="0" applyFont="1" applyBorder="1" applyAlignment="1">
      <alignment horizontal="left" indent="2"/>
    </xf>
    <xf numFmtId="0" fontId="110" fillId="0" borderId="80" xfId="0" applyFont="1" applyBorder="1" applyAlignment="1">
      <alignment horizontal="left" indent="2"/>
    </xf>
    <xf numFmtId="0" fontId="110" fillId="0" borderId="80" xfId="0" applyFont="1" applyBorder="1" applyAlignment="1">
      <alignment horizontal="left" indent="1"/>
    </xf>
    <xf numFmtId="0" fontId="113" fillId="0" borderId="63" xfId="0" applyFont="1" applyBorder="1"/>
    <xf numFmtId="0" fontId="110" fillId="0" borderId="66" xfId="0" applyFont="1" applyBorder="1"/>
    <xf numFmtId="0" fontId="110" fillId="0" borderId="74" xfId="0" applyFont="1" applyBorder="1" applyAlignment="1">
      <alignment horizontal="center" vertical="center" wrapText="1"/>
    </xf>
    <xf numFmtId="0" fontId="110" fillId="0" borderId="80" xfId="0" applyFont="1" applyBorder="1" applyAlignment="1">
      <alignment horizontal="center" vertical="center" wrapText="1"/>
    </xf>
    <xf numFmtId="0" fontId="110" fillId="0" borderId="0" xfId="0" applyFont="1" applyAlignment="1">
      <alignment horizontal="left"/>
    </xf>
    <xf numFmtId="0" fontId="113" fillId="0" borderId="123" xfId="0" applyFont="1" applyBorder="1" applyAlignment="1">
      <alignment horizontal="left" vertical="center" wrapText="1"/>
    </xf>
    <xf numFmtId="0" fontId="115" fillId="0" borderId="0" xfId="0" applyFont="1"/>
    <xf numFmtId="0" fontId="94" fillId="0" borderId="0" xfId="0" applyFont="1" applyAlignment="1">
      <alignment wrapText="1"/>
    </xf>
    <xf numFmtId="0" fontId="113" fillId="0" borderId="123"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18" xfId="0" applyFont="1" applyBorder="1" applyAlignment="1">
      <alignment horizontal="left" vertical="center" wrapText="1" indent="1" readingOrder="1"/>
    </xf>
    <xf numFmtId="0" fontId="131" fillId="0" borderId="123" xfId="0" applyFont="1" applyBorder="1" applyAlignment="1">
      <alignment horizontal="left" indent="3"/>
    </xf>
    <xf numFmtId="0" fontId="113" fillId="0" borderId="123" xfId="0" applyFont="1" applyBorder="1" applyAlignment="1">
      <alignment vertical="center" wrapText="1" readingOrder="1"/>
    </xf>
    <xf numFmtId="0" fontId="131" fillId="0" borderId="123" xfId="0" applyFont="1" applyBorder="1" applyAlignment="1">
      <alignment horizontal="left" indent="2"/>
    </xf>
    <xf numFmtId="0" fontId="110" fillId="0" borderId="119" xfId="0" applyFont="1" applyBorder="1" applyAlignment="1">
      <alignment vertical="center" wrapText="1" readingOrder="1"/>
    </xf>
    <xf numFmtId="0" fontId="131" fillId="0" borderId="127" xfId="0" applyFont="1" applyBorder="1" applyAlignment="1">
      <alignment horizontal="left" indent="2"/>
    </xf>
    <xf numFmtId="0" fontId="110" fillId="0" borderId="118" xfId="0" applyFont="1" applyBorder="1" applyAlignment="1">
      <alignment vertical="center" wrapText="1" readingOrder="1"/>
    </xf>
    <xf numFmtId="0" fontId="110" fillId="0" borderId="117" xfId="0" applyFont="1" applyBorder="1" applyAlignment="1">
      <alignment vertical="center" wrapText="1" readingOrder="1"/>
    </xf>
    <xf numFmtId="0" fontId="131" fillId="0" borderId="7" xfId="0" applyFont="1" applyBorder="1"/>
    <xf numFmtId="167" fontId="132" fillId="79" borderId="56" xfId="0" applyNumberFormat="1" applyFont="1" applyFill="1" applyBorder="1" applyAlignment="1">
      <alignment horizontal="center"/>
    </xf>
    <xf numFmtId="0" fontId="96" fillId="0" borderId="0" xfId="11" applyFont="1"/>
    <xf numFmtId="0" fontId="96" fillId="0" borderId="0" xfId="0" applyFont="1"/>
    <xf numFmtId="14" fontId="3" fillId="0" borderId="0" xfId="0" applyNumberFormat="1" applyFont="1"/>
    <xf numFmtId="0" fontId="133" fillId="0" borderId="0" xfId="11" applyFont="1"/>
    <xf numFmtId="0" fontId="134" fillId="0" borderId="0" xfId="0" applyFont="1"/>
    <xf numFmtId="0" fontId="135" fillId="80" borderId="16" xfId="0" applyFont="1" applyFill="1" applyBorder="1" applyAlignment="1">
      <alignment horizontal="center" vertical="center"/>
    </xf>
    <xf numFmtId="0" fontId="135" fillId="80" borderId="17" xfId="0" applyFont="1" applyFill="1" applyBorder="1" applyAlignment="1">
      <alignment horizontal="center" vertical="center"/>
    </xf>
    <xf numFmtId="0" fontId="135" fillId="81" borderId="123" xfId="0" applyFont="1" applyFill="1" applyBorder="1" applyAlignment="1">
      <alignment horizontal="left" vertical="center"/>
    </xf>
    <xf numFmtId="192" fontId="135" fillId="81" borderId="80" xfId="7" applyNumberFormat="1" applyFont="1" applyFill="1" applyBorder="1" applyAlignment="1">
      <alignment horizontal="left" vertical="center"/>
    </xf>
    <xf numFmtId="49" fontId="137" fillId="0" borderId="123" xfId="0" applyNumberFormat="1" applyFont="1" applyBorder="1" applyAlignment="1">
      <alignment horizontal="left" vertical="center"/>
    </xf>
    <xf numFmtId="192" fontId="137" fillId="0" borderId="80" xfId="7" applyNumberFormat="1" applyFont="1" applyFill="1" applyBorder="1" applyAlignment="1">
      <alignment horizontal="left" vertical="center"/>
    </xf>
    <xf numFmtId="0" fontId="137" fillId="0" borderId="123" xfId="0" applyFont="1" applyBorder="1" applyAlignment="1">
      <alignment horizontal="left" vertical="center"/>
    </xf>
    <xf numFmtId="0" fontId="135" fillId="0" borderId="123" xfId="0" applyFont="1" applyBorder="1" applyAlignment="1">
      <alignment horizontal="left" vertical="center"/>
    </xf>
    <xf numFmtId="10" fontId="96" fillId="0" borderId="80" xfId="0" applyNumberFormat="1" applyFont="1" applyBorder="1" applyAlignment="1">
      <alignment horizontal="right" vertical="center" wrapText="1"/>
    </xf>
    <xf numFmtId="0" fontId="139" fillId="82" borderId="22" xfId="0" applyFont="1" applyFill="1" applyBorder="1" applyAlignment="1">
      <alignment horizontal="left" vertical="center"/>
    </xf>
    <xf numFmtId="10" fontId="133" fillId="83" borderId="23"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42" fillId="0" borderId="0" xfId="0" applyFont="1" applyAlignment="1">
      <alignment vertical="top" wrapText="1"/>
    </xf>
    <xf numFmtId="0" fontId="0" fillId="0" borderId="1" xfId="0" applyBorder="1"/>
    <xf numFmtId="0" fontId="3" fillId="84" borderId="123" xfId="0" applyFont="1" applyFill="1" applyBorder="1" applyAlignment="1">
      <alignment horizontal="center" vertical="center" wrapText="1"/>
    </xf>
    <xf numFmtId="0" fontId="4" fillId="83" borderId="123" xfId="0" applyFont="1" applyFill="1" applyBorder="1" applyAlignment="1">
      <alignment vertical="center" wrapText="1"/>
    </xf>
    <xf numFmtId="192" fontId="4" fillId="83" borderId="123" xfId="7" applyNumberFormat="1" applyFont="1" applyFill="1" applyBorder="1" applyAlignment="1">
      <alignment vertical="center"/>
    </xf>
    <xf numFmtId="192" fontId="4" fillId="83" borderId="80" xfId="7" applyNumberFormat="1" applyFont="1" applyFill="1" applyBorder="1" applyAlignment="1">
      <alignment vertical="center"/>
    </xf>
    <xf numFmtId="0" fontId="137" fillId="81" borderId="123" xfId="0" applyFont="1" applyFill="1" applyBorder="1" applyAlignment="1">
      <alignment horizontal="left" vertical="center" wrapText="1" indent="3"/>
    </xf>
    <xf numFmtId="192" fontId="4" fillId="35" borderId="123" xfId="7" applyNumberFormat="1" applyFont="1" applyFill="1" applyBorder="1" applyAlignment="1">
      <alignment vertical="center"/>
    </xf>
    <xf numFmtId="0" fontId="143" fillId="81" borderId="123" xfId="0" applyFont="1" applyFill="1" applyBorder="1" applyAlignment="1">
      <alignment horizontal="left" vertical="center" wrapText="1" indent="5"/>
    </xf>
    <xf numFmtId="0" fontId="144" fillId="80" borderId="123" xfId="0" applyFont="1" applyFill="1" applyBorder="1" applyAlignment="1">
      <alignment horizontal="left" vertical="center" wrapText="1" indent="1"/>
    </xf>
    <xf numFmtId="192" fontId="144" fillId="80" borderId="123" xfId="7" applyNumberFormat="1" applyFont="1" applyFill="1" applyBorder="1" applyAlignment="1">
      <alignment vertical="center"/>
    </xf>
    <xf numFmtId="192" fontId="144" fillId="82" borderId="80" xfId="7" applyNumberFormat="1" applyFont="1" applyFill="1" applyBorder="1" applyAlignment="1">
      <alignment vertical="center"/>
    </xf>
    <xf numFmtId="192" fontId="145" fillId="81" borderId="123" xfId="7" applyNumberFormat="1" applyFont="1" applyFill="1" applyBorder="1" applyAlignment="1">
      <alignment vertical="center"/>
    </xf>
    <xf numFmtId="192" fontId="145" fillId="82" borderId="80" xfId="7" applyNumberFormat="1" applyFont="1" applyFill="1" applyBorder="1" applyAlignment="1">
      <alignment vertical="center"/>
    </xf>
    <xf numFmtId="192" fontId="145" fillId="81" borderId="22" xfId="7" applyNumberFormat="1" applyFont="1" applyFill="1" applyBorder="1" applyAlignment="1">
      <alignment vertical="center"/>
    </xf>
    <xf numFmtId="192" fontId="145" fillId="82" borderId="23" xfId="7" applyNumberFormat="1" applyFont="1" applyFill="1" applyBorder="1" applyAlignment="1">
      <alignment vertical="center"/>
    </xf>
    <xf numFmtId="0" fontId="349" fillId="0" borderId="0" xfId="0" applyFont="1"/>
    <xf numFmtId="169" fontId="9" fillId="36" borderId="92" xfId="20" applyBorder="1"/>
    <xf numFmtId="0" fontId="94" fillId="0" borderId="185" xfId="0" applyFont="1" applyBorder="1" applyAlignment="1">
      <alignment horizontal="center" vertical="center" wrapText="1"/>
    </xf>
    <xf numFmtId="0" fontId="348" fillId="0" borderId="0" xfId="0" applyFont="1"/>
    <xf numFmtId="0" fontId="94" fillId="0" borderId="0" xfId="0" applyFont="1"/>
    <xf numFmtId="0" fontId="350" fillId="0" borderId="0" xfId="0" applyFont="1"/>
    <xf numFmtId="14" fontId="94" fillId="0" borderId="0" xfId="0" applyNumberFormat="1" applyFont="1"/>
    <xf numFmtId="0" fontId="94" fillId="0" borderId="110" xfId="0" applyFont="1" applyBorder="1" applyAlignment="1">
      <alignment horizontal="center" vertical="center" wrapText="1"/>
    </xf>
    <xf numFmtId="0" fontId="351" fillId="0" borderId="110" xfId="0" applyFont="1" applyBorder="1" applyAlignment="1">
      <alignment horizontal="center" vertical="center"/>
    </xf>
    <xf numFmtId="0" fontId="350" fillId="0" borderId="110" xfId="0" applyFont="1" applyBorder="1" applyAlignment="1">
      <alignment horizontal="center"/>
    </xf>
    <xf numFmtId="0" fontId="120" fillId="3" borderId="110" xfId="20954" applyFont="1" applyFill="1" applyBorder="1" applyAlignment="1">
      <alignment horizontal="left" vertical="center" wrapText="1"/>
    </xf>
    <xf numFmtId="0" fontId="94" fillId="0" borderId="110" xfId="20954" applyFont="1" applyBorder="1" applyAlignment="1">
      <alignment horizontal="left" vertical="center" wrapText="1" indent="1"/>
    </xf>
    <xf numFmtId="0" fontId="352" fillId="3" borderId="120" xfId="0" applyFont="1" applyFill="1" applyBorder="1" applyAlignment="1">
      <alignment horizontal="left" vertical="center" wrapText="1"/>
    </xf>
    <xf numFmtId="0" fontId="94" fillId="3" borderId="110" xfId="20954" applyFont="1" applyFill="1" applyBorder="1" applyAlignment="1">
      <alignment horizontal="left" vertical="center" wrapText="1" indent="1"/>
    </xf>
    <xf numFmtId="0" fontId="120" fillId="0" borderId="120" xfId="0" applyFont="1" applyBorder="1" applyAlignment="1">
      <alignment horizontal="left" vertical="center" wrapText="1"/>
    </xf>
    <xf numFmtId="0" fontId="352" fillId="0" borderId="120" xfId="0" applyFont="1" applyBorder="1" applyAlignment="1">
      <alignment horizontal="left" vertical="center" wrapText="1"/>
    </xf>
    <xf numFmtId="0" fontId="352" fillId="0" borderId="120" xfId="0" applyFont="1" applyBorder="1" applyAlignment="1">
      <alignment vertical="center" wrapText="1"/>
    </xf>
    <xf numFmtId="0" fontId="353" fillId="0" borderId="120" xfId="0" applyFont="1" applyBorder="1" applyAlignment="1">
      <alignment horizontal="left" vertical="center" wrapText="1" indent="1"/>
    </xf>
    <xf numFmtId="0" fontId="353" fillId="3" borderId="120" xfId="0" applyFont="1" applyFill="1" applyBorder="1" applyAlignment="1">
      <alignment horizontal="left" vertical="center" wrapText="1" indent="1"/>
    </xf>
    <xf numFmtId="0" fontId="352" fillId="3" borderId="121" xfId="0" applyFont="1" applyFill="1" applyBorder="1" applyAlignment="1">
      <alignment horizontal="left" vertical="center" wrapText="1"/>
    </xf>
    <xf numFmtId="0" fontId="353" fillId="0" borderId="110" xfId="20954" applyFont="1" applyBorder="1" applyAlignment="1">
      <alignment horizontal="left" vertical="center" wrapText="1" indent="1"/>
    </xf>
    <xf numFmtId="0" fontId="352" fillId="0" borderId="110" xfId="0" applyFont="1" applyBorder="1" applyAlignment="1">
      <alignment horizontal="left" vertical="center" wrapText="1"/>
    </xf>
    <xf numFmtId="0" fontId="352" fillId="0" borderId="110" xfId="20954" applyFont="1" applyBorder="1" applyAlignment="1">
      <alignment horizontal="center" vertical="center" wrapText="1"/>
    </xf>
    <xf numFmtId="0" fontId="352" fillId="3" borderId="122" xfId="0" applyFont="1" applyFill="1" applyBorder="1" applyAlignment="1">
      <alignment horizontal="left" vertical="center" wrapText="1"/>
    </xf>
    <xf numFmtId="0" fontId="350" fillId="0" borderId="123" xfId="0" applyFont="1" applyBorder="1" applyAlignment="1">
      <alignment horizontal="center"/>
    </xf>
    <xf numFmtId="0" fontId="94" fillId="3" borderId="123" xfId="20954" applyFont="1" applyFill="1" applyBorder="1" applyAlignment="1">
      <alignment horizontal="left" vertical="center" wrapText="1" indent="1"/>
    </xf>
    <xf numFmtId="0" fontId="94" fillId="3" borderId="120" xfId="0" applyFont="1" applyFill="1" applyBorder="1" applyAlignment="1">
      <alignment horizontal="left" vertical="center" wrapText="1" indent="1"/>
    </xf>
    <xf numFmtId="0" fontId="94" fillId="0" borderId="123" xfId="20954" applyFont="1" applyBorder="1" applyAlignment="1">
      <alignment horizontal="left" vertical="center" wrapText="1" indent="1"/>
    </xf>
    <xf numFmtId="0" fontId="94" fillId="0" borderId="120" xfId="0" applyFont="1" applyBorder="1" applyAlignment="1">
      <alignment horizontal="left" vertical="center" wrapText="1" indent="1"/>
    </xf>
    <xf numFmtId="0" fontId="94" fillId="0" borderId="121" xfId="0" applyFont="1" applyBorder="1" applyAlignment="1">
      <alignment horizontal="left" vertical="center" wrapText="1" indent="1"/>
    </xf>
    <xf numFmtId="0" fontId="352" fillId="0" borderId="123" xfId="20954" applyFont="1" applyBorder="1" applyAlignment="1">
      <alignment horizontal="left" vertical="center" wrapText="1"/>
    </xf>
    <xf numFmtId="0" fontId="352" fillId="0" borderId="123" xfId="0" applyFont="1" applyBorder="1" applyAlignment="1">
      <alignment vertical="center" wrapText="1"/>
    </xf>
    <xf numFmtId="0" fontId="352" fillId="0" borderId="123" xfId="20954" applyFont="1" applyBorder="1" applyAlignment="1">
      <alignment horizontal="center" vertical="center" wrapText="1"/>
    </xf>
    <xf numFmtId="0" fontId="352" fillId="3" borderId="123" xfId="20954" applyFont="1" applyFill="1" applyBorder="1" applyAlignment="1">
      <alignment horizontal="left" vertical="center" wrapText="1"/>
    </xf>
    <xf numFmtId="0" fontId="354" fillId="0" borderId="0" xfId="0" applyFont="1" applyAlignment="1">
      <alignment horizontal="justify"/>
    </xf>
    <xf numFmtId="0" fontId="352" fillId="0" borderId="123" xfId="0" applyFont="1" applyBorder="1" applyAlignment="1">
      <alignment horizontal="left" vertical="center" wrapText="1"/>
    </xf>
    <xf numFmtId="0" fontId="350" fillId="0" borderId="0" xfId="0" applyFont="1" applyAlignment="1">
      <alignment horizontal="center"/>
    </xf>
    <xf numFmtId="0" fontId="350" fillId="0" borderId="0" xfId="0" applyFont="1" applyAlignment="1">
      <alignment horizontal="left" vertical="center"/>
    </xf>
    <xf numFmtId="0" fontId="86" fillId="0" borderId="123" xfId="0" applyFont="1" applyBorder="1" applyAlignment="1">
      <alignment vertical="center"/>
    </xf>
    <xf numFmtId="0" fontId="45" fillId="0" borderId="123" xfId="0" applyFont="1" applyBorder="1" applyAlignment="1">
      <alignment vertical="center" wrapText="1"/>
    </xf>
    <xf numFmtId="0" fontId="352" fillId="0" borderId="191" xfId="20954" applyFont="1" applyBorder="1" applyAlignment="1">
      <alignment horizontal="left" vertical="center" wrapText="1"/>
    </xf>
    <xf numFmtId="0" fontId="6" fillId="0" borderId="191" xfId="17" applyFill="1" applyBorder="1" applyAlignment="1" applyProtection="1"/>
    <xf numFmtId="49" fontId="84" fillId="0" borderId="191" xfId="0" applyNumberFormat="1" applyFont="1" applyBorder="1" applyAlignment="1">
      <alignment horizontal="right"/>
    </xf>
    <xf numFmtId="0" fontId="84" fillId="0" borderId="191" xfId="0" applyFont="1" applyBorder="1"/>
    <xf numFmtId="0" fontId="355" fillId="3" borderId="0" xfId="37364" applyFont="1" applyFill="1" applyAlignment="1" applyProtection="1">
      <alignment vertical="center"/>
      <protection locked="0"/>
    </xf>
    <xf numFmtId="0" fontId="131" fillId="3" borderId="191" xfId="5" applyFont="1" applyFill="1" applyBorder="1" applyAlignment="1" applyProtection="1">
      <alignment vertical="center" wrapText="1"/>
      <protection locked="0"/>
    </xf>
    <xf numFmtId="0" fontId="131" fillId="0" borderId="191" xfId="37365" applyFont="1" applyBorder="1" applyAlignment="1" applyProtection="1">
      <alignment horizontal="center" vertical="center" wrapText="1"/>
      <protection locked="0"/>
    </xf>
    <xf numFmtId="3" fontId="131" fillId="3" borderId="191" xfId="1" applyNumberFormat="1" applyFont="1" applyFill="1" applyBorder="1" applyAlignment="1" applyProtection="1">
      <alignment horizontal="center" vertical="center" wrapText="1"/>
      <protection locked="0"/>
    </xf>
    <xf numFmtId="9" fontId="131" fillId="3" borderId="191" xfId="15" applyNumberFormat="1" applyFont="1" applyFill="1" applyBorder="1" applyAlignment="1" applyProtection="1">
      <alignment horizontal="center" vertical="center" wrapText="1"/>
      <protection locked="0"/>
    </xf>
    <xf numFmtId="0" fontId="131" fillId="3" borderId="191" xfId="37365" applyFont="1" applyFill="1" applyBorder="1" applyAlignment="1" applyProtection="1">
      <alignment horizontal="center" vertical="center" wrapText="1"/>
      <protection locked="0"/>
    </xf>
    <xf numFmtId="0" fontId="355" fillId="3" borderId="191" xfId="37365" applyFont="1" applyFill="1" applyBorder="1" applyProtection="1">
      <protection locked="0"/>
    </xf>
    <xf numFmtId="3" fontId="131" fillId="151" borderId="191" xfId="5" applyNumberFormat="1" applyFont="1" applyFill="1" applyBorder="1"/>
    <xf numFmtId="0" fontId="356" fillId="3" borderId="191" xfId="37365" applyFont="1" applyFill="1" applyBorder="1" applyAlignment="1" applyProtection="1">
      <alignment horizontal="right"/>
      <protection locked="0"/>
    </xf>
    <xf numFmtId="359" fontId="131" fillId="151" borderId="191" xfId="5" applyNumberFormat="1" applyFont="1" applyFill="1" applyBorder="1" applyProtection="1">
      <protection locked="0"/>
    </xf>
    <xf numFmtId="164" fontId="131" fillId="151" borderId="191" xfId="1" applyNumberFormat="1" applyFont="1" applyFill="1" applyBorder="1" applyAlignment="1" applyProtection="1"/>
    <xf numFmtId="0" fontId="131" fillId="3" borderId="191" xfId="37365" applyFont="1" applyFill="1" applyBorder="1" applyAlignment="1" applyProtection="1">
      <alignment horizontal="left" vertical="center"/>
      <protection locked="0"/>
    </xf>
    <xf numFmtId="3" fontId="131" fillId="3" borderId="191" xfId="5" applyNumberFormat="1" applyFont="1" applyFill="1" applyBorder="1" applyProtection="1">
      <protection locked="0"/>
    </xf>
    <xf numFmtId="0" fontId="131" fillId="3" borderId="191" xfId="5" applyFont="1" applyFill="1" applyBorder="1" applyProtection="1">
      <protection locked="0"/>
    </xf>
    <xf numFmtId="0" fontId="357" fillId="3" borderId="191" xfId="37365" applyFont="1" applyFill="1" applyBorder="1" applyAlignment="1" applyProtection="1">
      <alignment horizontal="right"/>
      <protection locked="0"/>
    </xf>
    <xf numFmtId="0" fontId="131" fillId="0" borderId="191" xfId="37365" applyFont="1" applyBorder="1" applyAlignment="1" applyProtection="1">
      <alignment horizontal="left" vertical="center"/>
      <protection locked="0"/>
    </xf>
    <xf numFmtId="0" fontId="355" fillId="3" borderId="191" xfId="16" applyFont="1" applyFill="1" applyBorder="1" applyProtection="1">
      <protection locked="0"/>
    </xf>
    <xf numFmtId="3" fontId="355" fillId="75" borderId="191" xfId="16" applyNumberFormat="1" applyFont="1" applyFill="1" applyBorder="1"/>
    <xf numFmtId="0" fontId="360" fillId="0" borderId="0" xfId="37364" applyFont="1" applyAlignment="1" applyProtection="1">
      <alignment vertical="center"/>
      <protection locked="0"/>
    </xf>
    <xf numFmtId="0" fontId="131" fillId="0" borderId="191" xfId="37365" applyFont="1" applyBorder="1" applyAlignment="1" applyProtection="1">
      <alignment horizontal="center" vertical="top" wrapText="1"/>
      <protection locked="0"/>
    </xf>
    <xf numFmtId="0" fontId="355" fillId="3" borderId="191" xfId="37365" applyFont="1" applyFill="1" applyBorder="1" applyAlignment="1" applyProtection="1">
      <alignment wrapText="1"/>
      <protection locked="0"/>
    </xf>
    <xf numFmtId="3" fontId="131" fillId="0" borderId="191" xfId="5" applyNumberFormat="1" applyFont="1" applyBorder="1"/>
    <xf numFmtId="0" fontId="120" fillId="75" borderId="96" xfId="20952" applyFont="1" applyFill="1" applyBorder="1">
      <alignment vertical="center"/>
    </xf>
    <xf numFmtId="0" fontId="120" fillId="75" borderId="97" xfId="20952" applyFont="1" applyFill="1" applyBorder="1">
      <alignment vertical="center"/>
    </xf>
    <xf numFmtId="0" fontId="120" fillId="75" borderId="94" xfId="20952" applyFont="1" applyFill="1" applyBorder="1">
      <alignment vertical="center"/>
    </xf>
    <xf numFmtId="164" fontId="120" fillId="75" borderId="94" xfId="7" applyNumberFormat="1" applyFont="1" applyFill="1" applyBorder="1" applyAlignment="1">
      <alignment horizontal="right" vertical="center"/>
    </xf>
    <xf numFmtId="0" fontId="120" fillId="76" borderId="97" xfId="20952" applyFont="1" applyFill="1" applyBorder="1">
      <alignment vertical="center"/>
    </xf>
    <xf numFmtId="0" fontId="120" fillId="3" borderId="97" xfId="20952" applyFont="1" applyFill="1" applyBorder="1">
      <alignment vertical="center"/>
    </xf>
    <xf numFmtId="0" fontId="94" fillId="69" borderId="93" xfId="20952" applyFont="1" applyFill="1" applyBorder="1" applyAlignment="1">
      <alignment horizontal="center" vertical="center"/>
    </xf>
    <xf numFmtId="0" fontId="94" fillId="69" borderId="94" xfId="20952" applyFont="1" applyFill="1" applyBorder="1" applyAlignment="1">
      <alignment horizontal="left" vertical="center" wrapText="1"/>
    </xf>
    <xf numFmtId="164" fontId="94" fillId="0" borderId="95" xfId="7" applyNumberFormat="1" applyFont="1" applyFill="1" applyBorder="1" applyAlignment="1" applyProtection="1">
      <alignment horizontal="right" vertical="center"/>
      <protection locked="0"/>
    </xf>
    <xf numFmtId="0" fontId="120" fillId="76" borderId="95" xfId="20952" applyFont="1" applyFill="1" applyBorder="1" applyAlignment="1">
      <alignment horizontal="center" vertical="center"/>
    </xf>
    <xf numFmtId="0" fontId="120" fillId="76" borderId="97" xfId="20952" applyFont="1" applyFill="1" applyBorder="1" applyAlignment="1">
      <alignment vertical="top" wrapText="1"/>
    </xf>
    <xf numFmtId="0" fontId="94" fillId="69" borderId="97" xfId="20952" applyFont="1" applyFill="1" applyBorder="1" applyAlignment="1">
      <alignment vertical="center" wrapText="1"/>
    </xf>
    <xf numFmtId="0" fontId="94" fillId="69" borderId="94" xfId="20952" applyFont="1" applyFill="1" applyBorder="1" applyAlignment="1">
      <alignment horizontal="left" vertical="center"/>
    </xf>
    <xf numFmtId="360" fontId="94" fillId="0" borderId="95" xfId="7" applyNumberFormat="1" applyFont="1" applyFill="1" applyBorder="1" applyAlignment="1" applyProtection="1">
      <alignment horizontal="right" vertical="center"/>
      <protection locked="0"/>
    </xf>
    <xf numFmtId="0" fontId="94" fillId="3" borderId="93" xfId="20952" applyFont="1" applyFill="1" applyBorder="1" applyAlignment="1">
      <alignment horizontal="center" vertical="center"/>
    </xf>
    <xf numFmtId="164" fontId="94" fillId="76" borderId="95" xfId="7" applyNumberFormat="1" applyFont="1" applyFill="1" applyBorder="1" applyAlignment="1" applyProtection="1">
      <alignment horizontal="right" vertical="center"/>
      <protection locked="0"/>
    </xf>
    <xf numFmtId="164" fontId="94" fillId="3" borderId="95" xfId="7" applyNumberFormat="1" applyFont="1" applyFill="1" applyBorder="1" applyAlignment="1" applyProtection="1">
      <alignment horizontal="right" vertical="center"/>
      <protection locked="0"/>
    </xf>
    <xf numFmtId="0" fontId="94" fillId="69" borderId="95" xfId="20952" applyFont="1" applyFill="1" applyBorder="1" applyAlignment="1">
      <alignment horizontal="center" vertical="center"/>
    </xf>
    <xf numFmtId="0" fontId="350" fillId="0" borderId="0" xfId="0" applyFont="1" applyAlignment="1">
      <alignment wrapText="1"/>
    </xf>
    <xf numFmtId="0" fontId="106" fillId="69" borderId="198" xfId="20952" applyFont="1" applyFill="1" applyBorder="1" applyAlignment="1" applyProtection="1">
      <alignment horizontal="center" vertical="center"/>
      <protection locked="0"/>
    </xf>
    <xf numFmtId="0" fontId="107" fillId="76" borderId="191" xfId="20952" applyFont="1" applyFill="1" applyBorder="1" applyAlignment="1" applyProtection="1">
      <alignment horizontal="center" vertical="center"/>
      <protection locked="0"/>
    </xf>
    <xf numFmtId="0" fontId="362" fillId="0" borderId="0" xfId="0" applyFont="1" applyAlignment="1">
      <alignment horizontal="justify"/>
    </xf>
    <xf numFmtId="0" fontId="85" fillId="0" borderId="204" xfId="0" applyFont="1" applyBorder="1"/>
    <xf numFmtId="0" fontId="6" fillId="0" borderId="204" xfId="17" applyBorder="1" applyAlignment="1" applyProtection="1"/>
    <xf numFmtId="10" fontId="45" fillId="0" borderId="3" xfId="20950" applyNumberFormat="1" applyFont="1" applyBorder="1" applyAlignment="1" applyProtection="1">
      <alignment horizontal="right" vertical="center" wrapText="1"/>
      <protection locked="0"/>
    </xf>
    <xf numFmtId="10" fontId="84" fillId="0" borderId="3" xfId="20950" applyNumberFormat="1" applyFont="1" applyBorder="1" applyAlignment="1" applyProtection="1">
      <alignment vertical="center" wrapText="1"/>
      <protection locked="0"/>
    </xf>
    <xf numFmtId="10" fontId="84" fillId="0" borderId="19" xfId="20950" applyNumberFormat="1" applyFont="1" applyBorder="1" applyAlignment="1" applyProtection="1">
      <alignment vertical="center" wrapText="1"/>
      <protection locked="0"/>
    </xf>
    <xf numFmtId="10" fontId="2" fillId="0" borderId="3" xfId="20950" applyNumberFormat="1" applyFont="1" applyBorder="1" applyAlignment="1" applyProtection="1">
      <alignment horizontal="right" vertical="center" wrapText="1"/>
      <protection locked="0"/>
    </xf>
    <xf numFmtId="10" fontId="2" fillId="2" borderId="3" xfId="20950" applyNumberFormat="1" applyFont="1" applyFill="1" applyBorder="1" applyAlignment="1" applyProtection="1">
      <alignment vertical="center"/>
      <protection locked="0"/>
    </xf>
    <xf numFmtId="10" fontId="87" fillId="2" borderId="3" xfId="20950" applyNumberFormat="1" applyFont="1" applyFill="1" applyBorder="1" applyAlignment="1" applyProtection="1">
      <alignment vertical="center"/>
      <protection locked="0"/>
    </xf>
    <xf numFmtId="10" fontId="87" fillId="2" borderId="19" xfId="20950" applyNumberFormat="1" applyFont="1" applyFill="1" applyBorder="1" applyAlignment="1" applyProtection="1">
      <alignment vertical="center"/>
      <protection locked="0"/>
    </xf>
    <xf numFmtId="10" fontId="84" fillId="0" borderId="3" xfId="20950" applyNumberFormat="1" applyFont="1" applyBorder="1" applyAlignment="1" applyProtection="1">
      <alignment horizontal="center" vertical="center" wrapText="1"/>
      <protection locked="0"/>
    </xf>
    <xf numFmtId="10" fontId="84" fillId="0" borderId="19" xfId="20950" applyNumberFormat="1" applyFont="1" applyBorder="1" applyAlignment="1" applyProtection="1">
      <alignment horizontal="center" vertical="center" wrapText="1"/>
      <protection locked="0"/>
    </xf>
    <xf numFmtId="10" fontId="2" fillId="0" borderId="3" xfId="20950" applyNumberFormat="1" applyFont="1" applyBorder="1" applyAlignment="1" applyProtection="1">
      <alignment horizontal="center" vertical="center" wrapText="1"/>
      <protection locked="0"/>
    </xf>
    <xf numFmtId="10" fontId="2" fillId="2" borderId="93" xfId="20950" applyNumberFormat="1" applyFont="1" applyFill="1" applyBorder="1" applyAlignment="1" applyProtection="1">
      <alignment vertical="center"/>
      <protection locked="0"/>
    </xf>
    <xf numFmtId="10" fontId="87" fillId="2" borderId="93" xfId="20950" applyNumberFormat="1" applyFont="1" applyFill="1" applyBorder="1" applyAlignment="1" applyProtection="1">
      <alignment vertical="center"/>
      <protection locked="0"/>
    </xf>
    <xf numFmtId="10" fontId="87" fillId="2" borderId="89" xfId="20950" applyNumberFormat="1" applyFont="1" applyFill="1" applyBorder="1" applyAlignment="1" applyProtection="1">
      <alignment vertical="center"/>
      <protection locked="0"/>
    </xf>
    <xf numFmtId="10" fontId="2" fillId="2" borderId="22"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0" fontId="87" fillId="2" borderId="23" xfId="20950" applyNumberFormat="1" applyFont="1" applyFill="1" applyBorder="1" applyAlignment="1" applyProtection="1">
      <alignment vertical="center"/>
      <protection locked="0"/>
    </xf>
    <xf numFmtId="164" fontId="350" fillId="0" borderId="110" xfId="7" applyNumberFormat="1" applyFont="1" applyBorder="1"/>
    <xf numFmtId="164" fontId="350" fillId="35" borderId="110" xfId="7" applyNumberFormat="1" applyFont="1" applyFill="1" applyBorder="1"/>
    <xf numFmtId="164" fontId="350" fillId="0" borderId="110" xfId="7" applyNumberFormat="1" applyFont="1" applyBorder="1" applyAlignment="1">
      <alignment vertical="center"/>
    </xf>
    <xf numFmtId="164" fontId="350" fillId="35" borderId="110" xfId="7" applyNumberFormat="1" applyFont="1" applyFill="1" applyBorder="1" applyAlignment="1">
      <alignment vertical="center"/>
    </xf>
    <xf numFmtId="164" fontId="350" fillId="0" borderId="123" xfId="7" applyNumberFormat="1" applyFont="1" applyBorder="1"/>
    <xf numFmtId="164" fontId="350" fillId="35" borderId="123" xfId="7" applyNumberFormat="1" applyFont="1" applyFill="1" applyBorder="1"/>
    <xf numFmtId="164" fontId="350" fillId="0" borderId="0" xfId="0" applyNumberFormat="1" applyFont="1"/>
    <xf numFmtId="164" fontId="0" fillId="0" borderId="0" xfId="7" applyNumberFormat="1" applyFont="1"/>
    <xf numFmtId="164" fontId="0" fillId="0" borderId="123" xfId="7" applyNumberFormat="1" applyFont="1" applyBorder="1"/>
    <xf numFmtId="164" fontId="0" fillId="35" borderId="123" xfId="7" applyNumberFormat="1" applyFont="1" applyFill="1" applyBorder="1"/>
    <xf numFmtId="164" fontId="0" fillId="0" borderId="191" xfId="7" applyNumberFormat="1" applyFont="1" applyBorder="1"/>
    <xf numFmtId="164" fontId="0" fillId="35" borderId="191" xfId="7" applyNumberFormat="1" applyFont="1" applyFill="1" applyBorder="1"/>
    <xf numFmtId="164" fontId="2" fillId="0" borderId="123" xfId="7" applyNumberFormat="1" applyFont="1" applyBorder="1" applyAlignment="1">
      <alignment horizontal="right"/>
    </xf>
    <xf numFmtId="164" fontId="2" fillId="35" borderId="123" xfId="7" applyNumberFormat="1" applyFont="1" applyFill="1" applyBorder="1" applyAlignment="1">
      <alignment horizontal="right"/>
    </xf>
    <xf numFmtId="164" fontId="2" fillId="35" borderId="80" xfId="7" applyNumberFormat="1" applyFont="1" applyFill="1" applyBorder="1" applyAlignment="1">
      <alignment horizontal="right"/>
    </xf>
    <xf numFmtId="164" fontId="94" fillId="0" borderId="191" xfId="7" applyNumberFormat="1" applyFont="1" applyBorder="1" applyAlignment="1">
      <alignment horizontal="right"/>
    </xf>
    <xf numFmtId="164" fontId="94" fillId="35" borderId="191" xfId="7" applyNumberFormat="1" applyFont="1" applyFill="1" applyBorder="1" applyAlignment="1">
      <alignment horizontal="right"/>
    </xf>
    <xf numFmtId="43" fontId="89" fillId="0" borderId="0" xfId="7" applyFont="1"/>
    <xf numFmtId="164" fontId="103" fillId="35" borderId="95" xfId="7" applyNumberFormat="1" applyFont="1" applyFill="1" applyBorder="1" applyAlignment="1">
      <alignment vertical="center" wrapText="1"/>
    </xf>
    <xf numFmtId="164" fontId="103" fillId="35" borderId="96" xfId="7" applyNumberFormat="1" applyFont="1" applyFill="1" applyBorder="1" applyAlignment="1">
      <alignment vertical="center" wrapText="1"/>
    </xf>
    <xf numFmtId="164" fontId="103" fillId="35" borderId="80" xfId="7" applyNumberFormat="1" applyFont="1" applyFill="1" applyBorder="1" applyAlignment="1">
      <alignment vertical="center" wrapText="1"/>
    </xf>
    <xf numFmtId="164" fontId="103" fillId="35" borderId="83" xfId="7" applyNumberFormat="1" applyFont="1" applyFill="1" applyBorder="1" applyAlignment="1">
      <alignment vertical="center" wrapText="1"/>
    </xf>
    <xf numFmtId="164" fontId="89" fillId="0" borderId="0" xfId="7" applyNumberFormat="1" applyFont="1"/>
    <xf numFmtId="164" fontId="103" fillId="0" borderId="95" xfId="7" applyNumberFormat="1" applyFont="1" applyBorder="1" applyAlignment="1">
      <alignment vertical="center" wrapText="1"/>
    </xf>
    <xf numFmtId="164" fontId="103" fillId="0" borderId="96" xfId="7" applyNumberFormat="1" applyFont="1" applyBorder="1" applyAlignment="1">
      <alignment vertical="center" wrapText="1"/>
    </xf>
    <xf numFmtId="164" fontId="103" fillId="0" borderId="83" xfId="7" applyNumberFormat="1" applyFont="1" applyBorder="1" applyAlignment="1">
      <alignment vertical="center" wrapText="1"/>
    </xf>
    <xf numFmtId="164" fontId="103" fillId="35" borderId="22" xfId="7" applyNumberFormat="1" applyFont="1" applyFill="1" applyBorder="1" applyAlignment="1">
      <alignment vertical="center" wrapText="1"/>
    </xf>
    <xf numFmtId="164" fontId="103" fillId="35" borderId="24" xfId="7" applyNumberFormat="1" applyFont="1" applyFill="1" applyBorder="1" applyAlignment="1">
      <alignment vertical="center" wrapText="1"/>
    </xf>
    <xf numFmtId="164" fontId="103" fillId="35" borderId="23" xfId="7" applyNumberFormat="1" applyFont="1" applyFill="1" applyBorder="1" applyAlignment="1">
      <alignment vertical="center" wrapText="1"/>
    </xf>
    <xf numFmtId="164" fontId="103" fillId="35" borderId="38" xfId="7" applyNumberFormat="1" applyFont="1" applyFill="1" applyBorder="1" applyAlignment="1">
      <alignment vertical="center" wrapText="1"/>
    </xf>
    <xf numFmtId="9" fontId="84" fillId="0" borderId="20" xfId="20950" applyFont="1" applyBorder="1"/>
    <xf numFmtId="164" fontId="84" fillId="0" borderId="79" xfId="7" applyNumberFormat="1" applyFont="1" applyFill="1" applyBorder="1" applyAlignment="1">
      <alignment horizontal="center" vertical="center"/>
    </xf>
    <xf numFmtId="164" fontId="85" fillId="0" borderId="0" xfId="7" applyNumberFormat="1" applyFont="1"/>
    <xf numFmtId="164" fontId="84" fillId="0" borderId="123" xfId="7" applyNumberFormat="1" applyFont="1" applyFill="1" applyBorder="1" applyAlignment="1">
      <alignment horizontal="center" vertical="center"/>
    </xf>
    <xf numFmtId="164" fontId="86" fillId="35" borderId="22" xfId="7" applyNumberFormat="1" applyFont="1" applyFill="1" applyBorder="1" applyAlignment="1">
      <alignment horizontal="center" vertical="center"/>
    </xf>
    <xf numFmtId="43" fontId="84" fillId="0" borderId="0" xfId="7" applyFont="1"/>
    <xf numFmtId="361" fontId="84" fillId="0" borderId="0" xfId="7" applyNumberFormat="1" applyFont="1"/>
    <xf numFmtId="164" fontId="84" fillId="0" borderId="0" xfId="7" applyNumberFormat="1" applyFont="1"/>
    <xf numFmtId="164" fontId="2" fillId="0" borderId="0" xfId="7" applyNumberFormat="1" applyFont="1"/>
    <xf numFmtId="164" fontId="2" fillId="3" borderId="17" xfId="7" applyNumberFormat="1" applyFont="1" applyFill="1" applyBorder="1" applyAlignment="1" applyProtection="1">
      <alignment horizontal="center" vertical="center"/>
      <protection locked="0"/>
    </xf>
    <xf numFmtId="164" fontId="2" fillId="35" borderId="19" xfId="7" applyNumberFormat="1" applyFont="1" applyFill="1" applyBorder="1" applyAlignment="1" applyProtection="1">
      <alignment vertical="top"/>
    </xf>
    <xf numFmtId="164" fontId="2" fillId="3" borderId="19" xfId="7" applyNumberFormat="1" applyFont="1" applyFill="1" applyBorder="1" applyAlignment="1" applyProtection="1">
      <alignment vertical="top"/>
      <protection locked="0"/>
    </xf>
    <xf numFmtId="164" fontId="2" fillId="35" borderId="19" xfId="7" applyNumberFormat="1" applyFont="1" applyFill="1" applyBorder="1" applyAlignment="1" applyProtection="1">
      <alignment vertical="top" wrapText="1"/>
    </xf>
    <xf numFmtId="164" fontId="2" fillId="3" borderId="19" xfId="7" applyNumberFormat="1" applyFont="1" applyFill="1" applyBorder="1" applyAlignment="1" applyProtection="1">
      <alignment vertical="top" wrapText="1"/>
      <protection locked="0"/>
    </xf>
    <xf numFmtId="164" fontId="2" fillId="3" borderId="80" xfId="7" applyNumberFormat="1" applyFont="1" applyFill="1" applyBorder="1" applyAlignment="1" applyProtection="1">
      <alignment vertical="top" wrapText="1"/>
      <protection locked="0"/>
    </xf>
    <xf numFmtId="164" fontId="2" fillId="35" borderId="19" xfId="7" applyNumberFormat="1" applyFont="1" applyFill="1" applyBorder="1" applyAlignment="1" applyProtection="1">
      <alignment vertical="top" wrapText="1"/>
      <protection locked="0"/>
    </xf>
    <xf numFmtId="164" fontId="2" fillId="35" borderId="23" xfId="7" applyNumberFormat="1" applyFont="1" applyFill="1" applyBorder="1" applyAlignment="1" applyProtection="1">
      <alignment vertical="top" wrapText="1"/>
    </xf>
    <xf numFmtId="43" fontId="3" fillId="0" borderId="0" xfId="7" applyFont="1" applyAlignment="1">
      <alignment horizontal="left" vertical="center"/>
    </xf>
    <xf numFmtId="164" fontId="3" fillId="0" borderId="80" xfId="7" applyNumberFormat="1" applyFont="1" applyBorder="1" applyAlignment="1">
      <alignment horizontal="right" vertical="center" wrapText="1"/>
    </xf>
    <xf numFmtId="164" fontId="4" fillId="35" borderId="80" xfId="7" applyNumberFormat="1" applyFont="1" applyFill="1" applyBorder="1" applyAlignment="1">
      <alignment horizontal="left" vertical="center" wrapText="1"/>
    </xf>
    <xf numFmtId="164" fontId="4" fillId="35" borderId="80" xfId="7" applyNumberFormat="1" applyFont="1" applyFill="1" applyBorder="1" applyAlignment="1">
      <alignment horizontal="center" vertical="center" wrapText="1"/>
    </xf>
    <xf numFmtId="164" fontId="3" fillId="0" borderId="23" xfId="7" applyNumberFormat="1" applyFont="1" applyBorder="1" applyAlignment="1">
      <alignment horizontal="right" vertical="center" wrapText="1"/>
    </xf>
    <xf numFmtId="167" fontId="86" fillId="0" borderId="205" xfId="0" applyNumberFormat="1" applyFont="1" applyBorder="1" applyAlignment="1">
      <alignment horizontal="center"/>
    </xf>
    <xf numFmtId="167" fontId="84" fillId="0" borderId="204" xfId="0" applyNumberFormat="1" applyFont="1" applyBorder="1" applyAlignment="1">
      <alignment horizontal="center"/>
    </xf>
    <xf numFmtId="167" fontId="86" fillId="0" borderId="204" xfId="0" applyNumberFormat="1" applyFont="1" applyBorder="1" applyAlignment="1">
      <alignment horizontal="center"/>
    </xf>
    <xf numFmtId="0" fontId="84" fillId="0" borderId="204" xfId="0" applyFont="1" applyBorder="1"/>
    <xf numFmtId="164" fontId="84" fillId="0" borderId="31" xfId="7" applyNumberFormat="1" applyFont="1" applyBorder="1" applyAlignment="1">
      <alignment horizontal="center" vertical="center"/>
    </xf>
    <xf numFmtId="164" fontId="84" fillId="0" borderId="11" xfId="7" applyNumberFormat="1" applyFont="1" applyBorder="1" applyAlignment="1">
      <alignment horizontal="center" vertical="center"/>
    </xf>
    <xf numFmtId="164" fontId="88" fillId="0" borderId="11" xfId="7" applyNumberFormat="1" applyFont="1" applyBorder="1" applyAlignment="1">
      <alignment horizontal="center" vertical="center"/>
    </xf>
    <xf numFmtId="164" fontId="84" fillId="0" borderId="12" xfId="7" applyNumberFormat="1" applyFont="1" applyBorder="1" applyAlignment="1">
      <alignment horizontal="center" vertical="center"/>
    </xf>
    <xf numFmtId="164" fontId="86" fillId="0" borderId="13" xfId="7" applyNumberFormat="1" applyFont="1" applyBorder="1" applyAlignment="1">
      <alignment horizontal="center" vertical="center"/>
    </xf>
    <xf numFmtId="164" fontId="84" fillId="0" borderId="14" xfId="7" applyNumberFormat="1" applyFont="1" applyBorder="1" applyAlignment="1">
      <alignment horizontal="center" vertical="center"/>
    </xf>
    <xf numFmtId="164" fontId="88" fillId="0" borderId="12" xfId="7" applyNumberFormat="1" applyFont="1" applyBorder="1" applyAlignment="1">
      <alignment vertical="center"/>
    </xf>
    <xf numFmtId="164" fontId="84" fillId="0" borderId="123" xfId="7" applyNumberFormat="1" applyFont="1" applyBorder="1" applyAlignment="1">
      <alignment horizontal="center" vertical="center"/>
    </xf>
    <xf numFmtId="164" fontId="86" fillId="0" borderId="123" xfId="7" applyNumberFormat="1" applyFont="1" applyBorder="1" applyAlignment="1">
      <alignment horizontal="center" vertical="center"/>
    </xf>
    <xf numFmtId="164" fontId="84" fillId="0" borderId="123" xfId="7" applyNumberFormat="1" applyFont="1" applyBorder="1" applyAlignment="1">
      <alignment horizontal="center"/>
    </xf>
    <xf numFmtId="164" fontId="84" fillId="0" borderId="123" xfId="7" applyNumberFormat="1" applyFont="1" applyBorder="1"/>
    <xf numFmtId="164" fontId="85" fillId="0" borderId="0" xfId="0" applyNumberFormat="1" applyFont="1"/>
    <xf numFmtId="43" fontId="84" fillId="0" borderId="3" xfId="7" applyFont="1" applyBorder="1"/>
    <xf numFmtId="43" fontId="84" fillId="35" borderId="22" xfId="7" applyFont="1" applyFill="1" applyBorder="1"/>
    <xf numFmtId="164" fontId="84" fillId="0" borderId="3" xfId="7" applyNumberFormat="1" applyFont="1" applyBorder="1"/>
    <xf numFmtId="164" fontId="84" fillId="35" borderId="22" xfId="7" applyNumberFormat="1" applyFont="1" applyFill="1" applyBorder="1"/>
    <xf numFmtId="191" fontId="84" fillId="0" borderId="0" xfId="0" applyNumberFormat="1" applyFont="1" applyAlignment="1">
      <alignment horizontal="center" vertical="center" wrapText="1"/>
    </xf>
    <xf numFmtId="43" fontId="84" fillId="0" borderId="0" xfId="7" applyFont="1" applyAlignment="1">
      <alignment horizontal="center" vertical="center" wrapText="1"/>
    </xf>
    <xf numFmtId="43" fontId="84" fillId="0" borderId="18" xfId="7" applyFont="1" applyBorder="1"/>
    <xf numFmtId="43" fontId="84" fillId="0" borderId="19" xfId="7" applyFont="1" applyBorder="1"/>
    <xf numFmtId="43" fontId="84" fillId="0" borderId="20" xfId="7" applyFont="1" applyBorder="1"/>
    <xf numFmtId="43" fontId="84" fillId="35" borderId="52" xfId="7" applyFont="1" applyFill="1" applyBorder="1"/>
    <xf numFmtId="43" fontId="84" fillId="35" borderId="21" xfId="7" applyFont="1" applyFill="1" applyBorder="1"/>
    <xf numFmtId="43" fontId="84" fillId="35" borderId="23" xfId="7" applyFont="1" applyFill="1" applyBorder="1"/>
    <xf numFmtId="43" fontId="84" fillId="35" borderId="53" xfId="7" applyFont="1" applyFill="1" applyBorder="1"/>
    <xf numFmtId="164" fontId="3" fillId="0" borderId="3" xfId="7" applyNumberFormat="1" applyFont="1" applyBorder="1"/>
    <xf numFmtId="164" fontId="3" fillId="0" borderId="8" xfId="7" applyNumberFormat="1" applyFont="1" applyBorder="1"/>
    <xf numFmtId="164" fontId="3" fillId="35" borderId="22" xfId="7" applyNumberFormat="1" applyFont="1" applyFill="1" applyBorder="1"/>
    <xf numFmtId="164" fontId="3" fillId="0" borderId="0" xfId="7" applyNumberFormat="1" applyFont="1"/>
    <xf numFmtId="164" fontId="3" fillId="0" borderId="84" xfId="7" applyNumberFormat="1" applyFont="1" applyBorder="1" applyAlignment="1">
      <alignment vertical="center"/>
    </xf>
    <xf numFmtId="164" fontId="9" fillId="36" borderId="0" xfId="7" applyNumberFormat="1" applyFont="1" applyFill="1"/>
    <xf numFmtId="164" fontId="3" fillId="0" borderId="63" xfId="7" applyNumberFormat="1" applyFont="1" applyBorder="1" applyAlignment="1">
      <alignment vertical="center"/>
    </xf>
    <xf numFmtId="164" fontId="3" fillId="3" borderId="82" xfId="7" applyNumberFormat="1" applyFont="1" applyFill="1" applyBorder="1" applyAlignment="1">
      <alignment vertical="center"/>
    </xf>
    <xf numFmtId="164" fontId="3" fillId="3" borderId="83" xfId="7" applyNumberFormat="1" applyFont="1" applyFill="1" applyBorder="1" applyAlignment="1">
      <alignment vertical="center"/>
    </xf>
    <xf numFmtId="164" fontId="3" fillId="0" borderId="79" xfId="7" applyNumberFormat="1" applyFont="1" applyBorder="1" applyAlignment="1">
      <alignment vertical="center"/>
    </xf>
    <xf numFmtId="164" fontId="3" fillId="0" borderId="85" xfId="7" applyNumberFormat="1" applyFont="1" applyBorder="1" applyAlignment="1">
      <alignment vertical="center"/>
    </xf>
    <xf numFmtId="164" fontId="3" fillId="0" borderId="80" xfId="7" applyNumberFormat="1" applyFont="1" applyBorder="1" applyAlignment="1">
      <alignment vertical="center"/>
    </xf>
    <xf numFmtId="164" fontId="3" fillId="0" borderId="22" xfId="7" applyNumberFormat="1" applyFont="1" applyBorder="1" applyAlignment="1">
      <alignment vertical="center"/>
    </xf>
    <xf numFmtId="164" fontId="3" fillId="0" borderId="24" xfId="7" applyNumberFormat="1" applyFont="1" applyBorder="1" applyAlignment="1">
      <alignment vertical="center"/>
    </xf>
    <xf numFmtId="164" fontId="3" fillId="0" borderId="23" xfId="7" applyNumberFormat="1" applyFont="1" applyBorder="1" applyAlignment="1">
      <alignment vertical="center"/>
    </xf>
    <xf numFmtId="164" fontId="3" fillId="0" borderId="206" xfId="7" applyNumberFormat="1" applyFont="1" applyFill="1" applyBorder="1" applyAlignment="1">
      <alignment vertical="center"/>
    </xf>
    <xf numFmtId="164" fontId="3" fillId="0" borderId="207" xfId="7" applyNumberFormat="1" applyFont="1" applyFill="1" applyBorder="1" applyAlignment="1">
      <alignment vertical="center"/>
    </xf>
    <xf numFmtId="164" fontId="3" fillId="0" borderId="188" xfId="7" applyNumberFormat="1" applyFont="1" applyFill="1" applyBorder="1" applyAlignment="1">
      <alignment vertical="center"/>
    </xf>
    <xf numFmtId="164" fontId="3" fillId="0" borderId="89" xfId="7" applyNumberFormat="1" applyFont="1" applyFill="1" applyBorder="1" applyAlignment="1">
      <alignment vertical="center"/>
    </xf>
    <xf numFmtId="10" fontId="3" fillId="0" borderId="208" xfId="20950" applyNumberFormat="1" applyFont="1" applyFill="1" applyBorder="1" applyAlignment="1">
      <alignment vertical="center"/>
    </xf>
    <xf numFmtId="10" fontId="3" fillId="0" borderId="209" xfId="20950" applyNumberFormat="1" applyFont="1" applyFill="1" applyBorder="1" applyAlignment="1">
      <alignment vertical="center"/>
    </xf>
    <xf numFmtId="10" fontId="94" fillId="0" borderId="95" xfId="20950" applyNumberFormat="1" applyFont="1" applyFill="1" applyBorder="1" applyAlignment="1" applyProtection="1">
      <alignment horizontal="right" vertical="center"/>
      <protection locked="0"/>
    </xf>
    <xf numFmtId="164" fontId="0" fillId="0" borderId="0" xfId="0" applyNumberFormat="1"/>
    <xf numFmtId="164" fontId="114" fillId="0" borderId="123" xfId="7" applyNumberFormat="1" applyFont="1" applyBorder="1"/>
    <xf numFmtId="164" fontId="111" fillId="0" borderId="0" xfId="0" applyNumberFormat="1" applyFont="1"/>
    <xf numFmtId="164" fontId="111" fillId="0" borderId="123" xfId="7" applyNumberFormat="1" applyFont="1" applyBorder="1"/>
    <xf numFmtId="164" fontId="111" fillId="0" borderId="0" xfId="7" applyNumberFormat="1" applyFont="1"/>
    <xf numFmtId="164" fontId="110" fillId="0" borderId="123" xfId="7" applyNumberFormat="1" applyFont="1" applyBorder="1"/>
    <xf numFmtId="164" fontId="110" fillId="35" borderId="123" xfId="7" applyNumberFormat="1" applyFont="1" applyFill="1" applyBorder="1"/>
    <xf numFmtId="164" fontId="113" fillId="0" borderId="123" xfId="7" applyNumberFormat="1" applyFont="1" applyBorder="1"/>
    <xf numFmtId="164" fontId="111" fillId="77" borderId="123" xfId="7" applyNumberFormat="1" applyFont="1" applyFill="1" applyBorder="1"/>
    <xf numFmtId="164" fontId="110" fillId="0" borderId="0" xfId="7" applyNumberFormat="1" applyFont="1"/>
    <xf numFmtId="164" fontId="110" fillId="0" borderId="123" xfId="7" applyNumberFormat="1" applyFont="1" applyBorder="1" applyAlignment="1">
      <alignment horizontal="left" indent="1"/>
    </xf>
    <xf numFmtId="164" fontId="113" fillId="75" borderId="123" xfId="7" applyNumberFormat="1" applyFont="1" applyFill="1" applyBorder="1"/>
    <xf numFmtId="164" fontId="113" fillId="0" borderId="18" xfId="7" applyNumberFormat="1" applyFont="1" applyBorder="1"/>
    <xf numFmtId="164" fontId="110" fillId="0" borderId="80" xfId="7" applyNumberFormat="1" applyFont="1" applyBorder="1"/>
    <xf numFmtId="164" fontId="110" fillId="0" borderId="126" xfId="7" applyNumberFormat="1" applyFont="1" applyBorder="1"/>
    <xf numFmtId="164" fontId="110" fillId="0" borderId="18" xfId="7" applyNumberFormat="1" applyFont="1" applyBorder="1" applyAlignment="1">
      <alignment horizontal="left" indent="1"/>
    </xf>
    <xf numFmtId="164" fontId="110" fillId="0" borderId="18" xfId="7" applyNumberFormat="1" applyFont="1" applyBorder="1" applyAlignment="1">
      <alignment horizontal="left" indent="2"/>
    </xf>
    <xf numFmtId="164" fontId="110" fillId="0" borderId="18" xfId="7" applyNumberFormat="1" applyFont="1" applyBorder="1" applyAlignment="1">
      <alignment horizontal="left" indent="3"/>
    </xf>
    <xf numFmtId="164" fontId="110" fillId="78" borderId="18" xfId="7" applyNumberFormat="1" applyFont="1" applyFill="1" applyBorder="1"/>
    <xf numFmtId="164" fontId="110" fillId="78" borderId="123" xfId="7" applyNumberFormat="1" applyFont="1" applyFill="1" applyBorder="1"/>
    <xf numFmtId="164" fontId="110" fillId="78" borderId="80" xfId="7" applyNumberFormat="1" applyFont="1" applyFill="1" applyBorder="1"/>
    <xf numFmtId="164" fontId="110" fillId="78" borderId="126" xfId="7" applyNumberFormat="1" applyFont="1" applyFill="1" applyBorder="1"/>
    <xf numFmtId="164" fontId="110" fillId="0" borderId="18" xfId="7" applyNumberFormat="1" applyFont="1" applyBorder="1" applyAlignment="1">
      <alignment horizontal="left" vertical="top" wrapText="1" indent="2"/>
    </xf>
    <xf numFmtId="164" fontId="110" fillId="0" borderId="18" xfId="7" applyNumberFormat="1" applyFont="1" applyBorder="1" applyAlignment="1">
      <alignment horizontal="left" wrapText="1" indent="3"/>
    </xf>
    <xf numFmtId="164" fontId="110" fillId="0" borderId="18" xfId="7" applyNumberFormat="1" applyFont="1" applyBorder="1" applyAlignment="1">
      <alignment horizontal="left" wrapText="1" indent="2"/>
    </xf>
    <xf numFmtId="164" fontId="110" fillId="0" borderId="18" xfId="7" applyNumberFormat="1" applyFont="1" applyBorder="1" applyAlignment="1">
      <alignment horizontal="left" wrapText="1" indent="1"/>
    </xf>
    <xf numFmtId="164" fontId="110" fillId="0" borderId="21" xfId="7" applyNumberFormat="1" applyFont="1" applyBorder="1" applyAlignment="1">
      <alignment horizontal="left" wrapText="1" indent="1"/>
    </xf>
    <xf numFmtId="164" fontId="110" fillId="0" borderId="22" xfId="7" applyNumberFormat="1" applyFont="1" applyBorder="1"/>
    <xf numFmtId="164" fontId="110" fillId="0" borderId="23" xfId="7" applyNumberFormat="1" applyFont="1" applyBorder="1"/>
    <xf numFmtId="164" fontId="110" fillId="0" borderId="25" xfId="7" applyNumberFormat="1" applyFont="1" applyBorder="1"/>
    <xf numFmtId="164" fontId="110" fillId="0" borderId="0" xfId="0" applyNumberFormat="1" applyFont="1"/>
    <xf numFmtId="164" fontId="110" fillId="0" borderId="123" xfId="7" applyNumberFormat="1" applyFont="1" applyBorder="1" applyAlignment="1">
      <alignment horizontal="left" vertical="center" wrapText="1"/>
    </xf>
    <xf numFmtId="164" fontId="110" fillId="0" borderId="123" xfId="7" applyNumberFormat="1" applyFont="1" applyBorder="1" applyAlignment="1">
      <alignment horizontal="center" vertical="center" wrapText="1"/>
    </xf>
    <xf numFmtId="164" fontId="110" fillId="0" borderId="123" xfId="7" applyNumberFormat="1" applyFont="1" applyBorder="1" applyAlignment="1">
      <alignment horizontal="center" vertical="center"/>
    </xf>
    <xf numFmtId="164" fontId="113" fillId="0" borderId="123" xfId="7" applyNumberFormat="1" applyFont="1" applyBorder="1" applyAlignment="1">
      <alignment horizontal="left" vertical="center" wrapText="1"/>
    </xf>
    <xf numFmtId="164" fontId="113" fillId="0" borderId="123" xfId="7" applyNumberFormat="1" applyFont="1" applyBorder="1" applyAlignment="1">
      <alignment horizontal="center" vertical="center"/>
    </xf>
    <xf numFmtId="164" fontId="115" fillId="0" borderId="0" xfId="7" applyNumberFormat="1" applyFont="1"/>
    <xf numFmtId="164" fontId="115" fillId="0" borderId="123" xfId="7" applyNumberFormat="1" applyFont="1" applyBorder="1"/>
    <xf numFmtId="164" fontId="131" fillId="0" borderId="0" xfId="7" applyNumberFormat="1" applyFont="1"/>
    <xf numFmtId="164" fontId="115" fillId="0" borderId="127" xfId="7" applyNumberFormat="1" applyFont="1" applyBorder="1"/>
    <xf numFmtId="0" fontId="93" fillId="0" borderId="131" xfId="0" applyFont="1" applyBorder="1" applyAlignment="1">
      <alignment horizontal="center" vertical="center"/>
    </xf>
    <xf numFmtId="0" fontId="93" fillId="0" borderId="30" xfId="0" applyFont="1" applyBorder="1" applyAlignment="1">
      <alignment horizontal="center" vertical="center"/>
    </xf>
    <xf numFmtId="0" fontId="93" fillId="0" borderId="132" xfId="0" applyFont="1" applyBorder="1" applyAlignment="1">
      <alignment horizontal="center" vertical="center"/>
    </xf>
    <xf numFmtId="0" fontId="93" fillId="0" borderId="65" xfId="0" applyFont="1" applyBorder="1" applyAlignment="1">
      <alignment horizontal="left" wrapText="1"/>
    </xf>
    <xf numFmtId="0" fontId="93" fillId="0" borderId="64" xfId="0" applyFont="1" applyBorder="1" applyAlignment="1">
      <alignment horizontal="left" wrapText="1"/>
    </xf>
    <xf numFmtId="164" fontId="350" fillId="0" borderId="124" xfId="7" applyNumberFormat="1" applyFont="1" applyBorder="1" applyAlignment="1">
      <alignment horizontal="center"/>
    </xf>
    <xf numFmtId="164" fontId="350" fillId="0" borderId="125" xfId="7" applyNumberFormat="1" applyFont="1" applyBorder="1" applyAlignment="1">
      <alignment horizontal="center"/>
    </xf>
    <xf numFmtId="164" fontId="350" fillId="0" borderId="126" xfId="7" applyNumberFormat="1" applyFont="1" applyBorder="1" applyAlignment="1">
      <alignment horizontal="center"/>
    </xf>
    <xf numFmtId="0" fontId="350" fillId="0" borderId="110" xfId="0" applyFont="1" applyBorder="1" applyAlignment="1">
      <alignment horizontal="center" vertical="center"/>
    </xf>
    <xf numFmtId="0" fontId="351" fillId="0" borderId="111" xfId="0" applyFont="1" applyBorder="1" applyAlignment="1">
      <alignment horizontal="center" vertical="center"/>
    </xf>
    <xf numFmtId="0" fontId="351" fillId="0" borderId="7" xfId="0" applyFont="1" applyBorder="1" applyAlignment="1">
      <alignment horizontal="center" vertical="center"/>
    </xf>
    <xf numFmtId="0" fontId="120" fillId="0" borderId="16" xfId="0" applyFont="1" applyBorder="1" applyAlignment="1">
      <alignment horizontal="center" vertical="center"/>
    </xf>
    <xf numFmtId="0" fontId="120" fillId="0" borderId="17" xfId="0" applyFont="1" applyBorder="1" applyAlignment="1">
      <alignment horizontal="center" vertical="center"/>
    </xf>
    <xf numFmtId="0" fontId="350" fillId="0" borderId="112" xfId="0" applyFont="1" applyBorder="1" applyAlignment="1">
      <alignment horizontal="center"/>
    </xf>
    <xf numFmtId="0" fontId="350" fillId="0" borderId="113" xfId="0" applyFont="1" applyBorder="1" applyAlignment="1">
      <alignment horizontal="center"/>
    </xf>
    <xf numFmtId="0" fontId="350" fillId="0" borderId="114" xfId="0" applyFont="1" applyBorder="1" applyAlignment="1">
      <alignment horizontal="center"/>
    </xf>
    <xf numFmtId="164" fontId="350" fillId="0" borderId="112" xfId="7" applyNumberFormat="1" applyFont="1" applyBorder="1" applyAlignment="1">
      <alignment horizontal="center"/>
    </xf>
    <xf numFmtId="164" fontId="350" fillId="0" borderId="113" xfId="7" applyNumberFormat="1" applyFont="1" applyBorder="1" applyAlignment="1">
      <alignment horizontal="center"/>
    </xf>
    <xf numFmtId="164" fontId="350" fillId="0" borderId="114" xfId="7" applyNumberFormat="1" applyFon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9" fillId="0" borderId="127" xfId="0" applyFont="1" applyBorder="1" applyAlignment="1">
      <alignment horizontal="center" vertical="center" wrapText="1"/>
    </xf>
    <xf numFmtId="0" fontId="119" fillId="0" borderId="7" xfId="0" applyFont="1" applyBorder="1" applyAlignment="1">
      <alignment horizontal="center" vertical="center" wrapText="1"/>
    </xf>
    <xf numFmtId="0" fontId="84" fillId="0" borderId="123" xfId="0" applyFont="1" applyBorder="1" applyAlignment="1">
      <alignment horizontal="center" vertical="center"/>
    </xf>
    <xf numFmtId="0" fontId="84" fillId="0" borderId="123" xfId="0" applyFont="1" applyBorder="1" applyAlignment="1">
      <alignment horizontal="center"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5" fillId="0" borderId="3" xfId="0" applyFont="1" applyBorder="1" applyAlignment="1">
      <alignment horizontal="center" vertical="center" wrapText="1"/>
    </xf>
    <xf numFmtId="0" fontId="45" fillId="0" borderId="19"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0" fontId="45" fillId="0" borderId="79" xfId="11" applyFont="1" applyBorder="1" applyAlignment="1">
      <alignment horizontal="center" vertical="center" wrapText="1"/>
    </xf>
    <xf numFmtId="0" fontId="45" fillId="0" borderId="80" xfId="1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4" borderId="7" xfId="0" applyFont="1" applyFill="1" applyBorder="1" applyAlignment="1">
      <alignment horizontal="center" vertical="center" wrapText="1"/>
    </xf>
    <xf numFmtId="0" fontId="3" fillId="84" borderId="123" xfId="0" applyFont="1" applyFill="1" applyBorder="1" applyAlignment="1">
      <alignment horizontal="center" vertical="center" wrapText="1"/>
    </xf>
    <xf numFmtId="0" fontId="3" fillId="84" borderId="7" xfId="11" applyFont="1" applyFill="1" applyBorder="1" applyAlignment="1">
      <alignment horizontal="center" vertical="top"/>
    </xf>
    <xf numFmtId="0" fontId="4" fillId="83" borderId="63" xfId="0" applyFont="1" applyFill="1" applyBorder="1" applyAlignment="1">
      <alignment horizontal="center" vertical="center" wrapText="1"/>
    </xf>
    <xf numFmtId="0" fontId="4" fillId="83"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8" fillId="3" borderId="70" xfId="13" applyFont="1" applyFill="1" applyBorder="1" applyAlignment="1" applyProtection="1">
      <alignment horizontal="center" vertical="center" wrapText="1"/>
      <protection locked="0"/>
    </xf>
    <xf numFmtId="0" fontId="98"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8"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3" borderId="28"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164" fontId="45" fillId="0" borderId="17" xfId="1" applyNumberFormat="1" applyFont="1" applyFill="1" applyBorder="1" applyAlignment="1" applyProtection="1">
      <alignment horizontal="center"/>
      <protection locked="0"/>
    </xf>
    <xf numFmtId="0" fontId="86" fillId="0" borderId="51" xfId="0" applyFont="1" applyBorder="1" applyAlignment="1">
      <alignment horizontal="center" vertical="center" wrapText="1"/>
    </xf>
    <xf numFmtId="0" fontId="86" fillId="0" borderId="52" xfId="0" applyFont="1" applyBorder="1" applyAlignment="1">
      <alignment horizontal="center" vertical="center" wrapText="1"/>
    </xf>
    <xf numFmtId="164" fontId="45" fillId="0" borderId="71" xfId="1" applyNumberFormat="1" applyFont="1" applyFill="1" applyBorder="1" applyAlignment="1" applyProtection="1">
      <alignment horizontal="center" vertical="center" wrapText="1"/>
      <protection locked="0"/>
    </xf>
    <xf numFmtId="164"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4" xfId="0" applyFont="1" applyBorder="1" applyAlignment="1">
      <alignment horizontal="left" vertical="center"/>
    </xf>
    <xf numFmtId="0" fontId="99" fillId="0" borderId="55" xfId="0" applyFont="1" applyBorder="1" applyAlignment="1">
      <alignment horizontal="left" vertical="center"/>
    </xf>
    <xf numFmtId="0" fontId="3" fillId="0" borderId="5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6" xfId="0" applyFont="1" applyBorder="1" applyAlignment="1">
      <alignment horizontal="center"/>
    </xf>
    <xf numFmtId="0" fontId="3" fillId="0" borderId="17" xfId="0" applyFont="1" applyBorder="1" applyAlignment="1">
      <alignment horizontal="center" vertical="center" wrapText="1"/>
    </xf>
    <xf numFmtId="0" fontId="3" fillId="0" borderId="80"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101"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6" xfId="0" applyFont="1" applyBorder="1" applyAlignment="1">
      <alignment horizontal="left" vertical="center" wrapText="1"/>
    </xf>
    <xf numFmtId="0" fontId="113" fillId="0" borderId="108" xfId="0" applyFont="1" applyBorder="1" applyAlignment="1">
      <alignment horizontal="left" vertical="center" wrapText="1"/>
    </xf>
    <xf numFmtId="0" fontId="113" fillId="0" borderId="109" xfId="0" applyFont="1" applyBorder="1" applyAlignment="1">
      <alignment horizontal="left" vertical="center" wrapText="1"/>
    </xf>
    <xf numFmtId="0" fontId="114" fillId="0" borderId="102" xfId="0" applyFont="1" applyBorder="1" applyAlignment="1">
      <alignment horizontal="center" vertical="center" wrapText="1"/>
    </xf>
    <xf numFmtId="0" fontId="114" fillId="0" borderId="103" xfId="0" applyFont="1" applyBorder="1" applyAlignment="1">
      <alignment horizontal="center" vertical="center" wrapText="1"/>
    </xf>
    <xf numFmtId="0" fontId="114" fillId="0" borderId="104" xfId="0" applyFont="1" applyBorder="1" applyAlignment="1">
      <alignment horizontal="center" vertical="center" wrapText="1"/>
    </xf>
    <xf numFmtId="0" fontId="114" fillId="0" borderId="84"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74"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123" xfId="0" applyFont="1" applyBorder="1" applyAlignment="1">
      <alignment horizontal="center" vertical="center" wrapText="1"/>
    </xf>
    <xf numFmtId="0" fontId="118" fillId="0" borderId="123" xfId="0" applyFont="1" applyBorder="1" applyAlignment="1">
      <alignment horizontal="center" vertical="center"/>
    </xf>
    <xf numFmtId="0" fontId="118" fillId="0" borderId="102" xfId="0" applyFont="1" applyBorder="1" applyAlignment="1">
      <alignment horizontal="center" vertical="center"/>
    </xf>
    <xf numFmtId="0" fontId="118" fillId="0" borderId="104" xfId="0" applyFont="1" applyBorder="1" applyAlignment="1">
      <alignment horizontal="center" vertical="center"/>
    </xf>
    <xf numFmtId="0" fontId="118" fillId="0" borderId="84" xfId="0" applyFont="1" applyBorder="1" applyAlignment="1">
      <alignment horizontal="center" vertical="center"/>
    </xf>
    <xf numFmtId="0" fontId="118" fillId="0" borderId="74" xfId="0" applyFont="1" applyBorder="1" applyAlignment="1">
      <alignment horizontal="center" vertical="center"/>
    </xf>
    <xf numFmtId="0" fontId="114" fillId="0" borderId="123" xfId="0" applyFont="1" applyBorder="1" applyAlignment="1">
      <alignment horizontal="center" vertical="center" wrapText="1"/>
    </xf>
    <xf numFmtId="0" fontId="110" fillId="0" borderId="126" xfId="0" applyFont="1" applyBorder="1" applyAlignment="1">
      <alignment horizontal="center" vertical="center" wrapText="1"/>
    </xf>
    <xf numFmtId="0" fontId="113" fillId="0" borderId="102"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69" xfId="0" applyFont="1" applyBorder="1" applyAlignment="1">
      <alignment horizontal="center" vertical="center" wrapText="1"/>
    </xf>
    <xf numFmtId="0" fontId="113" fillId="0" borderId="67" xfId="0" applyFont="1" applyBorder="1" applyAlignment="1">
      <alignment horizontal="center" vertical="center" wrapText="1"/>
    </xf>
    <xf numFmtId="0" fontId="113" fillId="0" borderId="84" xfId="0" applyFont="1" applyBorder="1" applyAlignment="1">
      <alignment horizontal="center" vertical="center" wrapText="1"/>
    </xf>
    <xf numFmtId="0" fontId="113" fillId="0" borderId="74" xfId="0" applyFont="1" applyBorder="1" applyAlignment="1">
      <alignment horizontal="center" vertical="center" wrapText="1"/>
    </xf>
    <xf numFmtId="0" fontId="110" fillId="0" borderId="124" xfId="0" applyFont="1" applyBorder="1" applyAlignment="1">
      <alignment horizontal="center" vertical="center" wrapText="1"/>
    </xf>
    <xf numFmtId="0" fontId="110" fillId="0" borderId="125" xfId="0" applyFont="1" applyBorder="1" applyAlignment="1">
      <alignment horizontal="center" vertical="center" wrapText="1"/>
    </xf>
    <xf numFmtId="0" fontId="113" fillId="0" borderId="75" xfId="0" applyFont="1" applyBorder="1" applyAlignment="1">
      <alignment horizontal="center" vertical="center" wrapText="1"/>
    </xf>
    <xf numFmtId="0" fontId="113" fillId="0" borderId="7" xfId="0" applyFont="1" applyBorder="1" applyAlignment="1">
      <alignment horizontal="center" vertical="center" wrapText="1"/>
    </xf>
    <xf numFmtId="0" fontId="110" fillId="0" borderId="75" xfId="0" applyFont="1" applyBorder="1" applyAlignment="1">
      <alignment horizontal="center" vertical="center" wrapText="1"/>
    </xf>
    <xf numFmtId="0" fontId="110" fillId="0" borderId="74" xfId="0" applyFont="1" applyBorder="1" applyAlignment="1">
      <alignment horizontal="center" vertical="center" wrapText="1"/>
    </xf>
    <xf numFmtId="0" fontId="113" fillId="0" borderId="54" xfId="0" applyFont="1" applyBorder="1" applyAlignment="1">
      <alignment horizontal="left" vertical="top" wrapText="1"/>
    </xf>
    <xf numFmtId="0" fontId="113" fillId="0" borderId="76" xfId="0" applyFont="1" applyBorder="1" applyAlignment="1">
      <alignment horizontal="left" vertical="top" wrapText="1"/>
    </xf>
    <xf numFmtId="0" fontId="113" fillId="0" borderId="62" xfId="0" applyFont="1" applyBorder="1" applyAlignment="1">
      <alignment horizontal="left" vertical="top" wrapText="1"/>
    </xf>
    <xf numFmtId="0" fontId="113" fillId="0" borderId="92" xfId="0" applyFont="1" applyBorder="1" applyAlignment="1">
      <alignment horizontal="left" vertical="top" wrapText="1"/>
    </xf>
    <xf numFmtId="0" fontId="113" fillId="0" borderId="99" xfId="0" applyFont="1" applyBorder="1" applyAlignment="1">
      <alignment horizontal="left" vertical="top" wrapText="1"/>
    </xf>
    <xf numFmtId="0" fontId="113" fillId="0" borderId="130" xfId="0" applyFont="1" applyBorder="1" applyAlignment="1">
      <alignment horizontal="left" vertical="top" wrapText="1"/>
    </xf>
    <xf numFmtId="0" fontId="113" fillId="0" borderId="86" xfId="0" applyFont="1" applyBorder="1" applyAlignment="1">
      <alignment horizontal="center" vertical="center" wrapText="1"/>
    </xf>
    <xf numFmtId="0" fontId="113" fillId="0" borderId="66" xfId="0" applyFont="1" applyBorder="1" applyAlignment="1">
      <alignment horizontal="center" vertical="center" wrapText="1"/>
    </xf>
    <xf numFmtId="0" fontId="110" fillId="0" borderId="63" xfId="0" applyFont="1" applyBorder="1" applyAlignment="1">
      <alignment horizontal="center" vertical="center" wrapText="1"/>
    </xf>
    <xf numFmtId="0" fontId="110" fillId="0" borderId="68"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28" xfId="0" applyFont="1" applyBorder="1" applyAlignment="1">
      <alignment horizontal="center" vertical="center" wrapText="1"/>
    </xf>
    <xf numFmtId="0" fontId="110" fillId="0" borderId="102" xfId="0" applyFont="1" applyBorder="1" applyAlignment="1">
      <alignment horizontal="center" vertical="top" wrapText="1"/>
    </xf>
    <xf numFmtId="0" fontId="110" fillId="0" borderId="103" xfId="0" applyFont="1" applyBorder="1" applyAlignment="1">
      <alignment horizontal="center" vertical="top" wrapText="1"/>
    </xf>
    <xf numFmtId="0" fontId="110" fillId="0" borderId="125" xfId="0" applyFont="1" applyBorder="1" applyAlignment="1">
      <alignment horizontal="center" vertical="top" wrapText="1"/>
    </xf>
    <xf numFmtId="0" fontId="110" fillId="0" borderId="126" xfId="0" applyFont="1" applyBorder="1" applyAlignment="1">
      <alignment horizontal="center" vertical="top" wrapText="1"/>
    </xf>
    <xf numFmtId="0" fontId="130" fillId="0" borderId="115" xfId="0" applyFont="1" applyBorder="1" applyAlignment="1">
      <alignment horizontal="left" vertical="top" wrapText="1"/>
    </xf>
    <xf numFmtId="0" fontId="130" fillId="0" borderId="116" xfId="0" applyFont="1" applyBorder="1" applyAlignment="1">
      <alignment horizontal="left" vertical="top" wrapText="1"/>
    </xf>
    <xf numFmtId="0" fontId="116" fillId="0" borderId="102" xfId="0" applyFont="1" applyBorder="1" applyAlignment="1">
      <alignment horizontal="center" vertical="center"/>
    </xf>
    <xf numFmtId="0" fontId="116" fillId="0" borderId="104" xfId="0" applyFont="1" applyBorder="1" applyAlignment="1">
      <alignment horizontal="center" vertical="center"/>
    </xf>
    <xf numFmtId="0" fontId="116" fillId="0" borderId="84" xfId="0" applyFont="1" applyBorder="1" applyAlignment="1">
      <alignment horizontal="center" vertical="center"/>
    </xf>
    <xf numFmtId="0" fontId="116" fillId="0" borderId="74" xfId="0" applyFont="1" applyBorder="1" applyAlignment="1">
      <alignment horizontal="center" vertical="center"/>
    </xf>
    <xf numFmtId="0" fontId="115" fillId="0" borderId="123" xfId="0" applyFont="1" applyBorder="1" applyAlignment="1">
      <alignment horizontal="center" vertical="center" wrapText="1"/>
    </xf>
    <xf numFmtId="0" fontId="115" fillId="0" borderId="127" xfId="0" applyFont="1" applyBorder="1" applyAlignment="1">
      <alignment horizontal="center" vertical="center" wrapText="1"/>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rtu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heetViews>
  <sheetFormatPr defaultColWidth="9.28515625" defaultRowHeight="14.25"/>
  <cols>
    <col min="1" max="1" width="10.28515625" style="4" customWidth="1"/>
    <col min="2" max="2" width="138.28515625" style="5" bestFit="1" customWidth="1"/>
    <col min="3" max="3" width="39.42578125" style="5" customWidth="1"/>
    <col min="4" max="6" width="9.28515625" style="5"/>
    <col min="7" max="7" width="25" style="5" customWidth="1"/>
    <col min="8" max="16384" width="9.28515625" style="5"/>
  </cols>
  <sheetData>
    <row r="1" spans="1:3" ht="15">
      <c r="A1" s="95"/>
      <c r="B1" s="101" t="s">
        <v>209</v>
      </c>
      <c r="C1" s="95"/>
    </row>
    <row r="2" spans="1:3">
      <c r="A2" s="102">
        <v>1</v>
      </c>
      <c r="B2" s="207" t="s">
        <v>210</v>
      </c>
      <c r="C2" s="548" t="s">
        <v>754</v>
      </c>
    </row>
    <row r="3" spans="1:3">
      <c r="A3" s="102">
        <v>2</v>
      </c>
      <c r="B3" s="208" t="s">
        <v>206</v>
      </c>
      <c r="C3" s="548" t="s">
        <v>755</v>
      </c>
    </row>
    <row r="4" spans="1:3">
      <c r="A4" s="102">
        <v>3</v>
      </c>
      <c r="B4" s="209" t="s">
        <v>211</v>
      </c>
      <c r="C4" s="548" t="s">
        <v>756</v>
      </c>
    </row>
    <row r="5" spans="1:3">
      <c r="A5" s="103">
        <v>4</v>
      </c>
      <c r="B5" s="210" t="s">
        <v>207</v>
      </c>
      <c r="C5" s="549" t="s">
        <v>757</v>
      </c>
    </row>
    <row r="6" spans="1:3" s="104" customFormat="1" ht="45.75" customHeight="1">
      <c r="A6" s="712" t="s">
        <v>283</v>
      </c>
      <c r="B6" s="713"/>
      <c r="C6" s="713"/>
    </row>
    <row r="7" spans="1:3" ht="15">
      <c r="A7" s="105" t="s">
        <v>29</v>
      </c>
      <c r="B7" s="101" t="s">
        <v>208</v>
      </c>
    </row>
    <row r="8" spans="1:3">
      <c r="A8" s="95">
        <v>1</v>
      </c>
      <c r="B8" s="133" t="s">
        <v>20</v>
      </c>
    </row>
    <row r="9" spans="1:3">
      <c r="A9" s="95">
        <v>2</v>
      </c>
      <c r="B9" s="134" t="s">
        <v>21</v>
      </c>
    </row>
    <row r="10" spans="1:3">
      <c r="A10" s="95">
        <v>3</v>
      </c>
      <c r="B10" s="134" t="s">
        <v>22</v>
      </c>
    </row>
    <row r="11" spans="1:3">
      <c r="A11" s="95">
        <v>4</v>
      </c>
      <c r="B11" s="134" t="s">
        <v>23</v>
      </c>
    </row>
    <row r="12" spans="1:3">
      <c r="A12" s="95">
        <v>5</v>
      </c>
      <c r="B12" s="134" t="s">
        <v>24</v>
      </c>
    </row>
    <row r="13" spans="1:3">
      <c r="A13" s="95">
        <v>6</v>
      </c>
      <c r="B13" s="135" t="s">
        <v>218</v>
      </c>
    </row>
    <row r="14" spans="1:3">
      <c r="A14" s="95">
        <v>7</v>
      </c>
      <c r="B14" s="134" t="s">
        <v>212</v>
      </c>
    </row>
    <row r="15" spans="1:3">
      <c r="A15" s="95">
        <v>8</v>
      </c>
      <c r="B15" s="134" t="s">
        <v>213</v>
      </c>
    </row>
    <row r="16" spans="1:3">
      <c r="A16" s="95">
        <v>9</v>
      </c>
      <c r="B16" s="134" t="s">
        <v>25</v>
      </c>
    </row>
    <row r="17" spans="1:2">
      <c r="A17" s="206" t="s">
        <v>282</v>
      </c>
      <c r="B17" s="205" t="s">
        <v>269</v>
      </c>
    </row>
    <row r="18" spans="1:2">
      <c r="A18" s="206" t="s">
        <v>711</v>
      </c>
      <c r="B18" s="501" t="s">
        <v>713</v>
      </c>
    </row>
    <row r="19" spans="1:2">
      <c r="A19" s="502" t="s">
        <v>712</v>
      </c>
      <c r="B19" s="501" t="s">
        <v>714</v>
      </c>
    </row>
    <row r="20" spans="1:2">
      <c r="A20" s="95">
        <v>10</v>
      </c>
      <c r="B20" s="134" t="s">
        <v>26</v>
      </c>
    </row>
    <row r="21" spans="1:2">
      <c r="A21" s="95">
        <v>11</v>
      </c>
      <c r="B21" s="135" t="s">
        <v>214</v>
      </c>
    </row>
    <row r="22" spans="1:2">
      <c r="A22" s="95">
        <v>12</v>
      </c>
      <c r="B22" s="135" t="s">
        <v>27</v>
      </c>
    </row>
    <row r="23" spans="1:2">
      <c r="A23" s="226">
        <v>13</v>
      </c>
      <c r="B23" s="227" t="s">
        <v>215</v>
      </c>
    </row>
    <row r="24" spans="1:2">
      <c r="A24" s="226">
        <v>14</v>
      </c>
      <c r="B24" s="228" t="s">
        <v>240</v>
      </c>
    </row>
    <row r="25" spans="1:2">
      <c r="A25" s="226">
        <v>15</v>
      </c>
      <c r="B25" s="229" t="s">
        <v>28</v>
      </c>
    </row>
    <row r="26" spans="1:2">
      <c r="A26" s="226">
        <v>15.1</v>
      </c>
      <c r="B26" s="230" t="s">
        <v>296</v>
      </c>
    </row>
    <row r="27" spans="1:2">
      <c r="A27" s="503">
        <v>15.2</v>
      </c>
      <c r="B27" s="501" t="s">
        <v>716</v>
      </c>
    </row>
    <row r="28" spans="1:2">
      <c r="A28" s="226">
        <v>16</v>
      </c>
      <c r="B28" s="230" t="s">
        <v>337</v>
      </c>
    </row>
    <row r="29" spans="1:2">
      <c r="A29" s="226">
        <v>17</v>
      </c>
      <c r="B29" s="230" t="s">
        <v>378</v>
      </c>
    </row>
    <row r="30" spans="1:2">
      <c r="A30" s="226">
        <v>18</v>
      </c>
      <c r="B30" s="230" t="s">
        <v>666</v>
      </c>
    </row>
    <row r="31" spans="1:2">
      <c r="A31" s="226">
        <v>19</v>
      </c>
      <c r="B31" s="230" t="s">
        <v>667</v>
      </c>
    </row>
    <row r="32" spans="1:2">
      <c r="A32" s="226">
        <v>20</v>
      </c>
      <c r="B32" s="287" t="s">
        <v>668</v>
      </c>
    </row>
    <row r="33" spans="1:2">
      <c r="A33" s="226">
        <v>21</v>
      </c>
      <c r="B33" s="230" t="s">
        <v>494</v>
      </c>
    </row>
    <row r="34" spans="1:2">
      <c r="A34" s="226">
        <v>22</v>
      </c>
      <c r="B34" s="230" t="s">
        <v>669</v>
      </c>
    </row>
    <row r="35" spans="1:2">
      <c r="A35" s="226">
        <v>23</v>
      </c>
      <c r="B35" s="230" t="s">
        <v>670</v>
      </c>
    </row>
    <row r="36" spans="1:2">
      <c r="A36" s="226">
        <v>24</v>
      </c>
      <c r="B36" s="230" t="s">
        <v>671</v>
      </c>
    </row>
    <row r="37" spans="1:2">
      <c r="A37" s="226">
        <v>25</v>
      </c>
      <c r="B37" s="230" t="s">
        <v>379</v>
      </c>
    </row>
    <row r="38" spans="1:2">
      <c r="A38" s="226">
        <v>26</v>
      </c>
      <c r="B38" s="230"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 ref="C5" r:id="rId1" xr:uid="{6EE86EFE-E9AA-40D7-A45D-4599D08C997F}"/>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F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9.5703125" style="4" bestFit="1" customWidth="1"/>
    <col min="2" max="2" width="132.42578125" style="4" customWidth="1"/>
    <col min="3" max="3" width="18.42578125" style="603" customWidth="1"/>
    <col min="4" max="5" width="9.28515625" style="4"/>
    <col min="6" max="6" width="17" style="4" bestFit="1" customWidth="1"/>
    <col min="7" max="16384" width="9.28515625" style="4"/>
  </cols>
  <sheetData>
    <row r="1" spans="1:6">
      <c r="A1" s="2" t="s">
        <v>30</v>
      </c>
      <c r="B1" s="3" t="str">
        <f>'Info '!C2</f>
        <v>JSC Cartu Bank</v>
      </c>
    </row>
    <row r="2" spans="1:6" s="2" customFormat="1" ht="15.75" customHeight="1">
      <c r="A2" s="2" t="s">
        <v>31</v>
      </c>
      <c r="B2" s="238">
        <f>'1. key ratios '!B2</f>
        <v>46112</v>
      </c>
      <c r="C2" s="604"/>
    </row>
    <row r="3" spans="1:6" s="2" customFormat="1" ht="15.75" customHeight="1">
      <c r="C3" s="604"/>
    </row>
    <row r="4" spans="1:6" ht="13.5" thickBot="1">
      <c r="A4" s="4" t="s">
        <v>143</v>
      </c>
      <c r="B4" s="82" t="s">
        <v>142</v>
      </c>
    </row>
    <row r="5" spans="1:6">
      <c r="A5" s="50" t="s">
        <v>6</v>
      </c>
      <c r="B5" s="51"/>
      <c r="C5" s="605" t="s">
        <v>35</v>
      </c>
    </row>
    <row r="6" spans="1:6">
      <c r="A6" s="52">
        <v>1</v>
      </c>
      <c r="B6" s="53" t="s">
        <v>141</v>
      </c>
      <c r="C6" s="606">
        <f>SUM(C7:C11)</f>
        <v>467101172.36398411</v>
      </c>
      <c r="F6" s="601"/>
    </row>
    <row r="7" spans="1:6">
      <c r="A7" s="52">
        <v>2</v>
      </c>
      <c r="B7" s="54" t="s">
        <v>140</v>
      </c>
      <c r="C7" s="607">
        <v>114430000</v>
      </c>
      <c r="F7" s="601"/>
    </row>
    <row r="8" spans="1:6">
      <c r="A8" s="52">
        <v>3</v>
      </c>
      <c r="B8" s="55" t="s">
        <v>139</v>
      </c>
      <c r="C8" s="607">
        <v>0</v>
      </c>
      <c r="F8" s="601"/>
    </row>
    <row r="9" spans="1:6">
      <c r="A9" s="52">
        <v>4</v>
      </c>
      <c r="B9" s="55" t="s">
        <v>138</v>
      </c>
      <c r="C9" s="607">
        <v>0</v>
      </c>
      <c r="F9" s="601"/>
    </row>
    <row r="10" spans="1:6">
      <c r="A10" s="52">
        <v>5</v>
      </c>
      <c r="B10" s="55" t="s">
        <v>137</v>
      </c>
      <c r="C10" s="607">
        <v>7438034.3799999999</v>
      </c>
      <c r="F10" s="601"/>
    </row>
    <row r="11" spans="1:6">
      <c r="A11" s="52">
        <v>6</v>
      </c>
      <c r="B11" s="56" t="s">
        <v>136</v>
      </c>
      <c r="C11" s="607">
        <v>345233137.98398411</v>
      </c>
      <c r="F11" s="601"/>
    </row>
    <row r="12" spans="1:6" s="28" customFormat="1">
      <c r="A12" s="52">
        <v>7</v>
      </c>
      <c r="B12" s="53" t="s">
        <v>135</v>
      </c>
      <c r="C12" s="608">
        <f>SUM(C13:C28)</f>
        <v>15625069.660000002</v>
      </c>
      <c r="F12" s="601"/>
    </row>
    <row r="13" spans="1:6" s="28" customFormat="1">
      <c r="A13" s="52">
        <v>8</v>
      </c>
      <c r="B13" s="57" t="s">
        <v>134</v>
      </c>
      <c r="C13" s="609">
        <v>0</v>
      </c>
      <c r="F13" s="601"/>
    </row>
    <row r="14" spans="1:6" s="28" customFormat="1" ht="25.5">
      <c r="A14" s="52">
        <v>9</v>
      </c>
      <c r="B14" s="58" t="s">
        <v>133</v>
      </c>
      <c r="C14" s="609">
        <v>0</v>
      </c>
      <c r="F14" s="601"/>
    </row>
    <row r="15" spans="1:6" s="28" customFormat="1">
      <c r="A15" s="52">
        <v>10</v>
      </c>
      <c r="B15" s="59" t="s">
        <v>132</v>
      </c>
      <c r="C15" s="609">
        <v>15625069.660000002</v>
      </c>
      <c r="F15" s="601"/>
    </row>
    <row r="16" spans="1:6" s="28" customFormat="1">
      <c r="A16" s="52">
        <v>11</v>
      </c>
      <c r="B16" s="60" t="s">
        <v>131</v>
      </c>
      <c r="C16" s="609">
        <v>0</v>
      </c>
      <c r="F16" s="601"/>
    </row>
    <row r="17" spans="1:6" s="28" customFormat="1">
      <c r="A17" s="52">
        <v>12</v>
      </c>
      <c r="B17" s="59" t="s">
        <v>130</v>
      </c>
      <c r="C17" s="609">
        <v>0</v>
      </c>
      <c r="F17" s="601"/>
    </row>
    <row r="18" spans="1:6" s="28" customFormat="1">
      <c r="A18" s="52">
        <v>13</v>
      </c>
      <c r="B18" s="59" t="s">
        <v>129</v>
      </c>
      <c r="C18" s="609">
        <v>0</v>
      </c>
      <c r="F18" s="601"/>
    </row>
    <row r="19" spans="1:6" s="28" customFormat="1">
      <c r="A19" s="52">
        <v>14</v>
      </c>
      <c r="B19" s="59" t="s">
        <v>128</v>
      </c>
      <c r="C19" s="609">
        <v>0</v>
      </c>
      <c r="F19" s="601"/>
    </row>
    <row r="20" spans="1:6" s="28" customFormat="1">
      <c r="A20" s="52">
        <v>15</v>
      </c>
      <c r="B20" s="59" t="s">
        <v>127</v>
      </c>
      <c r="C20" s="609">
        <v>0</v>
      </c>
      <c r="F20" s="601"/>
    </row>
    <row r="21" spans="1:6" s="28" customFormat="1" ht="25.5">
      <c r="A21" s="52">
        <v>16</v>
      </c>
      <c r="B21" s="58" t="s">
        <v>126</v>
      </c>
      <c r="C21" s="609">
        <v>0</v>
      </c>
      <c r="F21" s="601"/>
    </row>
    <row r="22" spans="1:6" s="28" customFormat="1">
      <c r="A22" s="52">
        <v>17</v>
      </c>
      <c r="B22" s="61" t="s">
        <v>125</v>
      </c>
      <c r="C22" s="609">
        <v>0</v>
      </c>
      <c r="F22" s="601"/>
    </row>
    <row r="23" spans="1:6" s="28" customFormat="1">
      <c r="A23" s="52">
        <v>18</v>
      </c>
      <c r="B23" s="61" t="s">
        <v>517</v>
      </c>
      <c r="C23" s="610">
        <v>0</v>
      </c>
      <c r="F23" s="601"/>
    </row>
    <row r="24" spans="1:6" s="28" customFormat="1">
      <c r="A24" s="52">
        <v>19</v>
      </c>
      <c r="B24" s="58" t="s">
        <v>124</v>
      </c>
      <c r="C24" s="609">
        <v>0</v>
      </c>
      <c r="F24" s="601"/>
    </row>
    <row r="25" spans="1:6" s="28" customFormat="1" ht="25.5">
      <c r="A25" s="52">
        <v>20</v>
      </c>
      <c r="B25" s="58" t="s">
        <v>101</v>
      </c>
      <c r="C25" s="609">
        <v>0</v>
      </c>
      <c r="F25" s="601"/>
    </row>
    <row r="26" spans="1:6" s="28" customFormat="1">
      <c r="A26" s="52">
        <v>21</v>
      </c>
      <c r="B26" s="60" t="s">
        <v>123</v>
      </c>
      <c r="C26" s="609">
        <v>0</v>
      </c>
      <c r="F26" s="601"/>
    </row>
    <row r="27" spans="1:6" s="28" customFormat="1">
      <c r="A27" s="52">
        <v>22</v>
      </c>
      <c r="B27" s="60" t="s">
        <v>122</v>
      </c>
      <c r="C27" s="609">
        <v>0</v>
      </c>
      <c r="F27" s="601"/>
    </row>
    <row r="28" spans="1:6" s="28" customFormat="1">
      <c r="A28" s="52">
        <v>23</v>
      </c>
      <c r="B28" s="60" t="s">
        <v>121</v>
      </c>
      <c r="C28" s="609">
        <v>0</v>
      </c>
      <c r="F28" s="601"/>
    </row>
    <row r="29" spans="1:6" s="28" customFormat="1">
      <c r="A29" s="52">
        <v>24</v>
      </c>
      <c r="B29" s="62" t="s">
        <v>120</v>
      </c>
      <c r="C29" s="608">
        <f>C6-C12</f>
        <v>451476102.70398408</v>
      </c>
      <c r="F29" s="601"/>
    </row>
    <row r="30" spans="1:6" s="28" customFormat="1">
      <c r="A30" s="63"/>
      <c r="B30" s="64"/>
      <c r="C30" s="609"/>
      <c r="F30" s="601"/>
    </row>
    <row r="31" spans="1:6" s="28" customFormat="1">
      <c r="A31" s="63">
        <v>25</v>
      </c>
      <c r="B31" s="62" t="s">
        <v>119</v>
      </c>
      <c r="C31" s="608">
        <f>C32+C35</f>
        <v>72894600.000000015</v>
      </c>
      <c r="F31" s="601"/>
    </row>
    <row r="32" spans="1:6" s="28" customFormat="1">
      <c r="A32" s="63">
        <v>26</v>
      </c>
      <c r="B32" s="55" t="s">
        <v>118</v>
      </c>
      <c r="C32" s="611">
        <f>C33+C34</f>
        <v>72894600.000000015</v>
      </c>
      <c r="F32" s="601"/>
    </row>
    <row r="33" spans="1:6" s="28" customFormat="1">
      <c r="A33" s="63">
        <v>27</v>
      </c>
      <c r="B33" s="65" t="s">
        <v>179</v>
      </c>
      <c r="C33" s="607">
        <v>23845347.84</v>
      </c>
      <c r="F33" s="601"/>
    </row>
    <row r="34" spans="1:6" s="28" customFormat="1">
      <c r="A34" s="63">
        <v>28</v>
      </c>
      <c r="B34" s="65" t="s">
        <v>117</v>
      </c>
      <c r="C34" s="607">
        <v>49049252.160000011</v>
      </c>
      <c r="F34" s="601"/>
    </row>
    <row r="35" spans="1:6" s="28" customFormat="1">
      <c r="A35" s="63">
        <v>29</v>
      </c>
      <c r="B35" s="55" t="s">
        <v>116</v>
      </c>
      <c r="C35" s="607">
        <v>0</v>
      </c>
      <c r="F35" s="601"/>
    </row>
    <row r="36" spans="1:6" s="28" customFormat="1">
      <c r="A36" s="63">
        <v>30</v>
      </c>
      <c r="B36" s="62" t="s">
        <v>115</v>
      </c>
      <c r="C36" s="608">
        <f>SUM(C37:C41)</f>
        <v>0</v>
      </c>
      <c r="F36" s="601"/>
    </row>
    <row r="37" spans="1:6" s="28" customFormat="1">
      <c r="A37" s="63">
        <v>31</v>
      </c>
      <c r="B37" s="58" t="s">
        <v>114</v>
      </c>
      <c r="C37" s="609">
        <v>0</v>
      </c>
      <c r="F37" s="601"/>
    </row>
    <row r="38" spans="1:6" s="28" customFormat="1">
      <c r="A38" s="63">
        <v>32</v>
      </c>
      <c r="B38" s="59" t="s">
        <v>113</v>
      </c>
      <c r="C38" s="609">
        <v>0</v>
      </c>
      <c r="F38" s="601"/>
    </row>
    <row r="39" spans="1:6" s="28" customFormat="1" ht="25.5">
      <c r="A39" s="63">
        <v>33</v>
      </c>
      <c r="B39" s="58" t="s">
        <v>112</v>
      </c>
      <c r="C39" s="609">
        <v>0</v>
      </c>
      <c r="F39" s="601"/>
    </row>
    <row r="40" spans="1:6" s="28" customFormat="1" ht="25.5">
      <c r="A40" s="63">
        <v>34</v>
      </c>
      <c r="B40" s="58" t="s">
        <v>101</v>
      </c>
      <c r="C40" s="609">
        <v>0</v>
      </c>
      <c r="F40" s="601"/>
    </row>
    <row r="41" spans="1:6" s="28" customFormat="1">
      <c r="A41" s="63">
        <v>35</v>
      </c>
      <c r="B41" s="60" t="s">
        <v>111</v>
      </c>
      <c r="C41" s="609">
        <v>0</v>
      </c>
      <c r="F41" s="601"/>
    </row>
    <row r="42" spans="1:6" s="28" customFormat="1">
      <c r="A42" s="63">
        <v>36</v>
      </c>
      <c r="B42" s="62" t="s">
        <v>110</v>
      </c>
      <c r="C42" s="608">
        <f>C31-C36</f>
        <v>72894600.000000015</v>
      </c>
      <c r="F42" s="601"/>
    </row>
    <row r="43" spans="1:6" s="28" customFormat="1">
      <c r="A43" s="63"/>
      <c r="B43" s="64"/>
      <c r="C43" s="609"/>
      <c r="F43" s="601"/>
    </row>
    <row r="44" spans="1:6" s="28" customFormat="1">
      <c r="A44" s="63">
        <v>37</v>
      </c>
      <c r="B44" s="66" t="s">
        <v>109</v>
      </c>
      <c r="C44" s="608">
        <f>SUM(C45:C47)</f>
        <v>9179320</v>
      </c>
      <c r="F44" s="601"/>
    </row>
    <row r="45" spans="1:6" s="28" customFormat="1">
      <c r="A45" s="63">
        <v>38</v>
      </c>
      <c r="B45" s="55" t="s">
        <v>108</v>
      </c>
      <c r="C45" s="609">
        <v>9179320</v>
      </c>
      <c r="F45" s="601"/>
    </row>
    <row r="46" spans="1:6" s="28" customFormat="1">
      <c r="A46" s="63">
        <v>39</v>
      </c>
      <c r="B46" s="55" t="s">
        <v>107</v>
      </c>
      <c r="C46" s="609">
        <v>0</v>
      </c>
      <c r="F46" s="601"/>
    </row>
    <row r="47" spans="1:6" s="28" customFormat="1">
      <c r="A47" s="63">
        <v>40</v>
      </c>
      <c r="B47" s="55" t="s">
        <v>106</v>
      </c>
      <c r="C47" s="609">
        <v>0</v>
      </c>
      <c r="F47" s="601"/>
    </row>
    <row r="48" spans="1:6" s="28" customFormat="1">
      <c r="A48" s="63">
        <v>41</v>
      </c>
      <c r="B48" s="66" t="s">
        <v>105</v>
      </c>
      <c r="C48" s="608">
        <f>SUM(C49:C52)</f>
        <v>0</v>
      </c>
      <c r="F48" s="601"/>
    </row>
    <row r="49" spans="1:6" s="28" customFormat="1">
      <c r="A49" s="63">
        <v>42</v>
      </c>
      <c r="B49" s="58" t="s">
        <v>104</v>
      </c>
      <c r="C49" s="609">
        <v>0</v>
      </c>
      <c r="F49" s="601"/>
    </row>
    <row r="50" spans="1:6" s="28" customFormat="1">
      <c r="A50" s="63">
        <v>43</v>
      </c>
      <c r="B50" s="59" t="s">
        <v>103</v>
      </c>
      <c r="C50" s="609">
        <v>0</v>
      </c>
      <c r="F50" s="601"/>
    </row>
    <row r="51" spans="1:6" s="28" customFormat="1">
      <c r="A51" s="63">
        <v>44</v>
      </c>
      <c r="B51" s="58" t="s">
        <v>102</v>
      </c>
      <c r="C51" s="609">
        <v>0</v>
      </c>
      <c r="F51" s="601"/>
    </row>
    <row r="52" spans="1:6" s="28" customFormat="1" ht="25.5">
      <c r="A52" s="63">
        <v>45</v>
      </c>
      <c r="B52" s="58" t="s">
        <v>101</v>
      </c>
      <c r="C52" s="609">
        <v>0</v>
      </c>
      <c r="F52" s="601"/>
    </row>
    <row r="53" spans="1:6" s="28" customFormat="1" ht="13.5" thickBot="1">
      <c r="A53" s="63">
        <v>46</v>
      </c>
      <c r="B53" s="67" t="s">
        <v>100</v>
      </c>
      <c r="C53" s="612">
        <f>C44-C48</f>
        <v>9179320</v>
      </c>
      <c r="F53" s="601"/>
    </row>
    <row r="56" spans="1:6">
      <c r="B56" s="4" t="s">
        <v>7</v>
      </c>
    </row>
  </sheetData>
  <dataValidations count="1">
    <dataValidation operator="lessThanOrEqual" allowBlank="1" showInputMessage="1" showErrorMessage="1" errorTitle="Should be negative number" error="Should be whole negative number or 0" sqref="C13:C32 C36: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H23"/>
  <sheetViews>
    <sheetView zoomScale="80" zoomScaleNormal="80" workbookViewId="0"/>
  </sheetViews>
  <sheetFormatPr defaultColWidth="9.28515625" defaultRowHeight="12.75"/>
  <cols>
    <col min="1" max="1" width="9.42578125" style="125" bestFit="1" customWidth="1"/>
    <col min="2" max="2" width="59" style="125" customWidth="1"/>
    <col min="3" max="3" width="16.7109375" style="125" bestFit="1" customWidth="1"/>
    <col min="4" max="4" width="15.5703125" style="125" bestFit="1" customWidth="1"/>
    <col min="5" max="6" width="9.28515625" style="125"/>
    <col min="7" max="7" width="9.42578125" style="125" bestFit="1" customWidth="1"/>
    <col min="8" max="8" width="16.42578125" style="125" bestFit="1" customWidth="1"/>
    <col min="9" max="16384" width="9.28515625" style="125"/>
  </cols>
  <sheetData>
    <row r="1" spans="1:8" ht="15">
      <c r="A1" s="123" t="s">
        <v>30</v>
      </c>
      <c r="B1" s="3" t="str">
        <f>'Info '!C2</f>
        <v>JSC Cartu Bank</v>
      </c>
    </row>
    <row r="2" spans="1:8" s="123" customFormat="1" ht="15.75" customHeight="1">
      <c r="A2" s="123" t="s">
        <v>31</v>
      </c>
      <c r="B2" s="238">
        <f>'1. key ratios '!B2</f>
        <v>46112</v>
      </c>
    </row>
    <row r="3" spans="1:8" s="123" customFormat="1" ht="15.75" customHeight="1"/>
    <row r="4" spans="1:8" ht="13.5" thickBot="1">
      <c r="A4" s="125" t="s">
        <v>268</v>
      </c>
      <c r="B4" s="198" t="s">
        <v>269</v>
      </c>
    </row>
    <row r="5" spans="1:8" s="130" customFormat="1" ht="12.75" customHeight="1">
      <c r="A5" s="224"/>
      <c r="B5" s="225" t="s">
        <v>272</v>
      </c>
      <c r="C5" s="191" t="s">
        <v>270</v>
      </c>
      <c r="D5" s="192" t="s">
        <v>271</v>
      </c>
    </row>
    <row r="6" spans="1:8" s="199" customFormat="1">
      <c r="A6" s="193">
        <v>1</v>
      </c>
      <c r="B6" s="220" t="s">
        <v>273</v>
      </c>
      <c r="C6" s="220"/>
      <c r="D6" s="194"/>
    </row>
    <row r="7" spans="1:8" s="199" customFormat="1">
      <c r="A7" s="195" t="s">
        <v>259</v>
      </c>
      <c r="B7" s="221" t="s">
        <v>274</v>
      </c>
      <c r="C7" s="213">
        <v>4.4999999999999998E-2</v>
      </c>
      <c r="D7" s="614">
        <f>C7*'5. RWA '!$C$13</f>
        <v>83393713.785008267</v>
      </c>
      <c r="G7" s="613"/>
      <c r="H7" s="613"/>
    </row>
    <row r="8" spans="1:8" s="199" customFormat="1">
      <c r="A8" s="195" t="s">
        <v>260</v>
      </c>
      <c r="B8" s="221" t="s">
        <v>275</v>
      </c>
      <c r="C8" s="214">
        <v>0.06</v>
      </c>
      <c r="D8" s="614">
        <f>C8*'5. RWA '!$C$13</f>
        <v>111191618.38001104</v>
      </c>
      <c r="G8" s="613"/>
      <c r="H8" s="613"/>
    </row>
    <row r="9" spans="1:8" s="199" customFormat="1">
      <c r="A9" s="195" t="s">
        <v>261</v>
      </c>
      <c r="B9" s="221" t="s">
        <v>276</v>
      </c>
      <c r="C9" s="214">
        <v>0.08</v>
      </c>
      <c r="D9" s="614">
        <f>C9*'5. RWA '!$C$13</f>
        <v>148255491.17334804</v>
      </c>
      <c r="G9" s="613"/>
      <c r="H9" s="613"/>
    </row>
    <row r="10" spans="1:8" s="199" customFormat="1">
      <c r="A10" s="193" t="s">
        <v>262</v>
      </c>
      <c r="B10" s="220" t="s">
        <v>277</v>
      </c>
      <c r="C10" s="215"/>
      <c r="D10" s="615"/>
      <c r="G10" s="613"/>
      <c r="H10" s="613"/>
    </row>
    <row r="11" spans="1:8" s="200" customFormat="1">
      <c r="A11" s="196" t="s">
        <v>263</v>
      </c>
      <c r="B11" s="212" t="s">
        <v>747</v>
      </c>
      <c r="C11" s="216">
        <v>2.5000000000000001E-2</v>
      </c>
      <c r="D11" s="614">
        <f>C11*'5. RWA '!$C$13</f>
        <v>46329840.991671264</v>
      </c>
      <c r="G11" s="613"/>
      <c r="H11" s="613"/>
    </row>
    <row r="12" spans="1:8" s="200" customFormat="1">
      <c r="A12" s="196" t="s">
        <v>264</v>
      </c>
      <c r="B12" s="212" t="s">
        <v>278</v>
      </c>
      <c r="C12" s="216">
        <v>7.4999999999999997E-3</v>
      </c>
      <c r="D12" s="614">
        <f>C12*'5. RWA '!$C$13</f>
        <v>13898952.29750138</v>
      </c>
      <c r="G12" s="613"/>
      <c r="H12" s="613"/>
    </row>
    <row r="13" spans="1:8" s="200" customFormat="1">
      <c r="A13" s="196" t="s">
        <v>265</v>
      </c>
      <c r="B13" s="212" t="s">
        <v>279</v>
      </c>
      <c r="C13" s="216"/>
      <c r="D13" s="614">
        <f>C13*'5. RWA '!$C$13</f>
        <v>0</v>
      </c>
      <c r="G13" s="613"/>
      <c r="H13" s="613"/>
    </row>
    <row r="14" spans="1:8" s="200" customFormat="1">
      <c r="A14" s="193" t="s">
        <v>266</v>
      </c>
      <c r="B14" s="220" t="s">
        <v>326</v>
      </c>
      <c r="C14" s="217"/>
      <c r="D14" s="615"/>
      <c r="G14" s="613"/>
      <c r="H14" s="613"/>
    </row>
    <row r="15" spans="1:8" s="200" customFormat="1">
      <c r="A15" s="196">
        <v>3.1</v>
      </c>
      <c r="B15" s="212" t="s">
        <v>284</v>
      </c>
      <c r="C15" s="216">
        <v>9.41726255129402E-2</v>
      </c>
      <c r="D15" s="614">
        <f>C15*'5. RWA '!$C$13</f>
        <v>174520110.63130897</v>
      </c>
      <c r="G15" s="613"/>
      <c r="H15" s="613"/>
    </row>
    <row r="16" spans="1:8" s="200" customFormat="1">
      <c r="A16" s="196">
        <v>3.2</v>
      </c>
      <c r="B16" s="212" t="s">
        <v>285</v>
      </c>
      <c r="C16" s="216">
        <v>0.11241782536331797</v>
      </c>
      <c r="D16" s="614">
        <f>C16*'5. RWA '!$C$13</f>
        <v>208331998.94847962</v>
      </c>
      <c r="G16" s="613"/>
      <c r="H16" s="613"/>
    </row>
    <row r="17" spans="1:8" s="199" customFormat="1">
      <c r="A17" s="196">
        <v>3.3</v>
      </c>
      <c r="B17" s="212" t="s">
        <v>286</v>
      </c>
      <c r="C17" s="216">
        <v>0.13642466727170979</v>
      </c>
      <c r="D17" s="614">
        <f>C17*'5. RWA '!$C$13</f>
        <v>252821325.68159893</v>
      </c>
      <c r="G17" s="613"/>
      <c r="H17" s="613"/>
    </row>
    <row r="18" spans="1:8" s="130" customFormat="1" ht="12.75" customHeight="1">
      <c r="A18" s="222"/>
      <c r="B18" s="223" t="s">
        <v>325</v>
      </c>
      <c r="C18" s="218" t="s">
        <v>270</v>
      </c>
      <c r="D18" s="616" t="s">
        <v>271</v>
      </c>
      <c r="G18" s="613"/>
      <c r="H18" s="613"/>
    </row>
    <row r="19" spans="1:8" s="199" customFormat="1">
      <c r="A19" s="197">
        <v>4</v>
      </c>
      <c r="B19" s="212" t="s">
        <v>280</v>
      </c>
      <c r="C19" s="216">
        <f>C7+C11+C12+C13+C15</f>
        <v>0.17167262551294021</v>
      </c>
      <c r="D19" s="614">
        <f>C19*'5. RWA '!$C$13</f>
        <v>318142617.70548987</v>
      </c>
      <c r="G19" s="613"/>
      <c r="H19" s="613"/>
    </row>
    <row r="20" spans="1:8" s="199" customFormat="1">
      <c r="A20" s="197">
        <v>5</v>
      </c>
      <c r="B20" s="212" t="s">
        <v>90</v>
      </c>
      <c r="C20" s="216">
        <f>C8+C11+C12+C13+C16</f>
        <v>0.20491782536331798</v>
      </c>
      <c r="D20" s="614">
        <f>C20*'5. RWA '!$C$13</f>
        <v>379752410.61766332</v>
      </c>
      <c r="G20" s="613"/>
      <c r="H20" s="613"/>
    </row>
    <row r="21" spans="1:8" s="199" customFormat="1" ht="13.5" thickBot="1">
      <c r="A21" s="201" t="s">
        <v>267</v>
      </c>
      <c r="B21" s="202" t="s">
        <v>281</v>
      </c>
      <c r="C21" s="219">
        <f>C9+C11+C12+C13+C17</f>
        <v>0.24892466727170981</v>
      </c>
      <c r="D21" s="617">
        <f>C21*'5. RWA '!$C$13</f>
        <v>461305610.14411968</v>
      </c>
      <c r="G21" s="613"/>
      <c r="H21" s="613"/>
    </row>
    <row r="23" spans="1:8">
      <c r="B23" s="161"/>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election activeCell="C38" sqref="C38"/>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3">
      <c r="A1" s="426" t="str">
        <f>'9.1. Capital Requirements'!A1</f>
        <v>Bank:</v>
      </c>
      <c r="B1" s="427">
        <v>0</v>
      </c>
    </row>
    <row r="2" spans="1:3">
      <c r="A2" s="426" t="str">
        <f>'9.1. Capital Requirements'!A2</f>
        <v>Date:</v>
      </c>
      <c r="B2" s="428">
        <v>45016</v>
      </c>
    </row>
    <row r="3" spans="1:3">
      <c r="A3" s="429" t="s">
        <v>675</v>
      </c>
      <c r="B3" s="430" t="s">
        <v>676</v>
      </c>
    </row>
    <row r="4" spans="1:3" ht="15.75" thickBot="1"/>
    <row r="5" spans="1:3">
      <c r="A5" s="431"/>
      <c r="B5" s="432" t="s">
        <v>677</v>
      </c>
      <c r="C5" s="463"/>
    </row>
    <row r="6" spans="1:3">
      <c r="A6" s="433" t="s">
        <v>697</v>
      </c>
      <c r="B6" s="434">
        <f>SUM(B7,B11)</f>
        <v>533550022.70398408</v>
      </c>
      <c r="C6" s="463"/>
    </row>
    <row r="7" spans="1:3">
      <c r="A7" s="433" t="s">
        <v>683</v>
      </c>
      <c r="B7" s="434">
        <f>SUM(B8:B10)</f>
        <v>533550022.70398408</v>
      </c>
      <c r="C7" s="463"/>
    </row>
    <row r="8" spans="1:3">
      <c r="A8" s="435" t="s">
        <v>678</v>
      </c>
      <c r="B8" s="436">
        <f>'9.Capital'!C29</f>
        <v>451476102.70398408</v>
      </c>
      <c r="C8" s="463"/>
    </row>
    <row r="9" spans="1:3">
      <c r="A9" s="435" t="s">
        <v>679</v>
      </c>
      <c r="B9" s="436">
        <f>'9.Capital'!C42</f>
        <v>72894600.000000015</v>
      </c>
      <c r="C9" s="463"/>
    </row>
    <row r="10" spans="1:3">
      <c r="A10" s="435" t="s">
        <v>680</v>
      </c>
      <c r="B10" s="436">
        <f>'9.Capital'!C53</f>
        <v>9179320</v>
      </c>
      <c r="C10" s="463"/>
    </row>
    <row r="11" spans="1:3">
      <c r="A11" s="433" t="s">
        <v>684</v>
      </c>
      <c r="B11" s="434">
        <f>SUM(B12:B13)</f>
        <v>0</v>
      </c>
      <c r="C11" s="463"/>
    </row>
    <row r="12" spans="1:3">
      <c r="A12" s="435" t="s">
        <v>703</v>
      </c>
      <c r="B12" s="436"/>
      <c r="C12" s="463"/>
    </row>
    <row r="13" spans="1:3">
      <c r="A13" s="435" t="s">
        <v>685</v>
      </c>
      <c r="B13" s="436"/>
      <c r="C13" s="463"/>
    </row>
    <row r="14" spans="1:3">
      <c r="A14" s="433" t="s">
        <v>686</v>
      </c>
      <c r="B14" s="434">
        <f>SUM(B15:B16)</f>
        <v>533550022.70398408</v>
      </c>
      <c r="C14" s="463"/>
    </row>
    <row r="15" spans="1:3">
      <c r="A15" s="437" t="s">
        <v>687</v>
      </c>
      <c r="B15" s="436"/>
      <c r="C15" s="463"/>
    </row>
    <row r="16" spans="1:3">
      <c r="A16" s="437" t="s">
        <v>688</v>
      </c>
      <c r="B16" s="436">
        <f>B7</f>
        <v>533550022.70398408</v>
      </c>
      <c r="C16" s="463"/>
    </row>
    <row r="17" spans="1:5">
      <c r="A17" s="433" t="s">
        <v>691</v>
      </c>
      <c r="B17" s="434"/>
      <c r="C17" s="463"/>
    </row>
    <row r="18" spans="1:5">
      <c r="A18" s="437" t="s">
        <v>689</v>
      </c>
      <c r="B18" s="436">
        <f>'5. RWA '!C13</f>
        <v>1853193639.6668506</v>
      </c>
      <c r="C18" s="463"/>
    </row>
    <row r="19" spans="1:5">
      <c r="A19" s="437" t="s">
        <v>690</v>
      </c>
      <c r="B19" s="436">
        <f>'15.1 LR'!C32</f>
        <v>2034734701.4721534</v>
      </c>
      <c r="C19" s="463"/>
    </row>
    <row r="20" spans="1:5">
      <c r="A20" s="433" t="s">
        <v>705</v>
      </c>
      <c r="B20" s="434"/>
      <c r="C20" s="463"/>
    </row>
    <row r="21" spans="1:5">
      <c r="A21" s="438" t="s">
        <v>692</v>
      </c>
      <c r="B21" s="439">
        <f>IFERROR(B6/B18,0)</f>
        <v>0.28790840378661164</v>
      </c>
      <c r="C21" s="463"/>
    </row>
    <row r="22" spans="1:5">
      <c r="A22" s="438" t="s">
        <v>709</v>
      </c>
      <c r="B22" s="439">
        <f>IFERROR(B6/B19,0)</f>
        <v>0.26222092851611301</v>
      </c>
      <c r="C22" s="463"/>
    </row>
    <row r="23" spans="1:5" ht="15.75" thickBot="1">
      <c r="A23" s="440" t="s">
        <v>693</v>
      </c>
      <c r="B23" s="441">
        <f>IFERROR(B6/B14,0)</f>
        <v>1</v>
      </c>
    </row>
    <row r="24" spans="1:5" ht="16.5" customHeight="1">
      <c r="A24" s="442" t="s">
        <v>681</v>
      </c>
      <c r="B24" s="443"/>
      <c r="C24" s="443"/>
      <c r="D24" s="443"/>
      <c r="E24" s="443"/>
    </row>
    <row r="25" spans="1:5" ht="25.5" customHeight="1">
      <c r="A25" s="442" t="s">
        <v>702</v>
      </c>
    </row>
    <row r="26" spans="1:5" ht="42.4" customHeight="1">
      <c r="A26" s="442" t="s">
        <v>704</v>
      </c>
      <c r="B26" s="125"/>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B29" sqref="B29"/>
    </sheetView>
  </sheetViews>
  <sheetFormatPr defaultRowHeight="15"/>
  <cols>
    <col min="1" max="1" width="56.7109375" customWidth="1"/>
    <col min="2" max="2" width="28.140625" bestFit="1" customWidth="1"/>
    <col min="3" max="3" width="28.28515625" customWidth="1"/>
    <col min="4" max="6" width="28.140625" customWidth="1"/>
  </cols>
  <sheetData>
    <row r="1" spans="1:7">
      <c r="A1" s="426" t="s">
        <v>30</v>
      </c>
      <c r="B1" s="427">
        <v>0</v>
      </c>
      <c r="C1" s="125"/>
    </row>
    <row r="2" spans="1:7">
      <c r="A2" s="426" t="s">
        <v>31</v>
      </c>
      <c r="B2" s="428">
        <v>45016</v>
      </c>
      <c r="C2" s="125"/>
    </row>
    <row r="3" spans="1:7">
      <c r="A3" s="429" t="s">
        <v>682</v>
      </c>
      <c r="B3" s="430" t="s">
        <v>676</v>
      </c>
      <c r="C3" s="125"/>
    </row>
    <row r="5" spans="1:7">
      <c r="A5" s="444"/>
    </row>
    <row r="6" spans="1:7" ht="15.75" thickBot="1">
      <c r="A6" s="445"/>
      <c r="B6" s="445"/>
      <c r="C6" s="445"/>
      <c r="D6" s="445"/>
      <c r="E6" s="445"/>
      <c r="F6" s="445"/>
    </row>
    <row r="7" spans="1:7">
      <c r="A7" s="744"/>
      <c r="B7" s="746" t="s">
        <v>708</v>
      </c>
      <c r="C7" s="746"/>
      <c r="D7" s="746"/>
      <c r="E7" s="746"/>
      <c r="F7" s="747" t="s">
        <v>64</v>
      </c>
    </row>
    <row r="8" spans="1:7">
      <c r="A8" s="745"/>
      <c r="B8" s="446" t="s">
        <v>694</v>
      </c>
      <c r="C8" s="446" t="s">
        <v>695</v>
      </c>
      <c r="D8" s="446" t="s">
        <v>696</v>
      </c>
      <c r="E8" s="446" t="s">
        <v>706</v>
      </c>
      <c r="F8" s="748"/>
    </row>
    <row r="9" spans="1:7">
      <c r="A9" s="447" t="s">
        <v>697</v>
      </c>
      <c r="B9" s="448">
        <f>B13+B17</f>
        <v>0</v>
      </c>
      <c r="C9" s="448">
        <f t="shared" ref="C9:E9" si="0">C13+C17</f>
        <v>0</v>
      </c>
      <c r="D9" s="448">
        <f t="shared" si="0"/>
        <v>0</v>
      </c>
      <c r="E9" s="448">
        <f t="shared" si="0"/>
        <v>0</v>
      </c>
      <c r="F9" s="449">
        <f>F13+F17</f>
        <v>0</v>
      </c>
    </row>
    <row r="10" spans="1:7">
      <c r="A10" s="450" t="s">
        <v>699</v>
      </c>
      <c r="B10" s="451">
        <f t="shared" ref="B10:E12" si="1">B14+B18</f>
        <v>0</v>
      </c>
      <c r="C10" s="451">
        <f t="shared" si="1"/>
        <v>0</v>
      </c>
      <c r="D10" s="451">
        <f t="shared" si="1"/>
        <v>0</v>
      </c>
      <c r="E10" s="451">
        <f t="shared" si="1"/>
        <v>0</v>
      </c>
      <c r="F10" s="449">
        <f>SUM(B10:E10)</f>
        <v>0</v>
      </c>
      <c r="G10" s="463"/>
    </row>
    <row r="11" spans="1:7">
      <c r="A11" s="450" t="s">
        <v>707</v>
      </c>
      <c r="B11" s="451">
        <f t="shared" si="1"/>
        <v>0</v>
      </c>
      <c r="C11" s="451">
        <f t="shared" si="1"/>
        <v>0</v>
      </c>
      <c r="D11" s="451">
        <f t="shared" si="1"/>
        <v>0</v>
      </c>
      <c r="E11" s="451">
        <f t="shared" si="1"/>
        <v>0</v>
      </c>
      <c r="F11" s="449">
        <f t="shared" ref="F11:F12" si="2">SUM(B11:E11)</f>
        <v>0</v>
      </c>
      <c r="G11" s="463"/>
    </row>
    <row r="12" spans="1:7">
      <c r="A12" s="452" t="s">
        <v>698</v>
      </c>
      <c r="B12" s="451">
        <f t="shared" si="1"/>
        <v>0</v>
      </c>
      <c r="C12" s="451">
        <f t="shared" si="1"/>
        <v>0</v>
      </c>
      <c r="D12" s="451">
        <f t="shared" si="1"/>
        <v>0</v>
      </c>
      <c r="E12" s="451">
        <f t="shared" si="1"/>
        <v>0</v>
      </c>
      <c r="F12" s="449">
        <f t="shared" si="2"/>
        <v>0</v>
      </c>
      <c r="G12" s="463"/>
    </row>
    <row r="13" spans="1:7">
      <c r="A13" s="453" t="s">
        <v>688</v>
      </c>
      <c r="B13" s="454"/>
      <c r="C13" s="454"/>
      <c r="D13" s="454"/>
      <c r="E13" s="454"/>
      <c r="F13" s="455"/>
    </row>
    <row r="14" spans="1:7">
      <c r="A14" s="450" t="s">
        <v>699</v>
      </c>
      <c r="B14" s="456"/>
      <c r="C14" s="456"/>
      <c r="D14" s="456"/>
      <c r="E14" s="456"/>
      <c r="F14" s="457"/>
    </row>
    <row r="15" spans="1:7">
      <c r="A15" s="450" t="s">
        <v>707</v>
      </c>
      <c r="B15" s="456"/>
      <c r="C15" s="456"/>
      <c r="D15" s="456"/>
      <c r="E15" s="456"/>
      <c r="F15" s="457"/>
    </row>
    <row r="16" spans="1:7">
      <c r="A16" s="452" t="s">
        <v>698</v>
      </c>
      <c r="B16" s="456"/>
      <c r="C16" s="456"/>
      <c r="D16" s="456"/>
      <c r="E16" s="456"/>
      <c r="F16" s="457"/>
    </row>
    <row r="17" spans="1:6">
      <c r="A17" s="453" t="s">
        <v>684</v>
      </c>
      <c r="B17" s="454"/>
      <c r="C17" s="454"/>
      <c r="D17" s="454"/>
      <c r="E17" s="454"/>
      <c r="F17" s="457"/>
    </row>
    <row r="18" spans="1:6">
      <c r="A18" s="450" t="s">
        <v>699</v>
      </c>
      <c r="B18" s="456"/>
      <c r="C18" s="456"/>
      <c r="D18" s="456"/>
      <c r="E18" s="456"/>
      <c r="F18" s="457"/>
    </row>
    <row r="19" spans="1:6">
      <c r="A19" s="450" t="s">
        <v>707</v>
      </c>
      <c r="B19" s="456"/>
      <c r="C19" s="456"/>
      <c r="D19" s="456"/>
      <c r="E19" s="456"/>
      <c r="F19" s="457"/>
    </row>
    <row r="20" spans="1:6" ht="15.75" thickBot="1">
      <c r="A20" s="452" t="s">
        <v>698</v>
      </c>
      <c r="B20" s="458"/>
      <c r="C20" s="458"/>
      <c r="D20" s="458"/>
      <c r="E20" s="458"/>
      <c r="F20" s="45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G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10.7109375" style="4" customWidth="1"/>
    <col min="2" max="2" width="91.7109375" style="4" customWidth="1"/>
    <col min="3" max="3" width="53.28515625" style="4" customWidth="1"/>
    <col min="4" max="4" width="32.28515625" style="4" customWidth="1"/>
    <col min="5" max="5" width="9.42578125" style="5" customWidth="1"/>
    <col min="6" max="6" width="9.28515625" style="5"/>
    <col min="7" max="7" width="15.85546875" style="5" bestFit="1" customWidth="1"/>
    <col min="8" max="16384" width="9.28515625" style="5"/>
  </cols>
  <sheetData>
    <row r="1" spans="1:7">
      <c r="A1" s="2" t="s">
        <v>30</v>
      </c>
      <c r="B1" s="3" t="str">
        <f>'Info '!C2</f>
        <v>JSC Cartu Bank</v>
      </c>
      <c r="E1" s="4"/>
      <c r="F1" s="4"/>
    </row>
    <row r="2" spans="1:7" s="2" customFormat="1" ht="15.75" customHeight="1">
      <c r="A2" s="2" t="s">
        <v>31</v>
      </c>
      <c r="B2" s="238">
        <f>'1. key ratios '!B2</f>
        <v>46112</v>
      </c>
    </row>
    <row r="3" spans="1:7" s="2" customFormat="1" ht="15.75" customHeight="1">
      <c r="A3" s="68"/>
    </row>
    <row r="4" spans="1:7" s="2" customFormat="1" ht="15.75" customHeight="1" thickBot="1">
      <c r="A4" s="2" t="s">
        <v>47</v>
      </c>
      <c r="B4" s="119" t="s">
        <v>165</v>
      </c>
      <c r="D4" s="20" t="s">
        <v>35</v>
      </c>
    </row>
    <row r="5" spans="1:7" ht="25.5">
      <c r="A5" s="69" t="s">
        <v>6</v>
      </c>
      <c r="B5" s="137" t="s">
        <v>205</v>
      </c>
      <c r="C5" s="70" t="s">
        <v>624</v>
      </c>
      <c r="D5" s="71" t="s">
        <v>49</v>
      </c>
    </row>
    <row r="6" spans="1:7" ht="15">
      <c r="A6" s="289">
        <v>1</v>
      </c>
      <c r="B6" s="290" t="s">
        <v>525</v>
      </c>
      <c r="C6" s="622">
        <f>SUM(C7:C9)</f>
        <v>611117878.55570889</v>
      </c>
      <c r="D6" s="72"/>
      <c r="E6" s="73"/>
      <c r="G6" s="633"/>
    </row>
    <row r="7" spans="1:7" ht="15">
      <c r="A7" s="289">
        <v>1.1000000000000001</v>
      </c>
      <c r="B7" s="291" t="s">
        <v>526</v>
      </c>
      <c r="C7" s="623">
        <v>36956636.684</v>
      </c>
      <c r="D7" s="74"/>
      <c r="E7" s="73"/>
      <c r="G7" s="633"/>
    </row>
    <row r="8" spans="1:7" ht="15">
      <c r="A8" s="289">
        <v>1.2</v>
      </c>
      <c r="B8" s="291" t="s">
        <v>527</v>
      </c>
      <c r="C8" s="623">
        <v>267686109.90480268</v>
      </c>
      <c r="D8" s="74"/>
      <c r="E8" s="73"/>
      <c r="G8" s="633"/>
    </row>
    <row r="9" spans="1:7" ht="15">
      <c r="A9" s="289">
        <v>1.3</v>
      </c>
      <c r="B9" s="291" t="s">
        <v>528</v>
      </c>
      <c r="C9" s="623">
        <v>306475131.96690625</v>
      </c>
      <c r="D9" s="74"/>
      <c r="E9" s="73"/>
      <c r="G9" s="633"/>
    </row>
    <row r="10" spans="1:7" ht="15">
      <c r="A10" s="289">
        <v>2</v>
      </c>
      <c r="B10" s="292" t="s">
        <v>529</v>
      </c>
      <c r="C10" s="623">
        <v>0</v>
      </c>
      <c r="D10" s="74"/>
      <c r="E10" s="73"/>
      <c r="G10" s="633"/>
    </row>
    <row r="11" spans="1:7" ht="15">
      <c r="A11" s="289">
        <v>2.1</v>
      </c>
      <c r="B11" s="293" t="s">
        <v>530</v>
      </c>
      <c r="C11" s="624">
        <v>0</v>
      </c>
      <c r="D11" s="339"/>
      <c r="E11" s="75"/>
      <c r="G11" s="633"/>
    </row>
    <row r="12" spans="1:7" ht="15">
      <c r="A12" s="289">
        <v>3</v>
      </c>
      <c r="B12" s="294" t="s">
        <v>531</v>
      </c>
      <c r="C12" s="624">
        <v>0</v>
      </c>
      <c r="D12" s="339"/>
      <c r="E12" s="75"/>
      <c r="G12" s="633"/>
    </row>
    <row r="13" spans="1:7" ht="15">
      <c r="A13" s="289">
        <v>4</v>
      </c>
      <c r="B13" s="295" t="s">
        <v>532</v>
      </c>
      <c r="C13" s="624">
        <v>0</v>
      </c>
      <c r="D13" s="339"/>
      <c r="E13" s="75"/>
      <c r="G13" s="633"/>
    </row>
    <row r="14" spans="1:7" ht="15">
      <c r="A14" s="289">
        <v>5</v>
      </c>
      <c r="B14" s="296" t="s">
        <v>533</v>
      </c>
      <c r="C14" s="624">
        <f>SUM(C15:C17)</f>
        <v>175637.53</v>
      </c>
      <c r="D14" s="339"/>
      <c r="E14" s="75"/>
      <c r="G14" s="633"/>
    </row>
    <row r="15" spans="1:7" ht="15">
      <c r="A15" s="289">
        <v>5.0999999999999996</v>
      </c>
      <c r="B15" s="297" t="s">
        <v>534</v>
      </c>
      <c r="C15" s="623">
        <v>175637.53</v>
      </c>
      <c r="D15" s="339"/>
      <c r="E15" s="73"/>
      <c r="G15" s="633"/>
    </row>
    <row r="16" spans="1:7" ht="15">
      <c r="A16" s="289">
        <v>5.2</v>
      </c>
      <c r="B16" s="297" t="s">
        <v>535</v>
      </c>
      <c r="C16" s="623">
        <v>0</v>
      </c>
      <c r="D16" s="74"/>
      <c r="E16" s="73"/>
      <c r="G16" s="633"/>
    </row>
    <row r="17" spans="1:7" ht="15">
      <c r="A17" s="289">
        <v>5.3</v>
      </c>
      <c r="B17" s="298" t="s">
        <v>536</v>
      </c>
      <c r="C17" s="623">
        <v>0</v>
      </c>
      <c r="D17" s="74"/>
      <c r="E17" s="73"/>
      <c r="G17" s="633"/>
    </row>
    <row r="18" spans="1:7" ht="15">
      <c r="A18" s="289">
        <v>6</v>
      </c>
      <c r="B18" s="294" t="s">
        <v>537</v>
      </c>
      <c r="C18" s="623">
        <f>SUM(C19:C20)</f>
        <v>1216967958.9684141</v>
      </c>
      <c r="D18" s="74"/>
      <c r="E18" s="73"/>
      <c r="G18" s="633"/>
    </row>
    <row r="19" spans="1:7" ht="15">
      <c r="A19" s="289">
        <v>6.1</v>
      </c>
      <c r="B19" s="297" t="s">
        <v>535</v>
      </c>
      <c r="C19" s="624">
        <v>75889429.706043974</v>
      </c>
      <c r="D19" s="74"/>
      <c r="E19" s="73"/>
      <c r="G19" s="633"/>
    </row>
    <row r="20" spans="1:7" ht="15">
      <c r="A20" s="289">
        <v>6.2</v>
      </c>
      <c r="B20" s="298" t="s">
        <v>536</v>
      </c>
      <c r="C20" s="624">
        <v>1141078529.2623701</v>
      </c>
      <c r="D20" s="74"/>
      <c r="E20" s="73"/>
      <c r="G20" s="633"/>
    </row>
    <row r="21" spans="1:7" ht="15">
      <c r="A21" s="289">
        <v>7</v>
      </c>
      <c r="B21" s="292" t="s">
        <v>538</v>
      </c>
      <c r="C21" s="624">
        <v>9527300</v>
      </c>
      <c r="D21" s="74"/>
      <c r="E21" s="73"/>
      <c r="G21" s="633"/>
    </row>
    <row r="22" spans="1:7" ht="15">
      <c r="A22" s="289">
        <v>8</v>
      </c>
      <c r="B22" s="299" t="s">
        <v>539</v>
      </c>
      <c r="C22" s="623">
        <v>0</v>
      </c>
      <c r="D22" s="74"/>
      <c r="E22" s="73"/>
      <c r="G22" s="633"/>
    </row>
    <row r="23" spans="1:7" ht="15">
      <c r="A23" s="289">
        <v>9</v>
      </c>
      <c r="B23" s="295" t="s">
        <v>540</v>
      </c>
      <c r="C23" s="623">
        <f>SUM(C24:C25)</f>
        <v>24285653.962592997</v>
      </c>
      <c r="D23" s="340"/>
      <c r="E23" s="73"/>
      <c r="G23" s="633"/>
    </row>
    <row r="24" spans="1:7" ht="15">
      <c r="A24" s="289">
        <v>9.1</v>
      </c>
      <c r="B24" s="297" t="s">
        <v>541</v>
      </c>
      <c r="C24" s="625">
        <v>24285653.962592997</v>
      </c>
      <c r="D24" s="76"/>
      <c r="E24" s="73"/>
      <c r="G24" s="633"/>
    </row>
    <row r="25" spans="1:7" ht="15">
      <c r="A25" s="289">
        <v>9.1999999999999993</v>
      </c>
      <c r="B25" s="297" t="s">
        <v>542</v>
      </c>
      <c r="C25" s="626">
        <v>0</v>
      </c>
      <c r="D25" s="618"/>
      <c r="E25" s="77"/>
      <c r="G25" s="633"/>
    </row>
    <row r="26" spans="1:7" ht="15.75">
      <c r="A26" s="289">
        <v>10</v>
      </c>
      <c r="B26" s="295" t="s">
        <v>543</v>
      </c>
      <c r="C26" s="627">
        <f>SUM(C27:C28)</f>
        <v>15625069.66</v>
      </c>
      <c r="D26" s="425" t="s">
        <v>665</v>
      </c>
      <c r="E26" s="73"/>
      <c r="G26" s="633"/>
    </row>
    <row r="27" spans="1:7" ht="15">
      <c r="A27" s="289">
        <v>10.1</v>
      </c>
      <c r="B27" s="297" t="s">
        <v>544</v>
      </c>
      <c r="C27" s="623">
        <v>0</v>
      </c>
      <c r="D27" s="74"/>
      <c r="E27" s="73"/>
      <c r="G27" s="633"/>
    </row>
    <row r="28" spans="1:7" ht="15">
      <c r="A28" s="289">
        <v>10.199999999999999</v>
      </c>
      <c r="B28" s="297" t="s">
        <v>545</v>
      </c>
      <c r="C28" s="623">
        <v>15625069.66</v>
      </c>
      <c r="D28" s="74"/>
      <c r="E28" s="73"/>
      <c r="G28" s="633"/>
    </row>
    <row r="29" spans="1:7" ht="15">
      <c r="A29" s="289">
        <v>11</v>
      </c>
      <c r="B29" s="295" t="s">
        <v>546</v>
      </c>
      <c r="C29" s="623">
        <f>SUM(C30:C31)</f>
        <v>4209254.1011789702</v>
      </c>
      <c r="D29" s="74"/>
      <c r="E29" s="73"/>
      <c r="G29" s="633"/>
    </row>
    <row r="30" spans="1:7" ht="15">
      <c r="A30" s="289">
        <v>11.1</v>
      </c>
      <c r="B30" s="297" t="s">
        <v>547</v>
      </c>
      <c r="C30" s="623">
        <v>4209254.1011789702</v>
      </c>
      <c r="D30" s="74"/>
      <c r="E30" s="73"/>
      <c r="G30" s="633"/>
    </row>
    <row r="31" spans="1:7" ht="15">
      <c r="A31" s="289">
        <v>11.2</v>
      </c>
      <c r="B31" s="297" t="s">
        <v>548</v>
      </c>
      <c r="C31" s="623">
        <v>0</v>
      </c>
      <c r="D31" s="74"/>
      <c r="E31" s="73"/>
      <c r="G31" s="633"/>
    </row>
    <row r="32" spans="1:7" ht="15">
      <c r="A32" s="289">
        <v>13</v>
      </c>
      <c r="B32" s="295" t="s">
        <v>549</v>
      </c>
      <c r="C32" s="623">
        <v>51985864.657150865</v>
      </c>
      <c r="D32" s="74"/>
      <c r="E32" s="73"/>
      <c r="G32" s="633"/>
    </row>
    <row r="33" spans="1:7" ht="15">
      <c r="A33" s="289">
        <v>13.1</v>
      </c>
      <c r="B33" s="300" t="s">
        <v>550</v>
      </c>
      <c r="C33" s="623">
        <v>49317427.608850867</v>
      </c>
      <c r="D33" s="74"/>
      <c r="E33" s="73"/>
      <c r="G33" s="633"/>
    </row>
    <row r="34" spans="1:7" ht="15">
      <c r="A34" s="289">
        <v>13.2</v>
      </c>
      <c r="B34" s="300" t="s">
        <v>551</v>
      </c>
      <c r="C34" s="625">
        <v>0</v>
      </c>
      <c r="D34" s="76"/>
      <c r="E34" s="73"/>
      <c r="G34" s="633"/>
    </row>
    <row r="35" spans="1:7" ht="15">
      <c r="A35" s="289">
        <v>14</v>
      </c>
      <c r="B35" s="301" t="s">
        <v>552</v>
      </c>
      <c r="C35" s="625">
        <f>SUM(C6,C10,C12,C13,C14,C18,C21,C22,C23,C26,C29,C32)</f>
        <v>1933894617.4350457</v>
      </c>
      <c r="D35" s="76"/>
      <c r="E35" s="73"/>
      <c r="G35" s="633"/>
    </row>
    <row r="36" spans="1:7" ht="15">
      <c r="A36" s="289"/>
      <c r="B36" s="302" t="s">
        <v>553</v>
      </c>
      <c r="C36" s="628"/>
      <c r="D36" s="78"/>
      <c r="E36" s="73"/>
      <c r="G36" s="633"/>
    </row>
    <row r="37" spans="1:7" ht="15">
      <c r="A37" s="289">
        <v>15</v>
      </c>
      <c r="B37" s="303" t="s">
        <v>554</v>
      </c>
      <c r="C37" s="626">
        <v>0</v>
      </c>
      <c r="D37" s="618"/>
      <c r="E37" s="77"/>
      <c r="G37" s="633"/>
    </row>
    <row r="38" spans="1:7" ht="15">
      <c r="A38" s="304">
        <v>15.1</v>
      </c>
      <c r="B38" s="305" t="s">
        <v>530</v>
      </c>
      <c r="C38" s="623">
        <v>0</v>
      </c>
      <c r="D38" s="74"/>
      <c r="E38" s="73"/>
      <c r="G38" s="633"/>
    </row>
    <row r="39" spans="1:7" ht="15">
      <c r="A39" s="304">
        <v>16</v>
      </c>
      <c r="B39" s="292" t="s">
        <v>555</v>
      </c>
      <c r="C39" s="623">
        <v>0</v>
      </c>
      <c r="D39" s="74"/>
      <c r="E39" s="73"/>
      <c r="G39" s="633"/>
    </row>
    <row r="40" spans="1:7" ht="15">
      <c r="A40" s="304">
        <v>17</v>
      </c>
      <c r="B40" s="292" t="s">
        <v>556</v>
      </c>
      <c r="C40" s="623">
        <f>SUM(C41:C44)</f>
        <v>1351910470.1443636</v>
      </c>
      <c r="D40" s="74"/>
      <c r="E40" s="73"/>
      <c r="G40" s="633"/>
    </row>
    <row r="41" spans="1:7" ht="15">
      <c r="A41" s="304">
        <v>17.100000000000001</v>
      </c>
      <c r="B41" s="306" t="s">
        <v>557</v>
      </c>
      <c r="C41" s="623">
        <v>1341552745.5317001</v>
      </c>
      <c r="D41" s="74"/>
      <c r="E41" s="73"/>
      <c r="G41" s="633"/>
    </row>
    <row r="42" spans="1:7" ht="15">
      <c r="A42" s="304">
        <v>17.2</v>
      </c>
      <c r="B42" s="307" t="s">
        <v>558</v>
      </c>
      <c r="C42" s="623">
        <v>0</v>
      </c>
      <c r="D42" s="74"/>
      <c r="E42" s="73"/>
      <c r="G42" s="633"/>
    </row>
    <row r="43" spans="1:7" ht="15">
      <c r="A43" s="304">
        <v>17.3</v>
      </c>
      <c r="B43" s="333" t="s">
        <v>559</v>
      </c>
      <c r="C43" s="625">
        <v>0</v>
      </c>
      <c r="D43" s="76"/>
      <c r="E43" s="73"/>
      <c r="G43" s="633"/>
    </row>
    <row r="44" spans="1:7" ht="15">
      <c r="A44" s="304">
        <v>17.399999999999999</v>
      </c>
      <c r="B44" s="334" t="s">
        <v>560</v>
      </c>
      <c r="C44" s="629">
        <v>10357724.6126635</v>
      </c>
      <c r="D44" s="619"/>
      <c r="E44" s="73"/>
      <c r="G44" s="633"/>
    </row>
    <row r="45" spans="1:7" ht="15">
      <c r="A45" s="304">
        <v>18</v>
      </c>
      <c r="B45" s="312" t="s">
        <v>561</v>
      </c>
      <c r="C45" s="630">
        <v>560553.1052087961</v>
      </c>
      <c r="D45" s="620"/>
      <c r="E45" s="77"/>
      <c r="G45" s="633"/>
    </row>
    <row r="46" spans="1:7" ht="15">
      <c r="A46" s="304">
        <v>19</v>
      </c>
      <c r="B46" s="312" t="s">
        <v>562</v>
      </c>
      <c r="C46" s="631">
        <f>SUM(C47:C48)</f>
        <v>3011254.0238896543</v>
      </c>
      <c r="D46" s="621"/>
      <c r="G46" s="633"/>
    </row>
    <row r="47" spans="1:7" ht="15">
      <c r="A47" s="304">
        <v>19.100000000000001</v>
      </c>
      <c r="B47" s="335" t="s">
        <v>563</v>
      </c>
      <c r="C47" s="631">
        <v>0</v>
      </c>
      <c r="D47" s="621"/>
      <c r="G47" s="633"/>
    </row>
    <row r="48" spans="1:7" ht="15">
      <c r="A48" s="304">
        <v>19.2</v>
      </c>
      <c r="B48" s="335" t="s">
        <v>564</v>
      </c>
      <c r="C48" s="631">
        <v>3011254.0238896543</v>
      </c>
      <c r="D48" s="621"/>
      <c r="G48" s="633"/>
    </row>
    <row r="49" spans="1:7" ht="15.75">
      <c r="A49" s="304">
        <v>20</v>
      </c>
      <c r="B49" s="308" t="s">
        <v>565</v>
      </c>
      <c r="C49" s="631">
        <v>81463938.573199779</v>
      </c>
      <c r="D49" s="425" t="s">
        <v>778</v>
      </c>
      <c r="G49" s="633"/>
    </row>
    <row r="50" spans="1:7" ht="15">
      <c r="A50" s="304">
        <v>21</v>
      </c>
      <c r="B50" s="336" t="s">
        <v>566</v>
      </c>
      <c r="C50" s="631">
        <v>6001888.4269000003</v>
      </c>
      <c r="D50" s="621"/>
      <c r="G50" s="633"/>
    </row>
    <row r="51" spans="1:7" ht="15">
      <c r="A51" s="304">
        <v>21.1</v>
      </c>
      <c r="B51" s="307" t="s">
        <v>567</v>
      </c>
      <c r="C51" s="631">
        <v>0</v>
      </c>
      <c r="D51" s="621"/>
      <c r="G51" s="633"/>
    </row>
    <row r="52" spans="1:7" ht="15">
      <c r="A52" s="304">
        <v>22</v>
      </c>
      <c r="B52" s="309" t="s">
        <v>568</v>
      </c>
      <c r="C52" s="631">
        <f>SUM(C37,C39,C40,C45,C46,C49,C50)</f>
        <v>1442948104.2735617</v>
      </c>
      <c r="D52" s="621"/>
      <c r="G52" s="633"/>
    </row>
    <row r="53" spans="1:7" ht="15">
      <c r="A53" s="304"/>
      <c r="B53" s="310" t="s">
        <v>569</v>
      </c>
      <c r="C53" s="632"/>
      <c r="D53" s="621"/>
      <c r="G53" s="633"/>
    </row>
    <row r="54" spans="1:7" ht="15.75">
      <c r="A54" s="304">
        <v>23</v>
      </c>
      <c r="B54" s="308" t="s">
        <v>570</v>
      </c>
      <c r="C54" s="631">
        <v>114430000</v>
      </c>
      <c r="D54" s="425" t="s">
        <v>779</v>
      </c>
      <c r="G54" s="633"/>
    </row>
    <row r="55" spans="1:7" ht="15">
      <c r="A55" s="304">
        <v>24</v>
      </c>
      <c r="B55" s="308" t="s">
        <v>571</v>
      </c>
      <c r="C55" s="631">
        <v>0</v>
      </c>
      <c r="D55" s="621"/>
      <c r="G55" s="633"/>
    </row>
    <row r="56" spans="1:7" ht="15">
      <c r="A56" s="304">
        <v>25</v>
      </c>
      <c r="B56" s="312" t="s">
        <v>572</v>
      </c>
      <c r="C56" s="631">
        <v>0</v>
      </c>
      <c r="D56" s="621"/>
      <c r="G56" s="633"/>
    </row>
    <row r="57" spans="1:7" ht="15">
      <c r="A57" s="304">
        <v>26</v>
      </c>
      <c r="B57" s="312" t="s">
        <v>573</v>
      </c>
      <c r="C57" s="631">
        <v>0</v>
      </c>
      <c r="D57" s="621"/>
      <c r="G57" s="633"/>
    </row>
    <row r="58" spans="1:7" ht="15">
      <c r="A58" s="304">
        <v>27</v>
      </c>
      <c r="B58" s="312" t="s">
        <v>574</v>
      </c>
      <c r="C58" s="631">
        <f>SUM(C59:C60)</f>
        <v>23845347.84</v>
      </c>
      <c r="D58" s="621"/>
      <c r="G58" s="633"/>
    </row>
    <row r="59" spans="1:7" ht="15.75">
      <c r="A59" s="304">
        <v>27.1</v>
      </c>
      <c r="B59" s="334" t="s">
        <v>575</v>
      </c>
      <c r="C59" s="631">
        <v>23845347.84</v>
      </c>
      <c r="D59" s="425" t="s">
        <v>780</v>
      </c>
      <c r="G59" s="633"/>
    </row>
    <row r="60" spans="1:7" ht="15">
      <c r="A60" s="304">
        <v>27.2</v>
      </c>
      <c r="B60" s="334" t="s">
        <v>576</v>
      </c>
      <c r="C60" s="631">
        <v>0</v>
      </c>
      <c r="D60" s="621"/>
      <c r="G60" s="633"/>
    </row>
    <row r="61" spans="1:7" ht="15">
      <c r="A61" s="304">
        <v>28</v>
      </c>
      <c r="B61" s="311" t="s">
        <v>577</v>
      </c>
      <c r="C61" s="631">
        <v>0</v>
      </c>
      <c r="D61" s="621"/>
      <c r="G61" s="633"/>
    </row>
    <row r="62" spans="1:7" ht="15">
      <c r="A62" s="304">
        <v>29</v>
      </c>
      <c r="B62" s="312" t="s">
        <v>578</v>
      </c>
      <c r="C62" s="631">
        <f>SUM(C63:C65)</f>
        <v>0</v>
      </c>
      <c r="D62" s="621"/>
      <c r="G62" s="633"/>
    </row>
    <row r="63" spans="1:7" ht="15">
      <c r="A63" s="304">
        <v>29.1</v>
      </c>
      <c r="B63" s="337" t="s">
        <v>579</v>
      </c>
      <c r="C63" s="631">
        <v>0</v>
      </c>
      <c r="D63" s="621"/>
      <c r="G63" s="633"/>
    </row>
    <row r="64" spans="1:7" ht="15">
      <c r="A64" s="304">
        <v>29.2</v>
      </c>
      <c r="B64" s="335" t="s">
        <v>580</v>
      </c>
      <c r="C64" s="631">
        <v>0</v>
      </c>
      <c r="D64" s="621"/>
      <c r="G64" s="633"/>
    </row>
    <row r="65" spans="1:7" ht="15">
      <c r="A65" s="304">
        <v>29.3</v>
      </c>
      <c r="B65" s="335" t="s">
        <v>581</v>
      </c>
      <c r="C65" s="631">
        <v>0</v>
      </c>
      <c r="D65" s="621"/>
      <c r="G65" s="633"/>
    </row>
    <row r="66" spans="1:7" ht="15.75">
      <c r="A66" s="304">
        <v>30</v>
      </c>
      <c r="B66" s="312" t="s">
        <v>582</v>
      </c>
      <c r="C66" s="631">
        <v>352671172.36398411</v>
      </c>
      <c r="D66" s="425" t="s">
        <v>781</v>
      </c>
      <c r="G66" s="633"/>
    </row>
    <row r="67" spans="1:7" ht="15">
      <c r="A67" s="304">
        <v>31</v>
      </c>
      <c r="B67" s="338" t="s">
        <v>583</v>
      </c>
      <c r="C67" s="631">
        <f>SUM(C54,C55,C56,C57,C58,C61,C62,C66)</f>
        <v>490946520.20398414</v>
      </c>
      <c r="D67" s="621"/>
      <c r="G67" s="633"/>
    </row>
    <row r="68" spans="1:7" ht="15">
      <c r="A68" s="304">
        <v>32</v>
      </c>
      <c r="B68" s="312" t="s">
        <v>584</v>
      </c>
      <c r="C68" s="631">
        <f>SUM(C52,C67)</f>
        <v>1933894624.4775457</v>
      </c>
      <c r="D68" s="621"/>
      <c r="G68" s="633"/>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3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95" style="4" customWidth="1"/>
    <col min="3" max="3" width="15.85546875" style="4" bestFit="1" customWidth="1"/>
    <col min="4" max="4" width="16.42578125" style="4" bestFit="1" customWidth="1"/>
    <col min="5" max="5" width="13" style="4" bestFit="1" customWidth="1"/>
    <col min="6" max="6" width="16.42578125" style="4" bestFit="1" customWidth="1"/>
    <col min="7" max="7" width="13" style="4" bestFit="1" customWidth="1"/>
    <col min="8" max="8" width="13.28515625" style="4" bestFit="1" customWidth="1"/>
    <col min="9" max="9" width="13" style="4" bestFit="1" customWidth="1"/>
    <col min="10" max="10" width="13.28515625" style="4" bestFit="1" customWidth="1"/>
    <col min="11" max="11" width="13" style="4" bestFit="1" customWidth="1"/>
    <col min="12" max="12" width="13" style="19" bestFit="1" customWidth="1"/>
    <col min="13" max="13" width="15.140625" style="19" bestFit="1" customWidth="1"/>
    <col min="14" max="16" width="13" style="19" bestFit="1" customWidth="1"/>
    <col min="17" max="17" width="14.7109375" style="19" customWidth="1"/>
    <col min="18" max="18" width="13" style="19" bestFit="1" customWidth="1"/>
    <col min="19" max="19" width="34.7109375" style="19" customWidth="1"/>
    <col min="20" max="16384" width="9.28515625" style="19"/>
  </cols>
  <sheetData>
    <row r="1" spans="1:19">
      <c r="A1" s="2" t="s">
        <v>30</v>
      </c>
      <c r="B1" s="3" t="str">
        <f>'Info '!C2</f>
        <v>JSC Cartu Bank</v>
      </c>
    </row>
    <row r="2" spans="1:19">
      <c r="A2" s="2" t="s">
        <v>31</v>
      </c>
      <c r="B2" s="238">
        <f>'1. key ratios '!B2</f>
        <v>46112</v>
      </c>
    </row>
    <row r="4" spans="1:19" ht="26.25" thickBot="1">
      <c r="A4" s="4" t="s">
        <v>146</v>
      </c>
      <c r="B4" s="152" t="s">
        <v>238</v>
      </c>
    </row>
    <row r="5" spans="1:19" s="144" customFormat="1">
      <c r="A5" s="139"/>
      <c r="B5" s="140"/>
      <c r="C5" s="141" t="s">
        <v>0</v>
      </c>
      <c r="D5" s="141" t="s">
        <v>1</v>
      </c>
      <c r="E5" s="141" t="s">
        <v>2</v>
      </c>
      <c r="F5" s="141" t="s">
        <v>3</v>
      </c>
      <c r="G5" s="141" t="s">
        <v>4</v>
      </c>
      <c r="H5" s="141" t="s">
        <v>5</v>
      </c>
      <c r="I5" s="141" t="s">
        <v>8</v>
      </c>
      <c r="J5" s="141" t="s">
        <v>9</v>
      </c>
      <c r="K5" s="141" t="s">
        <v>10</v>
      </c>
      <c r="L5" s="141" t="s">
        <v>11</v>
      </c>
      <c r="M5" s="141" t="s">
        <v>12</v>
      </c>
      <c r="N5" s="141" t="s">
        <v>13</v>
      </c>
      <c r="O5" s="141" t="s">
        <v>222</v>
      </c>
      <c r="P5" s="141" t="s">
        <v>223</v>
      </c>
      <c r="Q5" s="141" t="s">
        <v>224</v>
      </c>
      <c r="R5" s="142" t="s">
        <v>225</v>
      </c>
      <c r="S5" s="143" t="s">
        <v>226</v>
      </c>
    </row>
    <row r="6" spans="1:19" s="144" customFormat="1" ht="99" customHeight="1">
      <c r="A6" s="145"/>
      <c r="B6" s="753" t="s">
        <v>227</v>
      </c>
      <c r="C6" s="749">
        <v>0</v>
      </c>
      <c r="D6" s="750"/>
      <c r="E6" s="749">
        <v>0.2</v>
      </c>
      <c r="F6" s="750"/>
      <c r="G6" s="749">
        <v>0.35</v>
      </c>
      <c r="H6" s="750"/>
      <c r="I6" s="749">
        <v>0.5</v>
      </c>
      <c r="J6" s="750"/>
      <c r="K6" s="749">
        <v>0.75</v>
      </c>
      <c r="L6" s="750"/>
      <c r="M6" s="749">
        <v>1</v>
      </c>
      <c r="N6" s="750"/>
      <c r="O6" s="749">
        <v>1.5</v>
      </c>
      <c r="P6" s="750"/>
      <c r="Q6" s="749">
        <v>2.5</v>
      </c>
      <c r="R6" s="750"/>
      <c r="S6" s="751" t="s">
        <v>145</v>
      </c>
    </row>
    <row r="7" spans="1:19" s="144" customFormat="1" ht="30.75" customHeight="1">
      <c r="A7" s="145"/>
      <c r="B7" s="754"/>
      <c r="C7" s="136" t="s">
        <v>148</v>
      </c>
      <c r="D7" s="136" t="s">
        <v>147</v>
      </c>
      <c r="E7" s="136" t="s">
        <v>148</v>
      </c>
      <c r="F7" s="136" t="s">
        <v>147</v>
      </c>
      <c r="G7" s="136" t="s">
        <v>148</v>
      </c>
      <c r="H7" s="136" t="s">
        <v>147</v>
      </c>
      <c r="I7" s="136" t="s">
        <v>148</v>
      </c>
      <c r="J7" s="136" t="s">
        <v>147</v>
      </c>
      <c r="K7" s="136" t="s">
        <v>148</v>
      </c>
      <c r="L7" s="136" t="s">
        <v>147</v>
      </c>
      <c r="M7" s="136" t="s">
        <v>148</v>
      </c>
      <c r="N7" s="136" t="s">
        <v>147</v>
      </c>
      <c r="O7" s="136" t="s">
        <v>148</v>
      </c>
      <c r="P7" s="136" t="s">
        <v>147</v>
      </c>
      <c r="Q7" s="136" t="s">
        <v>148</v>
      </c>
      <c r="R7" s="136" t="s">
        <v>147</v>
      </c>
      <c r="S7" s="752"/>
    </row>
    <row r="8" spans="1:19">
      <c r="A8" s="79">
        <v>1</v>
      </c>
      <c r="B8" s="1" t="s">
        <v>51</v>
      </c>
      <c r="C8" s="636">
        <v>32536323.18314977</v>
      </c>
      <c r="D8" s="636">
        <v>0</v>
      </c>
      <c r="E8" s="636">
        <v>0</v>
      </c>
      <c r="F8" s="636">
        <v>0</v>
      </c>
      <c r="G8" s="636">
        <v>0</v>
      </c>
      <c r="H8" s="636">
        <v>0</v>
      </c>
      <c r="I8" s="636">
        <v>0</v>
      </c>
      <c r="J8" s="636">
        <v>0</v>
      </c>
      <c r="K8" s="636">
        <v>0</v>
      </c>
      <c r="L8" s="636">
        <v>0</v>
      </c>
      <c r="M8" s="636">
        <v>256543829.52480263</v>
      </c>
      <c r="N8" s="636">
        <v>0</v>
      </c>
      <c r="O8" s="636">
        <v>0</v>
      </c>
      <c r="P8" s="636">
        <v>0</v>
      </c>
      <c r="Q8" s="636">
        <v>0</v>
      </c>
      <c r="R8" s="636">
        <v>0</v>
      </c>
      <c r="S8" s="153">
        <f>$C$6*SUM(C8:D8)+$E$6*SUM(E8:F8)+$G$6*SUM(G8:H8)+$I$6*SUM(I8:J8)+$K$6*SUM(K8:L8)+$M$6*SUM(M8:N8)+$O$6*SUM(O8:P8)+$Q$6*SUM(Q8:R8)</f>
        <v>256543829.52480263</v>
      </c>
    </row>
    <row r="9" spans="1:19">
      <c r="A9" s="79">
        <v>2</v>
      </c>
      <c r="B9" s="1" t="s">
        <v>52</v>
      </c>
      <c r="C9" s="636">
        <v>0</v>
      </c>
      <c r="D9" s="636">
        <v>0</v>
      </c>
      <c r="E9" s="636">
        <v>0</v>
      </c>
      <c r="F9" s="636">
        <v>0</v>
      </c>
      <c r="G9" s="636">
        <v>0</v>
      </c>
      <c r="H9" s="636">
        <v>0</v>
      </c>
      <c r="I9" s="636">
        <v>0</v>
      </c>
      <c r="J9" s="636">
        <v>0</v>
      </c>
      <c r="K9" s="636">
        <v>0</v>
      </c>
      <c r="L9" s="636">
        <v>0</v>
      </c>
      <c r="M9" s="636">
        <v>0</v>
      </c>
      <c r="N9" s="636">
        <v>0</v>
      </c>
      <c r="O9" s="636">
        <v>0</v>
      </c>
      <c r="P9" s="636">
        <v>0</v>
      </c>
      <c r="Q9" s="636">
        <v>0</v>
      </c>
      <c r="R9" s="636">
        <v>0</v>
      </c>
      <c r="S9" s="153">
        <f t="shared" ref="S9:S21" si="0">$C$6*SUM(C9:D9)+$E$6*SUM(E9:F9)+$G$6*SUM(G9:H9)+$I$6*SUM(I9:J9)+$K$6*SUM(K9:L9)+$M$6*SUM(M9:N9)+$O$6*SUM(O9:P9)+$Q$6*SUM(Q9:R9)</f>
        <v>0</v>
      </c>
    </row>
    <row r="10" spans="1:19">
      <c r="A10" s="79">
        <v>3</v>
      </c>
      <c r="B10" s="1" t="s">
        <v>152</v>
      </c>
      <c r="C10" s="636">
        <v>0</v>
      </c>
      <c r="D10" s="636">
        <v>0</v>
      </c>
      <c r="E10" s="636">
        <v>0</v>
      </c>
      <c r="F10" s="636">
        <v>0</v>
      </c>
      <c r="G10" s="636">
        <v>0</v>
      </c>
      <c r="H10" s="636">
        <v>0</v>
      </c>
      <c r="I10" s="636">
        <v>0</v>
      </c>
      <c r="J10" s="636">
        <v>0</v>
      </c>
      <c r="K10" s="636">
        <v>0</v>
      </c>
      <c r="L10" s="636">
        <v>0</v>
      </c>
      <c r="M10" s="636">
        <v>0</v>
      </c>
      <c r="N10" s="636">
        <v>0</v>
      </c>
      <c r="O10" s="636">
        <v>0</v>
      </c>
      <c r="P10" s="636">
        <v>0</v>
      </c>
      <c r="Q10" s="636">
        <v>0</v>
      </c>
      <c r="R10" s="636">
        <v>0</v>
      </c>
      <c r="S10" s="153">
        <f t="shared" si="0"/>
        <v>0</v>
      </c>
    </row>
    <row r="11" spans="1:19">
      <c r="A11" s="79">
        <v>4</v>
      </c>
      <c r="B11" s="1" t="s">
        <v>53</v>
      </c>
      <c r="C11" s="636">
        <v>0</v>
      </c>
      <c r="D11" s="636">
        <v>0</v>
      </c>
      <c r="E11" s="636">
        <v>0</v>
      </c>
      <c r="F11" s="636">
        <v>0</v>
      </c>
      <c r="G11" s="636">
        <v>0</v>
      </c>
      <c r="H11" s="636">
        <v>0</v>
      </c>
      <c r="I11" s="636">
        <v>0</v>
      </c>
      <c r="J11" s="636">
        <v>0</v>
      </c>
      <c r="K11" s="636">
        <v>0</v>
      </c>
      <c r="L11" s="636">
        <v>0</v>
      </c>
      <c r="M11" s="636">
        <v>0</v>
      </c>
      <c r="N11" s="636">
        <v>0</v>
      </c>
      <c r="O11" s="636">
        <v>0</v>
      </c>
      <c r="P11" s="636">
        <v>0</v>
      </c>
      <c r="Q11" s="636">
        <v>0</v>
      </c>
      <c r="R11" s="636">
        <v>0</v>
      </c>
      <c r="S11" s="153">
        <f t="shared" si="0"/>
        <v>0</v>
      </c>
    </row>
    <row r="12" spans="1:19">
      <c r="A12" s="79">
        <v>5</v>
      </c>
      <c r="B12" s="1" t="s">
        <v>54</v>
      </c>
      <c r="C12" s="636">
        <v>0</v>
      </c>
      <c r="D12" s="636">
        <v>0</v>
      </c>
      <c r="E12" s="636">
        <v>0</v>
      </c>
      <c r="F12" s="636">
        <v>0</v>
      </c>
      <c r="G12" s="636">
        <v>0</v>
      </c>
      <c r="H12" s="636">
        <v>0</v>
      </c>
      <c r="I12" s="636">
        <v>0</v>
      </c>
      <c r="J12" s="636">
        <v>0</v>
      </c>
      <c r="K12" s="636">
        <v>0</v>
      </c>
      <c r="L12" s="636">
        <v>0</v>
      </c>
      <c r="M12" s="636">
        <v>0</v>
      </c>
      <c r="N12" s="636">
        <v>0</v>
      </c>
      <c r="O12" s="636">
        <v>0</v>
      </c>
      <c r="P12" s="636">
        <v>0</v>
      </c>
      <c r="Q12" s="636">
        <v>0</v>
      </c>
      <c r="R12" s="636">
        <v>0</v>
      </c>
      <c r="S12" s="153">
        <f t="shared" si="0"/>
        <v>0</v>
      </c>
    </row>
    <row r="13" spans="1:19">
      <c r="A13" s="79">
        <v>6</v>
      </c>
      <c r="B13" s="1" t="s">
        <v>55</v>
      </c>
      <c r="C13" s="636">
        <v>0</v>
      </c>
      <c r="D13" s="636">
        <v>0</v>
      </c>
      <c r="E13" s="636">
        <v>268465739.2267676</v>
      </c>
      <c r="F13" s="636">
        <v>0</v>
      </c>
      <c r="G13" s="636">
        <v>0</v>
      </c>
      <c r="H13" s="636">
        <v>0</v>
      </c>
      <c r="I13" s="636">
        <v>25338157.809393514</v>
      </c>
      <c r="J13" s="636">
        <v>0</v>
      </c>
      <c r="K13" s="636">
        <v>0</v>
      </c>
      <c r="L13" s="636">
        <v>0</v>
      </c>
      <c r="M13" s="636">
        <v>8800374.8592451531</v>
      </c>
      <c r="N13" s="636">
        <v>0</v>
      </c>
      <c r="O13" s="636">
        <v>3870860.0715000005</v>
      </c>
      <c r="P13" s="636">
        <v>0</v>
      </c>
      <c r="Q13" s="636">
        <v>0</v>
      </c>
      <c r="R13" s="636">
        <v>0</v>
      </c>
      <c r="S13" s="153">
        <f t="shared" si="0"/>
        <v>80968891.716545433</v>
      </c>
    </row>
    <row r="14" spans="1:19">
      <c r="A14" s="79">
        <v>7</v>
      </c>
      <c r="B14" s="1" t="s">
        <v>56</v>
      </c>
      <c r="C14" s="636">
        <v>0</v>
      </c>
      <c r="D14" s="636">
        <v>0</v>
      </c>
      <c r="E14" s="636">
        <v>0</v>
      </c>
      <c r="F14" s="636">
        <v>0</v>
      </c>
      <c r="G14" s="636">
        <v>0</v>
      </c>
      <c r="H14" s="636">
        <v>0</v>
      </c>
      <c r="I14" s="636">
        <v>0</v>
      </c>
      <c r="J14" s="636">
        <v>0</v>
      </c>
      <c r="K14" s="636">
        <v>0</v>
      </c>
      <c r="L14" s="636">
        <v>0</v>
      </c>
      <c r="M14" s="636">
        <v>1092950410.8052795</v>
      </c>
      <c r="N14" s="636">
        <v>114973827.47557226</v>
      </c>
      <c r="O14" s="636">
        <v>0</v>
      </c>
      <c r="P14" s="636">
        <v>0</v>
      </c>
      <c r="Q14" s="636">
        <v>0</v>
      </c>
      <c r="R14" s="636">
        <v>0</v>
      </c>
      <c r="S14" s="153">
        <f t="shared" si="0"/>
        <v>1207924238.2808518</v>
      </c>
    </row>
    <row r="15" spans="1:19">
      <c r="A15" s="79">
        <v>8</v>
      </c>
      <c r="B15" s="1" t="s">
        <v>57</v>
      </c>
      <c r="C15" s="636">
        <v>0</v>
      </c>
      <c r="D15" s="636">
        <v>0</v>
      </c>
      <c r="E15" s="636">
        <v>0</v>
      </c>
      <c r="F15" s="636">
        <v>0</v>
      </c>
      <c r="G15" s="636">
        <v>0</v>
      </c>
      <c r="H15" s="636">
        <v>0</v>
      </c>
      <c r="I15" s="636">
        <v>0</v>
      </c>
      <c r="J15" s="636">
        <v>0</v>
      </c>
      <c r="K15" s="636">
        <v>0</v>
      </c>
      <c r="L15" s="636">
        <v>0</v>
      </c>
      <c r="M15" s="636">
        <v>0</v>
      </c>
      <c r="N15" s="636">
        <v>0</v>
      </c>
      <c r="O15" s="636">
        <v>0</v>
      </c>
      <c r="P15" s="636">
        <v>0</v>
      </c>
      <c r="Q15" s="636">
        <v>0</v>
      </c>
      <c r="R15" s="636">
        <v>0</v>
      </c>
      <c r="S15" s="153">
        <f t="shared" si="0"/>
        <v>0</v>
      </c>
    </row>
    <row r="16" spans="1:19">
      <c r="A16" s="79">
        <v>9</v>
      </c>
      <c r="B16" s="1" t="s">
        <v>58</v>
      </c>
      <c r="C16" s="636">
        <v>0</v>
      </c>
      <c r="D16" s="636">
        <v>0</v>
      </c>
      <c r="E16" s="636">
        <v>0</v>
      </c>
      <c r="F16" s="636">
        <v>0</v>
      </c>
      <c r="G16" s="636">
        <v>0</v>
      </c>
      <c r="H16" s="636">
        <v>0</v>
      </c>
      <c r="I16" s="636">
        <v>0</v>
      </c>
      <c r="J16" s="636">
        <v>0</v>
      </c>
      <c r="K16" s="636">
        <v>0</v>
      </c>
      <c r="L16" s="636">
        <v>0</v>
      </c>
      <c r="M16" s="636">
        <v>0</v>
      </c>
      <c r="N16" s="636">
        <v>0</v>
      </c>
      <c r="O16" s="636">
        <v>0</v>
      </c>
      <c r="P16" s="636">
        <v>0</v>
      </c>
      <c r="Q16" s="636">
        <v>0</v>
      </c>
      <c r="R16" s="636">
        <v>0</v>
      </c>
      <c r="S16" s="153">
        <f t="shared" si="0"/>
        <v>0</v>
      </c>
    </row>
    <row r="17" spans="1:19">
      <c r="A17" s="79">
        <v>10</v>
      </c>
      <c r="B17" s="1" t="s">
        <v>59</v>
      </c>
      <c r="C17" s="636">
        <v>0</v>
      </c>
      <c r="D17" s="636">
        <v>0</v>
      </c>
      <c r="E17" s="636">
        <v>0</v>
      </c>
      <c r="F17" s="636">
        <v>0</v>
      </c>
      <c r="G17" s="636">
        <v>0</v>
      </c>
      <c r="H17" s="636">
        <v>0</v>
      </c>
      <c r="I17" s="636">
        <v>0</v>
      </c>
      <c r="J17" s="636">
        <v>0</v>
      </c>
      <c r="K17" s="636">
        <v>0</v>
      </c>
      <c r="L17" s="636">
        <v>0</v>
      </c>
      <c r="M17" s="636">
        <v>52249418.357500672</v>
      </c>
      <c r="N17" s="636">
        <v>0</v>
      </c>
      <c r="O17" s="636">
        <v>0</v>
      </c>
      <c r="P17" s="636">
        <v>0</v>
      </c>
      <c r="Q17" s="636">
        <v>0</v>
      </c>
      <c r="R17" s="636">
        <v>0</v>
      </c>
      <c r="S17" s="153">
        <f t="shared" si="0"/>
        <v>52249418.357500672</v>
      </c>
    </row>
    <row r="18" spans="1:19">
      <c r="A18" s="79">
        <v>11</v>
      </c>
      <c r="B18" s="1" t="s">
        <v>60</v>
      </c>
      <c r="C18" s="636">
        <v>0</v>
      </c>
      <c r="D18" s="636">
        <v>0</v>
      </c>
      <c r="E18" s="636">
        <v>0</v>
      </c>
      <c r="F18" s="636">
        <v>0</v>
      </c>
      <c r="G18" s="636">
        <v>0</v>
      </c>
      <c r="H18" s="636">
        <v>0</v>
      </c>
      <c r="I18" s="636">
        <v>0</v>
      </c>
      <c r="J18" s="636">
        <v>0</v>
      </c>
      <c r="K18" s="636">
        <v>0</v>
      </c>
      <c r="L18" s="636">
        <v>0</v>
      </c>
      <c r="M18" s="636">
        <v>0</v>
      </c>
      <c r="N18" s="636">
        <v>0</v>
      </c>
      <c r="O18" s="636">
        <v>0</v>
      </c>
      <c r="P18" s="636">
        <v>0</v>
      </c>
      <c r="Q18" s="636">
        <v>0</v>
      </c>
      <c r="R18" s="636">
        <v>0</v>
      </c>
      <c r="S18" s="153">
        <f t="shared" si="0"/>
        <v>0</v>
      </c>
    </row>
    <row r="19" spans="1:19">
      <c r="A19" s="79">
        <v>12</v>
      </c>
      <c r="B19" s="1" t="s">
        <v>61</v>
      </c>
      <c r="C19" s="636">
        <v>0</v>
      </c>
      <c r="D19" s="636">
        <v>0</v>
      </c>
      <c r="E19" s="636">
        <v>0</v>
      </c>
      <c r="F19" s="636">
        <v>0</v>
      </c>
      <c r="G19" s="636">
        <v>0</v>
      </c>
      <c r="H19" s="636">
        <v>0</v>
      </c>
      <c r="I19" s="636">
        <v>0</v>
      </c>
      <c r="J19" s="636">
        <v>0</v>
      </c>
      <c r="K19" s="636">
        <v>0</v>
      </c>
      <c r="L19" s="636">
        <v>0</v>
      </c>
      <c r="M19" s="636">
        <v>0</v>
      </c>
      <c r="N19" s="636">
        <v>0</v>
      </c>
      <c r="O19" s="636">
        <v>0</v>
      </c>
      <c r="P19" s="636">
        <v>0</v>
      </c>
      <c r="Q19" s="636">
        <v>0</v>
      </c>
      <c r="R19" s="636">
        <v>0</v>
      </c>
      <c r="S19" s="153">
        <f t="shared" si="0"/>
        <v>0</v>
      </c>
    </row>
    <row r="20" spans="1:19">
      <c r="A20" s="79">
        <v>13</v>
      </c>
      <c r="B20" s="1" t="s">
        <v>144</v>
      </c>
      <c r="C20" s="636">
        <v>0</v>
      </c>
      <c r="D20" s="636">
        <v>0</v>
      </c>
      <c r="E20" s="636">
        <v>0</v>
      </c>
      <c r="F20" s="636">
        <v>0</v>
      </c>
      <c r="G20" s="636">
        <v>0</v>
      </c>
      <c r="H20" s="636">
        <v>0</v>
      </c>
      <c r="I20" s="636">
        <v>0</v>
      </c>
      <c r="J20" s="636">
        <v>0</v>
      </c>
      <c r="K20" s="636">
        <v>0</v>
      </c>
      <c r="L20" s="636">
        <v>0</v>
      </c>
      <c r="M20" s="636">
        <v>0</v>
      </c>
      <c r="N20" s="636">
        <v>0</v>
      </c>
      <c r="O20" s="636">
        <v>0</v>
      </c>
      <c r="P20" s="636">
        <v>0</v>
      </c>
      <c r="Q20" s="636">
        <v>0</v>
      </c>
      <c r="R20" s="636">
        <v>0</v>
      </c>
      <c r="S20" s="153">
        <f t="shared" si="0"/>
        <v>0</v>
      </c>
    </row>
    <row r="21" spans="1:19">
      <c r="A21" s="79">
        <v>14</v>
      </c>
      <c r="B21" s="1" t="s">
        <v>63</v>
      </c>
      <c r="C21" s="636">
        <v>45159038.046592996</v>
      </c>
      <c r="D21" s="636">
        <v>0</v>
      </c>
      <c r="E21" s="636">
        <v>0</v>
      </c>
      <c r="F21" s="636">
        <v>0</v>
      </c>
      <c r="G21" s="636">
        <v>0</v>
      </c>
      <c r="H21" s="636">
        <v>0</v>
      </c>
      <c r="I21" s="636">
        <v>0</v>
      </c>
      <c r="J21" s="636">
        <v>0</v>
      </c>
      <c r="K21" s="636">
        <v>0</v>
      </c>
      <c r="L21" s="636">
        <v>0</v>
      </c>
      <c r="M21" s="636">
        <v>105763573.56564297</v>
      </c>
      <c r="N21" s="636">
        <v>1491324.3067065065</v>
      </c>
      <c r="O21" s="636">
        <v>0</v>
      </c>
      <c r="P21" s="636">
        <v>0</v>
      </c>
      <c r="Q21" s="636">
        <v>26591824.239999998</v>
      </c>
      <c r="R21" s="636">
        <v>0</v>
      </c>
      <c r="S21" s="153">
        <f t="shared" si="0"/>
        <v>173734458.47234946</v>
      </c>
    </row>
    <row r="22" spans="1:19" ht="13.5" thickBot="1">
      <c r="A22" s="80"/>
      <c r="B22" s="81" t="s">
        <v>64</v>
      </c>
      <c r="C22" s="637">
        <f>SUM(C8:C21)</f>
        <v>77695361.229742765</v>
      </c>
      <c r="D22" s="637">
        <f t="shared" ref="D22:J22" si="1">SUM(D8:D21)</f>
        <v>0</v>
      </c>
      <c r="E22" s="637">
        <f t="shared" si="1"/>
        <v>268465739.2267676</v>
      </c>
      <c r="F22" s="637">
        <f t="shared" si="1"/>
        <v>0</v>
      </c>
      <c r="G22" s="637">
        <f t="shared" si="1"/>
        <v>0</v>
      </c>
      <c r="H22" s="637">
        <f t="shared" si="1"/>
        <v>0</v>
      </c>
      <c r="I22" s="637">
        <f t="shared" si="1"/>
        <v>25338157.809393514</v>
      </c>
      <c r="J22" s="637">
        <f t="shared" si="1"/>
        <v>0</v>
      </c>
      <c r="K22" s="637">
        <f t="shared" ref="K22:S22" si="2">SUM(K8:K21)</f>
        <v>0</v>
      </c>
      <c r="L22" s="637">
        <f t="shared" si="2"/>
        <v>0</v>
      </c>
      <c r="M22" s="637">
        <f t="shared" si="2"/>
        <v>1516307607.1124709</v>
      </c>
      <c r="N22" s="637">
        <f t="shared" si="2"/>
        <v>116465151.78227876</v>
      </c>
      <c r="O22" s="637">
        <f t="shared" si="2"/>
        <v>3870860.0715000005</v>
      </c>
      <c r="P22" s="637">
        <f t="shared" si="2"/>
        <v>0</v>
      </c>
      <c r="Q22" s="637">
        <f t="shared" si="2"/>
        <v>26591824.239999998</v>
      </c>
      <c r="R22" s="637">
        <f t="shared" si="2"/>
        <v>0</v>
      </c>
      <c r="S22" s="154">
        <f t="shared" si="2"/>
        <v>1771420836.3520501</v>
      </c>
    </row>
    <row r="25" spans="1:19">
      <c r="C25" s="602"/>
      <c r="D25" s="602"/>
      <c r="E25" s="602"/>
      <c r="F25" s="602"/>
      <c r="G25" s="602"/>
      <c r="H25" s="602"/>
      <c r="I25" s="602"/>
      <c r="J25" s="602"/>
      <c r="K25" s="602"/>
      <c r="L25" s="602"/>
      <c r="M25" s="602"/>
      <c r="N25" s="602"/>
      <c r="O25" s="602"/>
      <c r="P25" s="602"/>
      <c r="Q25" s="602"/>
      <c r="R25" s="602"/>
      <c r="S25" s="602"/>
    </row>
    <row r="26" spans="1:19">
      <c r="C26" s="602"/>
      <c r="D26" s="602"/>
      <c r="E26" s="602"/>
      <c r="F26" s="602"/>
      <c r="G26" s="602"/>
      <c r="H26" s="602"/>
      <c r="I26" s="602"/>
      <c r="J26" s="602"/>
      <c r="K26" s="602"/>
      <c r="L26" s="602"/>
      <c r="M26" s="602"/>
      <c r="N26" s="602"/>
      <c r="O26" s="602"/>
      <c r="P26" s="602"/>
      <c r="Q26" s="602"/>
      <c r="R26" s="602"/>
      <c r="S26" s="602"/>
    </row>
    <row r="27" spans="1:19">
      <c r="C27" s="602"/>
      <c r="D27" s="602"/>
      <c r="E27" s="602"/>
      <c r="F27" s="602"/>
      <c r="G27" s="602"/>
      <c r="H27" s="602"/>
      <c r="I27" s="602"/>
      <c r="J27" s="602"/>
      <c r="K27" s="602"/>
      <c r="L27" s="602"/>
      <c r="M27" s="602"/>
      <c r="N27" s="602"/>
      <c r="O27" s="602"/>
      <c r="P27" s="602"/>
      <c r="Q27" s="602"/>
      <c r="R27" s="602"/>
      <c r="S27" s="602"/>
    </row>
    <row r="28" spans="1:19">
      <c r="C28" s="602"/>
      <c r="D28" s="602"/>
      <c r="E28" s="602"/>
      <c r="F28" s="602"/>
      <c r="G28" s="602"/>
      <c r="H28" s="602"/>
      <c r="I28" s="602"/>
      <c r="J28" s="602"/>
      <c r="K28" s="602"/>
      <c r="L28" s="602"/>
      <c r="M28" s="602"/>
      <c r="N28" s="602"/>
      <c r="O28" s="602"/>
      <c r="P28" s="602"/>
      <c r="Q28" s="602"/>
      <c r="R28" s="602"/>
      <c r="S28" s="602"/>
    </row>
    <row r="29" spans="1:19">
      <c r="C29" s="602"/>
      <c r="D29" s="602"/>
      <c r="E29" s="602"/>
      <c r="F29" s="602"/>
      <c r="G29" s="602"/>
      <c r="H29" s="602"/>
      <c r="I29" s="602"/>
      <c r="J29" s="602"/>
      <c r="K29" s="602"/>
      <c r="L29" s="602"/>
      <c r="M29" s="602"/>
      <c r="N29" s="602"/>
      <c r="O29" s="602"/>
      <c r="P29" s="602"/>
      <c r="Q29" s="602"/>
      <c r="R29" s="602"/>
      <c r="S29" s="602"/>
    </row>
    <row r="30" spans="1:19">
      <c r="C30" s="602"/>
      <c r="D30" s="602"/>
      <c r="E30" s="602"/>
      <c r="F30" s="602"/>
      <c r="G30" s="602"/>
      <c r="H30" s="602"/>
      <c r="I30" s="602"/>
      <c r="J30" s="602"/>
      <c r="K30" s="602"/>
      <c r="L30" s="602"/>
      <c r="M30" s="602"/>
      <c r="N30" s="602"/>
      <c r="O30" s="602"/>
      <c r="P30" s="602"/>
      <c r="Q30" s="602"/>
      <c r="R30" s="602"/>
      <c r="S30" s="602"/>
    </row>
    <row r="31" spans="1:19">
      <c r="C31" s="602"/>
      <c r="D31" s="602"/>
      <c r="E31" s="602"/>
      <c r="F31" s="602"/>
      <c r="G31" s="602"/>
      <c r="H31" s="602"/>
      <c r="I31" s="602"/>
      <c r="J31" s="602"/>
      <c r="K31" s="602"/>
      <c r="L31" s="602"/>
      <c r="M31" s="602"/>
      <c r="N31" s="602"/>
      <c r="O31" s="602"/>
      <c r="P31" s="602"/>
      <c r="Q31" s="602"/>
      <c r="R31" s="602"/>
      <c r="S31" s="602"/>
    </row>
    <row r="32" spans="1:19">
      <c r="C32" s="602"/>
      <c r="D32" s="602"/>
      <c r="E32" s="602"/>
      <c r="F32" s="602"/>
      <c r="G32" s="602"/>
      <c r="H32" s="602"/>
      <c r="I32" s="602"/>
      <c r="J32" s="602"/>
      <c r="K32" s="602"/>
      <c r="L32" s="602"/>
      <c r="M32" s="602"/>
      <c r="N32" s="602"/>
      <c r="O32" s="602"/>
      <c r="P32" s="602"/>
      <c r="Q32" s="602"/>
      <c r="R32" s="602"/>
      <c r="S32" s="602"/>
    </row>
    <row r="33" spans="3:19">
      <c r="C33" s="602"/>
      <c r="D33" s="602"/>
      <c r="E33" s="602"/>
      <c r="F33" s="602"/>
      <c r="G33" s="602"/>
      <c r="H33" s="602"/>
      <c r="I33" s="602"/>
      <c r="J33" s="602"/>
      <c r="K33" s="602"/>
      <c r="L33" s="602"/>
      <c r="M33" s="602"/>
      <c r="N33" s="602"/>
      <c r="O33" s="602"/>
      <c r="P33" s="602"/>
      <c r="Q33" s="602"/>
      <c r="R33" s="602"/>
      <c r="S33" s="602"/>
    </row>
    <row r="34" spans="3:19">
      <c r="C34" s="602"/>
      <c r="D34" s="602"/>
      <c r="E34" s="602"/>
      <c r="F34" s="602"/>
      <c r="G34" s="602"/>
      <c r="H34" s="602"/>
      <c r="I34" s="602"/>
      <c r="J34" s="602"/>
      <c r="K34" s="602"/>
      <c r="L34" s="602"/>
      <c r="M34" s="602"/>
      <c r="N34" s="602"/>
      <c r="O34" s="602"/>
      <c r="P34" s="602"/>
      <c r="Q34" s="602"/>
      <c r="R34" s="602"/>
      <c r="S34" s="602"/>
    </row>
    <row r="35" spans="3:19">
      <c r="C35" s="602"/>
      <c r="D35" s="602"/>
      <c r="E35" s="602"/>
      <c r="F35" s="602"/>
      <c r="G35" s="602"/>
      <c r="H35" s="602"/>
      <c r="I35" s="602"/>
      <c r="J35" s="602"/>
      <c r="K35" s="602"/>
      <c r="L35" s="602"/>
      <c r="M35" s="602"/>
      <c r="N35" s="602"/>
      <c r="O35" s="602"/>
      <c r="P35" s="602"/>
      <c r="Q35" s="602"/>
      <c r="R35" s="602"/>
      <c r="S35" s="602"/>
    </row>
    <row r="36" spans="3:19">
      <c r="C36" s="602"/>
      <c r="D36" s="602"/>
      <c r="E36" s="602"/>
      <c r="F36" s="602"/>
      <c r="G36" s="602"/>
      <c r="H36" s="602"/>
      <c r="I36" s="602"/>
      <c r="J36" s="602"/>
      <c r="K36" s="602"/>
      <c r="L36" s="602"/>
      <c r="M36" s="602"/>
      <c r="N36" s="602"/>
      <c r="O36" s="602"/>
      <c r="P36" s="602"/>
      <c r="Q36" s="602"/>
      <c r="R36" s="602"/>
      <c r="S36" s="602"/>
    </row>
    <row r="37" spans="3:19">
      <c r="C37" s="602"/>
      <c r="D37" s="602"/>
      <c r="E37" s="602"/>
      <c r="F37" s="602"/>
      <c r="G37" s="602"/>
      <c r="H37" s="602"/>
      <c r="I37" s="602"/>
      <c r="J37" s="602"/>
      <c r="K37" s="602"/>
      <c r="L37" s="602"/>
      <c r="M37" s="602"/>
      <c r="N37" s="602"/>
      <c r="O37" s="602"/>
      <c r="P37" s="602"/>
      <c r="Q37" s="602"/>
      <c r="R37" s="602"/>
      <c r="S37" s="602"/>
    </row>
    <row r="38" spans="3:19">
      <c r="C38" s="602"/>
      <c r="D38" s="602"/>
      <c r="E38" s="602"/>
      <c r="F38" s="602"/>
      <c r="G38" s="602"/>
      <c r="H38" s="602"/>
      <c r="I38" s="602"/>
      <c r="J38" s="602"/>
      <c r="K38" s="602"/>
      <c r="L38" s="602"/>
      <c r="M38" s="602"/>
      <c r="N38" s="602"/>
      <c r="O38" s="602"/>
      <c r="P38" s="602"/>
      <c r="Q38" s="602"/>
      <c r="R38" s="602"/>
      <c r="S38" s="602"/>
    </row>
    <row r="39" spans="3:19">
      <c r="C39" s="602"/>
      <c r="D39" s="602"/>
      <c r="E39" s="602"/>
      <c r="F39" s="602"/>
      <c r="G39" s="602"/>
      <c r="H39" s="602"/>
      <c r="I39" s="602"/>
      <c r="J39" s="602"/>
      <c r="K39" s="602"/>
      <c r="L39" s="602"/>
      <c r="M39" s="602"/>
      <c r="N39" s="602"/>
      <c r="O39" s="602"/>
      <c r="P39" s="602"/>
      <c r="Q39" s="602"/>
      <c r="R39" s="602"/>
      <c r="S39" s="602"/>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9"/>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63.7109375" style="4" bestFit="1" customWidth="1"/>
    <col min="3" max="3" width="19" style="4" customWidth="1"/>
    <col min="4" max="4" width="19.5703125" style="4" customWidth="1"/>
    <col min="5" max="5" width="31.28515625" style="4" customWidth="1"/>
    <col min="6" max="6" width="29.28515625" style="4" customWidth="1"/>
    <col min="7" max="7" width="28.5703125" style="4" customWidth="1"/>
    <col min="8" max="8" width="26.42578125" style="4" customWidth="1"/>
    <col min="9" max="9" width="23.7109375" style="4" customWidth="1"/>
    <col min="10" max="10" width="21.5703125" style="4" customWidth="1"/>
    <col min="11" max="11" width="15.7109375" style="4" customWidth="1"/>
    <col min="12" max="12" width="13.28515625" style="4" customWidth="1"/>
    <col min="13" max="13" width="20.7109375" style="4" customWidth="1"/>
    <col min="14" max="14" width="19.28515625" style="4" customWidth="1"/>
    <col min="15" max="15" width="18.42578125" style="4" customWidth="1"/>
    <col min="16" max="16" width="19" style="4" customWidth="1"/>
    <col min="17" max="17" width="20.28515625" style="4" customWidth="1"/>
    <col min="18" max="18" width="18" style="4" customWidth="1"/>
    <col min="19" max="19" width="36" style="4" customWidth="1"/>
    <col min="20" max="20" width="26.28515625" style="4" customWidth="1"/>
    <col min="21" max="21" width="24.7109375" style="4" customWidth="1"/>
    <col min="22" max="22" width="20" style="4" customWidth="1"/>
    <col min="23" max="16384" width="9.28515625" style="19"/>
  </cols>
  <sheetData>
    <row r="1" spans="1:22">
      <c r="A1" s="2" t="s">
        <v>30</v>
      </c>
      <c r="B1" s="3" t="str">
        <f>'Info '!C2</f>
        <v>JSC Cartu Bank</v>
      </c>
    </row>
    <row r="2" spans="1:22">
      <c r="A2" s="2" t="s">
        <v>31</v>
      </c>
      <c r="B2" s="238">
        <f>'1. key ratios '!B2</f>
        <v>46112</v>
      </c>
    </row>
    <row r="4" spans="1:22" ht="13.5" thickBot="1">
      <c r="A4" s="4" t="s">
        <v>230</v>
      </c>
      <c r="B4" s="82" t="s">
        <v>50</v>
      </c>
      <c r="V4" s="20" t="s">
        <v>35</v>
      </c>
    </row>
    <row r="5" spans="1:22" ht="12.75" customHeight="1">
      <c r="A5" s="83"/>
      <c r="B5" s="84"/>
      <c r="C5" s="755" t="s">
        <v>156</v>
      </c>
      <c r="D5" s="756"/>
      <c r="E5" s="756"/>
      <c r="F5" s="756"/>
      <c r="G5" s="756"/>
      <c r="H5" s="756"/>
      <c r="I5" s="756"/>
      <c r="J5" s="756"/>
      <c r="K5" s="756"/>
      <c r="L5" s="757"/>
      <c r="M5" s="758" t="s">
        <v>157</v>
      </c>
      <c r="N5" s="759"/>
      <c r="O5" s="759"/>
      <c r="P5" s="759"/>
      <c r="Q5" s="759"/>
      <c r="R5" s="759"/>
      <c r="S5" s="760"/>
      <c r="T5" s="763" t="s">
        <v>228</v>
      </c>
      <c r="U5" s="763" t="s">
        <v>229</v>
      </c>
      <c r="V5" s="761" t="s">
        <v>76</v>
      </c>
    </row>
    <row r="6" spans="1:22" s="49" customFormat="1" ht="102">
      <c r="A6" s="47"/>
      <c r="B6" s="85"/>
      <c r="C6" s="86" t="s">
        <v>65</v>
      </c>
      <c r="D6" s="120" t="s">
        <v>66</v>
      </c>
      <c r="E6" s="99" t="s">
        <v>159</v>
      </c>
      <c r="F6" s="99" t="s">
        <v>160</v>
      </c>
      <c r="G6" s="120" t="s">
        <v>163</v>
      </c>
      <c r="H6" s="120" t="s">
        <v>158</v>
      </c>
      <c r="I6" s="120" t="s">
        <v>67</v>
      </c>
      <c r="J6" s="120" t="s">
        <v>68</v>
      </c>
      <c r="K6" s="87" t="s">
        <v>69</v>
      </c>
      <c r="L6" s="88" t="s">
        <v>70</v>
      </c>
      <c r="M6" s="86" t="s">
        <v>161</v>
      </c>
      <c r="N6" s="87" t="s">
        <v>71</v>
      </c>
      <c r="O6" s="87" t="s">
        <v>72</v>
      </c>
      <c r="P6" s="87" t="s">
        <v>73</v>
      </c>
      <c r="Q6" s="87" t="s">
        <v>74</v>
      </c>
      <c r="R6" s="87" t="s">
        <v>75</v>
      </c>
      <c r="S6" s="138" t="s">
        <v>162</v>
      </c>
      <c r="T6" s="764"/>
      <c r="U6" s="764"/>
      <c r="V6" s="762"/>
    </row>
    <row r="7" spans="1:22">
      <c r="A7" s="89">
        <v>1</v>
      </c>
      <c r="B7" s="1" t="s">
        <v>51</v>
      </c>
      <c r="C7" s="640">
        <v>0</v>
      </c>
      <c r="D7" s="634">
        <v>0</v>
      </c>
      <c r="E7" s="634">
        <v>0</v>
      </c>
      <c r="F7" s="634">
        <v>0</v>
      </c>
      <c r="G7" s="634">
        <v>0</v>
      </c>
      <c r="H7" s="634">
        <v>0</v>
      </c>
      <c r="I7" s="634">
        <v>0</v>
      </c>
      <c r="J7" s="634">
        <v>0</v>
      </c>
      <c r="K7" s="634">
        <v>0</v>
      </c>
      <c r="L7" s="641">
        <v>0</v>
      </c>
      <c r="M7" s="640">
        <v>0</v>
      </c>
      <c r="N7" s="634">
        <v>0</v>
      </c>
      <c r="O7" s="634">
        <v>0</v>
      </c>
      <c r="P7" s="634">
        <v>0</v>
      </c>
      <c r="Q7" s="634">
        <v>0</v>
      </c>
      <c r="R7" s="634">
        <v>0</v>
      </c>
      <c r="S7" s="641">
        <v>0</v>
      </c>
      <c r="T7" s="642">
        <v>0</v>
      </c>
      <c r="U7" s="642">
        <v>0</v>
      </c>
      <c r="V7" s="643">
        <f>SUM(C7:S7)</f>
        <v>0</v>
      </c>
    </row>
    <row r="8" spans="1:22">
      <c r="A8" s="89">
        <v>2</v>
      </c>
      <c r="B8" s="1" t="s">
        <v>52</v>
      </c>
      <c r="C8" s="640">
        <v>0</v>
      </c>
      <c r="D8" s="634">
        <v>0</v>
      </c>
      <c r="E8" s="634">
        <v>0</v>
      </c>
      <c r="F8" s="634">
        <v>0</v>
      </c>
      <c r="G8" s="634">
        <v>0</v>
      </c>
      <c r="H8" s="634">
        <v>0</v>
      </c>
      <c r="I8" s="634">
        <v>0</v>
      </c>
      <c r="J8" s="634">
        <v>0</v>
      </c>
      <c r="K8" s="634">
        <v>0</v>
      </c>
      <c r="L8" s="641">
        <v>0</v>
      </c>
      <c r="M8" s="640">
        <v>0</v>
      </c>
      <c r="N8" s="634">
        <v>0</v>
      </c>
      <c r="O8" s="634">
        <v>0</v>
      </c>
      <c r="P8" s="634">
        <v>0</v>
      </c>
      <c r="Q8" s="634">
        <v>0</v>
      </c>
      <c r="R8" s="634">
        <v>0</v>
      </c>
      <c r="S8" s="641">
        <v>0</v>
      </c>
      <c r="T8" s="642">
        <v>0</v>
      </c>
      <c r="U8" s="642">
        <v>0</v>
      </c>
      <c r="V8" s="643">
        <f t="shared" ref="V8:V20" si="0">SUM(C8:S8)</f>
        <v>0</v>
      </c>
    </row>
    <row r="9" spans="1:22">
      <c r="A9" s="89">
        <v>3</v>
      </c>
      <c r="B9" s="1" t="s">
        <v>153</v>
      </c>
      <c r="C9" s="640">
        <v>0</v>
      </c>
      <c r="D9" s="634">
        <v>0</v>
      </c>
      <c r="E9" s="634">
        <v>0</v>
      </c>
      <c r="F9" s="634">
        <v>0</v>
      </c>
      <c r="G9" s="634">
        <v>0</v>
      </c>
      <c r="H9" s="634">
        <v>0</v>
      </c>
      <c r="I9" s="634">
        <v>0</v>
      </c>
      <c r="J9" s="634">
        <v>0</v>
      </c>
      <c r="K9" s="634">
        <v>0</v>
      </c>
      <c r="L9" s="641">
        <v>0</v>
      </c>
      <c r="M9" s="640">
        <v>0</v>
      </c>
      <c r="N9" s="634">
        <v>0</v>
      </c>
      <c r="O9" s="634">
        <v>0</v>
      </c>
      <c r="P9" s="634">
        <v>0</v>
      </c>
      <c r="Q9" s="634">
        <v>0</v>
      </c>
      <c r="R9" s="634">
        <v>0</v>
      </c>
      <c r="S9" s="641">
        <v>0</v>
      </c>
      <c r="T9" s="642">
        <v>0</v>
      </c>
      <c r="U9" s="642">
        <v>0</v>
      </c>
      <c r="V9" s="643">
        <f t="shared" si="0"/>
        <v>0</v>
      </c>
    </row>
    <row r="10" spans="1:22">
      <c r="A10" s="89">
        <v>4</v>
      </c>
      <c r="B10" s="1" t="s">
        <v>53</v>
      </c>
      <c r="C10" s="640">
        <v>0</v>
      </c>
      <c r="D10" s="634">
        <v>0</v>
      </c>
      <c r="E10" s="634">
        <v>0</v>
      </c>
      <c r="F10" s="634">
        <v>0</v>
      </c>
      <c r="G10" s="634">
        <v>0</v>
      </c>
      <c r="H10" s="634">
        <v>0</v>
      </c>
      <c r="I10" s="634">
        <v>0</v>
      </c>
      <c r="J10" s="634">
        <v>0</v>
      </c>
      <c r="K10" s="634">
        <v>0</v>
      </c>
      <c r="L10" s="641">
        <v>0</v>
      </c>
      <c r="M10" s="640">
        <v>0</v>
      </c>
      <c r="N10" s="634">
        <v>0</v>
      </c>
      <c r="O10" s="634">
        <v>0</v>
      </c>
      <c r="P10" s="634">
        <v>0</v>
      </c>
      <c r="Q10" s="634">
        <v>0</v>
      </c>
      <c r="R10" s="634">
        <v>0</v>
      </c>
      <c r="S10" s="641">
        <v>0</v>
      </c>
      <c r="T10" s="642">
        <v>0</v>
      </c>
      <c r="U10" s="642">
        <v>0</v>
      </c>
      <c r="V10" s="643">
        <f t="shared" si="0"/>
        <v>0</v>
      </c>
    </row>
    <row r="11" spans="1:22">
      <c r="A11" s="89">
        <v>5</v>
      </c>
      <c r="B11" s="1" t="s">
        <v>54</v>
      </c>
      <c r="C11" s="640">
        <v>0</v>
      </c>
      <c r="D11" s="634">
        <v>0</v>
      </c>
      <c r="E11" s="634">
        <v>0</v>
      </c>
      <c r="F11" s="634">
        <v>0</v>
      </c>
      <c r="G11" s="634">
        <v>0</v>
      </c>
      <c r="H11" s="634">
        <v>0</v>
      </c>
      <c r="I11" s="634">
        <v>0</v>
      </c>
      <c r="J11" s="634">
        <v>0</v>
      </c>
      <c r="K11" s="634">
        <v>0</v>
      </c>
      <c r="L11" s="641">
        <v>0</v>
      </c>
      <c r="M11" s="640">
        <v>0</v>
      </c>
      <c r="N11" s="634">
        <v>0</v>
      </c>
      <c r="O11" s="634">
        <v>0</v>
      </c>
      <c r="P11" s="634">
        <v>0</v>
      </c>
      <c r="Q11" s="634">
        <v>0</v>
      </c>
      <c r="R11" s="634">
        <v>0</v>
      </c>
      <c r="S11" s="641">
        <v>0</v>
      </c>
      <c r="T11" s="642">
        <v>0</v>
      </c>
      <c r="U11" s="642">
        <v>0</v>
      </c>
      <c r="V11" s="643">
        <f t="shared" si="0"/>
        <v>0</v>
      </c>
    </row>
    <row r="12" spans="1:22">
      <c r="A12" s="89">
        <v>6</v>
      </c>
      <c r="B12" s="1" t="s">
        <v>55</v>
      </c>
      <c r="C12" s="640">
        <v>0</v>
      </c>
      <c r="D12" s="634">
        <v>0</v>
      </c>
      <c r="E12" s="634">
        <v>0</v>
      </c>
      <c r="F12" s="634">
        <v>0</v>
      </c>
      <c r="G12" s="634">
        <v>0</v>
      </c>
      <c r="H12" s="634">
        <v>0</v>
      </c>
      <c r="I12" s="634">
        <v>0</v>
      </c>
      <c r="J12" s="634">
        <v>0</v>
      </c>
      <c r="K12" s="634">
        <v>0</v>
      </c>
      <c r="L12" s="641">
        <v>0</v>
      </c>
      <c r="M12" s="640">
        <v>0</v>
      </c>
      <c r="N12" s="634">
        <v>0</v>
      </c>
      <c r="O12" s="634">
        <v>0</v>
      </c>
      <c r="P12" s="634">
        <v>0</v>
      </c>
      <c r="Q12" s="634">
        <v>0</v>
      </c>
      <c r="R12" s="634">
        <v>0</v>
      </c>
      <c r="S12" s="641">
        <v>0</v>
      </c>
      <c r="T12" s="642">
        <v>0</v>
      </c>
      <c r="U12" s="642">
        <v>0</v>
      </c>
      <c r="V12" s="643">
        <f t="shared" si="0"/>
        <v>0</v>
      </c>
    </row>
    <row r="13" spans="1:22">
      <c r="A13" s="89">
        <v>7</v>
      </c>
      <c r="B13" s="1" t="s">
        <v>56</v>
      </c>
      <c r="C13" s="640">
        <v>0</v>
      </c>
      <c r="D13" s="634">
        <v>94317481.162114263</v>
      </c>
      <c r="E13" s="634">
        <v>0</v>
      </c>
      <c r="F13" s="634">
        <v>0</v>
      </c>
      <c r="G13" s="634">
        <v>0</v>
      </c>
      <c r="H13" s="634">
        <v>0</v>
      </c>
      <c r="I13" s="634">
        <v>0</v>
      </c>
      <c r="J13" s="634">
        <v>0</v>
      </c>
      <c r="K13" s="634">
        <v>0</v>
      </c>
      <c r="L13" s="641">
        <v>0</v>
      </c>
      <c r="M13" s="640">
        <v>0</v>
      </c>
      <c r="N13" s="634">
        <v>0</v>
      </c>
      <c r="O13" s="634">
        <v>0</v>
      </c>
      <c r="P13" s="634">
        <v>0</v>
      </c>
      <c r="Q13" s="634">
        <v>0</v>
      </c>
      <c r="R13" s="634">
        <v>0</v>
      </c>
      <c r="S13" s="641">
        <v>0</v>
      </c>
      <c r="T13" s="642">
        <v>84320098.696929067</v>
      </c>
      <c r="U13" s="642">
        <v>9997382.4651851915</v>
      </c>
      <c r="V13" s="643">
        <f t="shared" si="0"/>
        <v>94317481.162114263</v>
      </c>
    </row>
    <row r="14" spans="1:22">
      <c r="A14" s="89">
        <v>8</v>
      </c>
      <c r="B14" s="1" t="s">
        <v>57</v>
      </c>
      <c r="C14" s="640">
        <v>0</v>
      </c>
      <c r="D14" s="634">
        <v>0</v>
      </c>
      <c r="E14" s="634">
        <v>0</v>
      </c>
      <c r="F14" s="634">
        <v>0</v>
      </c>
      <c r="G14" s="634">
        <v>0</v>
      </c>
      <c r="H14" s="634">
        <v>0</v>
      </c>
      <c r="I14" s="634">
        <v>0</v>
      </c>
      <c r="J14" s="634">
        <v>0</v>
      </c>
      <c r="K14" s="634">
        <v>0</v>
      </c>
      <c r="L14" s="641">
        <v>0</v>
      </c>
      <c r="M14" s="640">
        <v>0</v>
      </c>
      <c r="N14" s="634">
        <v>0</v>
      </c>
      <c r="O14" s="634">
        <v>0</v>
      </c>
      <c r="P14" s="634">
        <v>0</v>
      </c>
      <c r="Q14" s="634">
        <v>0</v>
      </c>
      <c r="R14" s="634">
        <v>0</v>
      </c>
      <c r="S14" s="641">
        <v>0</v>
      </c>
      <c r="T14" s="642">
        <v>0</v>
      </c>
      <c r="U14" s="642">
        <v>0</v>
      </c>
      <c r="V14" s="643">
        <f t="shared" si="0"/>
        <v>0</v>
      </c>
    </row>
    <row r="15" spans="1:22" ht="25.5">
      <c r="A15" s="89">
        <v>9</v>
      </c>
      <c r="B15" s="1" t="s">
        <v>58</v>
      </c>
      <c r="C15" s="640">
        <v>0</v>
      </c>
      <c r="D15" s="634">
        <v>0</v>
      </c>
      <c r="E15" s="634">
        <v>0</v>
      </c>
      <c r="F15" s="634">
        <v>0</v>
      </c>
      <c r="G15" s="634">
        <v>0</v>
      </c>
      <c r="H15" s="634">
        <v>0</v>
      </c>
      <c r="I15" s="634">
        <v>0</v>
      </c>
      <c r="J15" s="634">
        <v>0</v>
      </c>
      <c r="K15" s="634">
        <v>0</v>
      </c>
      <c r="L15" s="641">
        <v>0</v>
      </c>
      <c r="M15" s="640">
        <v>0</v>
      </c>
      <c r="N15" s="634">
        <v>0</v>
      </c>
      <c r="O15" s="634">
        <v>0</v>
      </c>
      <c r="P15" s="634">
        <v>0</v>
      </c>
      <c r="Q15" s="634">
        <v>0</v>
      </c>
      <c r="R15" s="634">
        <v>0</v>
      </c>
      <c r="S15" s="641">
        <v>0</v>
      </c>
      <c r="T15" s="642">
        <v>0</v>
      </c>
      <c r="U15" s="642">
        <v>0</v>
      </c>
      <c r="V15" s="643">
        <f t="shared" si="0"/>
        <v>0</v>
      </c>
    </row>
    <row r="16" spans="1:22">
      <c r="A16" s="89">
        <v>10</v>
      </c>
      <c r="B16" s="1" t="s">
        <v>59</v>
      </c>
      <c r="C16" s="640">
        <v>0</v>
      </c>
      <c r="D16" s="634">
        <v>1026.6367471999999</v>
      </c>
      <c r="E16" s="634">
        <v>0</v>
      </c>
      <c r="F16" s="634">
        <v>0</v>
      </c>
      <c r="G16" s="634">
        <v>0</v>
      </c>
      <c r="H16" s="634">
        <v>0</v>
      </c>
      <c r="I16" s="634">
        <v>0</v>
      </c>
      <c r="J16" s="634">
        <v>0</v>
      </c>
      <c r="K16" s="634">
        <v>0</v>
      </c>
      <c r="L16" s="641">
        <v>0</v>
      </c>
      <c r="M16" s="640">
        <v>0</v>
      </c>
      <c r="N16" s="634">
        <v>0</v>
      </c>
      <c r="O16" s="634">
        <v>0</v>
      </c>
      <c r="P16" s="634">
        <v>0</v>
      </c>
      <c r="Q16" s="634">
        <v>0</v>
      </c>
      <c r="R16" s="634">
        <v>0</v>
      </c>
      <c r="S16" s="641">
        <v>0</v>
      </c>
      <c r="T16" s="642">
        <v>1026.6367471999999</v>
      </c>
      <c r="U16" s="642">
        <v>0</v>
      </c>
      <c r="V16" s="643">
        <f t="shared" si="0"/>
        <v>1026.6367471999999</v>
      </c>
    </row>
    <row r="17" spans="1:22">
      <c r="A17" s="89">
        <v>11</v>
      </c>
      <c r="B17" s="1" t="s">
        <v>60</v>
      </c>
      <c r="C17" s="640">
        <v>0</v>
      </c>
      <c r="D17" s="634">
        <v>0</v>
      </c>
      <c r="E17" s="634">
        <v>0</v>
      </c>
      <c r="F17" s="634">
        <v>0</v>
      </c>
      <c r="G17" s="634">
        <v>0</v>
      </c>
      <c r="H17" s="634">
        <v>0</v>
      </c>
      <c r="I17" s="634">
        <v>0</v>
      </c>
      <c r="J17" s="634">
        <v>0</v>
      </c>
      <c r="K17" s="634">
        <v>0</v>
      </c>
      <c r="L17" s="641">
        <v>0</v>
      </c>
      <c r="M17" s="640">
        <v>0</v>
      </c>
      <c r="N17" s="634">
        <v>0</v>
      </c>
      <c r="O17" s="634">
        <v>0</v>
      </c>
      <c r="P17" s="634">
        <v>0</v>
      </c>
      <c r="Q17" s="634">
        <v>0</v>
      </c>
      <c r="R17" s="634">
        <v>0</v>
      </c>
      <c r="S17" s="641">
        <v>0</v>
      </c>
      <c r="T17" s="642">
        <v>0</v>
      </c>
      <c r="U17" s="642">
        <v>0</v>
      </c>
      <c r="V17" s="643">
        <f t="shared" si="0"/>
        <v>0</v>
      </c>
    </row>
    <row r="18" spans="1:22">
      <c r="A18" s="89">
        <v>12</v>
      </c>
      <c r="B18" s="1" t="s">
        <v>61</v>
      </c>
      <c r="C18" s="640">
        <v>0</v>
      </c>
      <c r="D18" s="634">
        <v>0</v>
      </c>
      <c r="E18" s="634">
        <v>0</v>
      </c>
      <c r="F18" s="634">
        <v>0</v>
      </c>
      <c r="G18" s="634">
        <v>0</v>
      </c>
      <c r="H18" s="634">
        <v>0</v>
      </c>
      <c r="I18" s="634">
        <v>0</v>
      </c>
      <c r="J18" s="634">
        <v>0</v>
      </c>
      <c r="K18" s="634">
        <v>0</v>
      </c>
      <c r="L18" s="641">
        <v>0</v>
      </c>
      <c r="M18" s="640">
        <v>0</v>
      </c>
      <c r="N18" s="634">
        <v>0</v>
      </c>
      <c r="O18" s="634">
        <v>0</v>
      </c>
      <c r="P18" s="634">
        <v>0</v>
      </c>
      <c r="Q18" s="634">
        <v>0</v>
      </c>
      <c r="R18" s="634">
        <v>0</v>
      </c>
      <c r="S18" s="641">
        <v>0</v>
      </c>
      <c r="T18" s="642">
        <v>0</v>
      </c>
      <c r="U18" s="642">
        <v>0</v>
      </c>
      <c r="V18" s="643">
        <f t="shared" si="0"/>
        <v>0</v>
      </c>
    </row>
    <row r="19" spans="1:22">
      <c r="A19" s="89">
        <v>13</v>
      </c>
      <c r="B19" s="1" t="s">
        <v>62</v>
      </c>
      <c r="C19" s="640">
        <v>0</v>
      </c>
      <c r="D19" s="634">
        <v>0</v>
      </c>
      <c r="E19" s="634">
        <v>0</v>
      </c>
      <c r="F19" s="634">
        <v>0</v>
      </c>
      <c r="G19" s="634">
        <v>0</v>
      </c>
      <c r="H19" s="634">
        <v>0</v>
      </c>
      <c r="I19" s="634">
        <v>0</v>
      </c>
      <c r="J19" s="634">
        <v>0</v>
      </c>
      <c r="K19" s="634">
        <v>0</v>
      </c>
      <c r="L19" s="641">
        <v>0</v>
      </c>
      <c r="M19" s="640">
        <v>0</v>
      </c>
      <c r="N19" s="634">
        <v>0</v>
      </c>
      <c r="O19" s="634">
        <v>0</v>
      </c>
      <c r="P19" s="634">
        <v>0</v>
      </c>
      <c r="Q19" s="634">
        <v>0</v>
      </c>
      <c r="R19" s="634">
        <v>0</v>
      </c>
      <c r="S19" s="641">
        <v>0</v>
      </c>
      <c r="T19" s="642">
        <v>0</v>
      </c>
      <c r="U19" s="642">
        <v>0</v>
      </c>
      <c r="V19" s="643">
        <f t="shared" si="0"/>
        <v>0</v>
      </c>
    </row>
    <row r="20" spans="1:22">
      <c r="A20" s="89">
        <v>14</v>
      </c>
      <c r="B20" s="1" t="s">
        <v>63</v>
      </c>
      <c r="C20" s="640">
        <v>0</v>
      </c>
      <c r="D20" s="634">
        <v>20129221.16700273</v>
      </c>
      <c r="E20" s="634">
        <v>0</v>
      </c>
      <c r="F20" s="634">
        <v>0</v>
      </c>
      <c r="G20" s="634">
        <v>0</v>
      </c>
      <c r="H20" s="634">
        <v>0</v>
      </c>
      <c r="I20" s="634">
        <v>0</v>
      </c>
      <c r="J20" s="634">
        <v>0</v>
      </c>
      <c r="K20" s="634">
        <v>0</v>
      </c>
      <c r="L20" s="641">
        <v>0</v>
      </c>
      <c r="M20" s="640">
        <v>0</v>
      </c>
      <c r="N20" s="634">
        <v>0</v>
      </c>
      <c r="O20" s="634">
        <v>0</v>
      </c>
      <c r="P20" s="634">
        <v>0</v>
      </c>
      <c r="Q20" s="634">
        <v>0</v>
      </c>
      <c r="R20" s="634">
        <v>0</v>
      </c>
      <c r="S20" s="641">
        <v>0</v>
      </c>
      <c r="T20" s="642">
        <v>20113967.299662799</v>
      </c>
      <c r="U20" s="642">
        <v>15253.867339932129</v>
      </c>
      <c r="V20" s="643">
        <f t="shared" si="0"/>
        <v>20129221.16700273</v>
      </c>
    </row>
    <row r="21" spans="1:22" ht="13.5" thickBot="1">
      <c r="A21" s="80"/>
      <c r="B21" s="91" t="s">
        <v>64</v>
      </c>
      <c r="C21" s="644">
        <f>SUM(C7:C20)</f>
        <v>0</v>
      </c>
      <c r="D21" s="635">
        <f t="shared" ref="D21:V21" si="1">SUM(D7:D20)</f>
        <v>114447728.96586418</v>
      </c>
      <c r="E21" s="635">
        <f t="shared" si="1"/>
        <v>0</v>
      </c>
      <c r="F21" s="635">
        <f t="shared" si="1"/>
        <v>0</v>
      </c>
      <c r="G21" s="635">
        <f t="shared" si="1"/>
        <v>0</v>
      </c>
      <c r="H21" s="635">
        <f t="shared" si="1"/>
        <v>0</v>
      </c>
      <c r="I21" s="635">
        <f t="shared" si="1"/>
        <v>0</v>
      </c>
      <c r="J21" s="635">
        <f t="shared" si="1"/>
        <v>0</v>
      </c>
      <c r="K21" s="635">
        <f t="shared" si="1"/>
        <v>0</v>
      </c>
      <c r="L21" s="645">
        <f t="shared" si="1"/>
        <v>0</v>
      </c>
      <c r="M21" s="644">
        <f t="shared" si="1"/>
        <v>0</v>
      </c>
      <c r="N21" s="635">
        <f t="shared" si="1"/>
        <v>0</v>
      </c>
      <c r="O21" s="635">
        <f t="shared" si="1"/>
        <v>0</v>
      </c>
      <c r="P21" s="635">
        <f t="shared" si="1"/>
        <v>0</v>
      </c>
      <c r="Q21" s="635">
        <f t="shared" si="1"/>
        <v>0</v>
      </c>
      <c r="R21" s="635">
        <f t="shared" si="1"/>
        <v>0</v>
      </c>
      <c r="S21" s="645">
        <f>SUM(S7:S20)</f>
        <v>0</v>
      </c>
      <c r="T21" s="645">
        <f>SUM(T7:T20)</f>
        <v>104435092.63333906</v>
      </c>
      <c r="U21" s="645">
        <f t="shared" ref="U21" si="2">SUM(U7:U20)</f>
        <v>10012636.332525123</v>
      </c>
      <c r="V21" s="646">
        <f t="shared" si="1"/>
        <v>114447728.96586418</v>
      </c>
    </row>
    <row r="24" spans="1:22">
      <c r="C24" s="639"/>
      <c r="D24" s="639"/>
      <c r="E24" s="639"/>
      <c r="F24" s="639"/>
      <c r="G24" s="639"/>
      <c r="H24" s="639"/>
      <c r="I24" s="639"/>
      <c r="J24" s="639"/>
      <c r="K24" s="639"/>
      <c r="L24" s="639"/>
      <c r="M24" s="639"/>
      <c r="N24" s="639"/>
      <c r="O24" s="639"/>
      <c r="P24" s="639"/>
      <c r="Q24" s="639"/>
      <c r="R24" s="639"/>
      <c r="S24" s="639"/>
      <c r="T24" s="639"/>
      <c r="U24" s="639"/>
      <c r="V24" s="639"/>
    </row>
    <row r="25" spans="1:22">
      <c r="A25" s="46"/>
      <c r="B25" s="46"/>
      <c r="C25" s="639"/>
      <c r="D25" s="639"/>
      <c r="E25" s="639"/>
      <c r="F25" s="639"/>
      <c r="G25" s="639"/>
      <c r="H25" s="639"/>
      <c r="I25" s="639"/>
      <c r="J25" s="639"/>
      <c r="K25" s="639"/>
      <c r="L25" s="639"/>
      <c r="M25" s="639"/>
      <c r="N25" s="639"/>
      <c r="O25" s="639"/>
      <c r="P25" s="639"/>
      <c r="Q25" s="639"/>
      <c r="R25" s="639"/>
      <c r="S25" s="639"/>
      <c r="T25" s="639"/>
      <c r="U25" s="639"/>
      <c r="V25" s="639"/>
    </row>
    <row r="26" spans="1:22">
      <c r="A26" s="46"/>
      <c r="B26" s="27"/>
      <c r="C26" s="639"/>
      <c r="D26" s="639"/>
      <c r="E26" s="639"/>
      <c r="F26" s="639"/>
      <c r="G26" s="639"/>
      <c r="H26" s="639"/>
      <c r="I26" s="639"/>
      <c r="J26" s="639"/>
      <c r="K26" s="639"/>
      <c r="L26" s="639"/>
      <c r="M26" s="639"/>
      <c r="N26" s="639"/>
      <c r="O26" s="639"/>
      <c r="P26" s="639"/>
      <c r="Q26" s="639"/>
      <c r="R26" s="639"/>
      <c r="S26" s="639"/>
      <c r="T26" s="639"/>
      <c r="U26" s="639"/>
      <c r="V26" s="639"/>
    </row>
    <row r="27" spans="1:22">
      <c r="A27" s="46"/>
      <c r="B27" s="46"/>
      <c r="C27" s="639"/>
      <c r="D27" s="639"/>
      <c r="E27" s="639"/>
      <c r="F27" s="639"/>
      <c r="G27" s="639"/>
      <c r="H27" s="639"/>
      <c r="I27" s="639"/>
      <c r="J27" s="639"/>
      <c r="K27" s="639"/>
      <c r="L27" s="639"/>
      <c r="M27" s="639"/>
      <c r="N27" s="639"/>
      <c r="O27" s="639"/>
      <c r="P27" s="639"/>
      <c r="Q27" s="639"/>
      <c r="R27" s="639"/>
      <c r="S27" s="639"/>
      <c r="T27" s="639"/>
      <c r="U27" s="639"/>
      <c r="V27" s="639"/>
    </row>
    <row r="28" spans="1:22">
      <c r="A28" s="46"/>
      <c r="B28" s="27"/>
      <c r="C28" s="639"/>
      <c r="D28" s="639"/>
      <c r="E28" s="639"/>
      <c r="F28" s="639"/>
      <c r="G28" s="639"/>
      <c r="H28" s="639"/>
      <c r="I28" s="639"/>
      <c r="J28" s="639"/>
      <c r="K28" s="639"/>
      <c r="L28" s="639"/>
      <c r="M28" s="639"/>
      <c r="N28" s="639"/>
      <c r="O28" s="639"/>
      <c r="P28" s="639"/>
      <c r="Q28" s="639"/>
      <c r="R28" s="639"/>
      <c r="S28" s="639"/>
      <c r="T28" s="639"/>
      <c r="U28" s="639"/>
      <c r="V28" s="639"/>
    </row>
    <row r="29" spans="1:22">
      <c r="C29" s="639"/>
      <c r="D29" s="639"/>
      <c r="E29" s="639"/>
      <c r="F29" s="639"/>
      <c r="G29" s="639"/>
      <c r="H29" s="639"/>
      <c r="I29" s="639"/>
      <c r="J29" s="639"/>
      <c r="K29" s="639"/>
      <c r="L29" s="639"/>
      <c r="M29" s="639"/>
      <c r="N29" s="639"/>
      <c r="O29" s="639"/>
      <c r="P29" s="639"/>
      <c r="Q29" s="639"/>
      <c r="R29" s="639"/>
      <c r="S29" s="639"/>
      <c r="T29" s="639"/>
      <c r="U29" s="639"/>
      <c r="V29" s="639"/>
    </row>
    <row r="30" spans="1:22">
      <c r="C30" s="639"/>
      <c r="D30" s="639"/>
      <c r="E30" s="639"/>
      <c r="F30" s="639"/>
      <c r="G30" s="639"/>
      <c r="H30" s="639"/>
      <c r="I30" s="639"/>
      <c r="J30" s="639"/>
      <c r="K30" s="639"/>
      <c r="L30" s="639"/>
      <c r="M30" s="639"/>
      <c r="N30" s="639"/>
      <c r="O30" s="639"/>
      <c r="P30" s="639"/>
      <c r="Q30" s="639"/>
      <c r="R30" s="639"/>
      <c r="S30" s="639"/>
      <c r="T30" s="639"/>
      <c r="U30" s="639"/>
      <c r="V30" s="639"/>
    </row>
    <row r="31" spans="1:22">
      <c r="C31" s="639"/>
      <c r="D31" s="639"/>
      <c r="E31" s="639"/>
      <c r="F31" s="639"/>
      <c r="G31" s="639"/>
      <c r="H31" s="639"/>
      <c r="I31" s="639"/>
      <c r="J31" s="639"/>
      <c r="K31" s="639"/>
      <c r="L31" s="639"/>
      <c r="M31" s="639"/>
      <c r="N31" s="639"/>
      <c r="O31" s="639"/>
      <c r="P31" s="639"/>
      <c r="Q31" s="639"/>
      <c r="R31" s="639"/>
      <c r="S31" s="639"/>
      <c r="T31" s="639"/>
      <c r="U31" s="639"/>
      <c r="V31" s="639"/>
    </row>
    <row r="32" spans="1:22">
      <c r="C32" s="639"/>
      <c r="D32" s="639"/>
      <c r="E32" s="639"/>
      <c r="F32" s="639"/>
      <c r="G32" s="639"/>
      <c r="H32" s="639"/>
      <c r="I32" s="639"/>
      <c r="J32" s="639"/>
      <c r="K32" s="639"/>
      <c r="L32" s="639"/>
      <c r="M32" s="639"/>
      <c r="N32" s="639"/>
      <c r="O32" s="639"/>
      <c r="P32" s="639"/>
      <c r="Q32" s="639"/>
      <c r="R32" s="639"/>
      <c r="S32" s="639"/>
      <c r="T32" s="639"/>
      <c r="U32" s="639"/>
      <c r="V32" s="639"/>
    </row>
    <row r="33" spans="3:22">
      <c r="C33" s="639"/>
      <c r="D33" s="639"/>
      <c r="E33" s="639"/>
      <c r="F33" s="639"/>
      <c r="G33" s="639"/>
      <c r="H33" s="639"/>
      <c r="I33" s="639"/>
      <c r="J33" s="639"/>
      <c r="K33" s="639"/>
      <c r="L33" s="639"/>
      <c r="M33" s="639"/>
      <c r="N33" s="639"/>
      <c r="O33" s="639"/>
      <c r="P33" s="639"/>
      <c r="Q33" s="639"/>
      <c r="R33" s="639"/>
      <c r="S33" s="639"/>
      <c r="T33" s="639"/>
      <c r="U33" s="639"/>
      <c r="V33" s="639"/>
    </row>
    <row r="34" spans="3:22">
      <c r="C34" s="639"/>
      <c r="D34" s="639"/>
      <c r="E34" s="639"/>
      <c r="F34" s="639"/>
      <c r="G34" s="639"/>
      <c r="H34" s="639"/>
      <c r="I34" s="639"/>
      <c r="J34" s="639"/>
      <c r="K34" s="639"/>
      <c r="L34" s="639"/>
      <c r="M34" s="639"/>
      <c r="N34" s="639"/>
      <c r="O34" s="639"/>
      <c r="P34" s="639"/>
      <c r="Q34" s="639"/>
      <c r="R34" s="639"/>
      <c r="S34" s="639"/>
      <c r="T34" s="639"/>
      <c r="U34" s="639"/>
      <c r="V34" s="639"/>
    </row>
    <row r="35" spans="3:22">
      <c r="C35" s="639"/>
      <c r="D35" s="639"/>
      <c r="E35" s="639"/>
      <c r="F35" s="639"/>
      <c r="G35" s="639"/>
      <c r="H35" s="639"/>
      <c r="I35" s="639"/>
      <c r="J35" s="639"/>
      <c r="K35" s="639"/>
      <c r="L35" s="639"/>
      <c r="M35" s="639"/>
      <c r="N35" s="639"/>
      <c r="O35" s="639"/>
      <c r="P35" s="639"/>
      <c r="Q35" s="639"/>
      <c r="R35" s="639"/>
      <c r="S35" s="639"/>
      <c r="T35" s="639"/>
      <c r="U35" s="639"/>
      <c r="V35" s="639"/>
    </row>
    <row r="36" spans="3:22">
      <c r="C36" s="639"/>
      <c r="D36" s="639"/>
      <c r="E36" s="639"/>
      <c r="F36" s="639"/>
      <c r="G36" s="639"/>
      <c r="H36" s="639"/>
      <c r="I36" s="639"/>
      <c r="J36" s="639"/>
      <c r="K36" s="639"/>
      <c r="L36" s="639"/>
      <c r="M36" s="639"/>
      <c r="N36" s="639"/>
      <c r="O36" s="639"/>
      <c r="P36" s="639"/>
      <c r="Q36" s="639"/>
      <c r="R36" s="639"/>
      <c r="S36" s="639"/>
      <c r="T36" s="639"/>
      <c r="U36" s="639"/>
      <c r="V36" s="639"/>
    </row>
    <row r="37" spans="3:22">
      <c r="C37" s="639"/>
      <c r="D37" s="639"/>
      <c r="E37" s="639"/>
      <c r="F37" s="639"/>
      <c r="G37" s="639"/>
      <c r="H37" s="639"/>
      <c r="I37" s="639"/>
      <c r="J37" s="639"/>
      <c r="K37" s="639"/>
      <c r="L37" s="639"/>
      <c r="M37" s="639"/>
      <c r="N37" s="639"/>
      <c r="O37" s="639"/>
      <c r="P37" s="639"/>
      <c r="Q37" s="639"/>
      <c r="R37" s="639"/>
      <c r="S37" s="639"/>
      <c r="T37" s="639"/>
      <c r="U37" s="639"/>
      <c r="V37" s="639"/>
    </row>
    <row r="38" spans="3:22">
      <c r="C38" s="639"/>
      <c r="D38" s="639"/>
      <c r="E38" s="639"/>
      <c r="F38" s="639"/>
      <c r="G38" s="639"/>
      <c r="H38" s="639"/>
      <c r="I38" s="639"/>
      <c r="J38" s="639"/>
      <c r="K38" s="639"/>
      <c r="L38" s="639"/>
      <c r="M38" s="639"/>
      <c r="N38" s="639"/>
      <c r="O38" s="639"/>
      <c r="P38" s="639"/>
      <c r="Q38" s="639"/>
      <c r="R38" s="639"/>
      <c r="S38" s="639"/>
      <c r="T38" s="639"/>
      <c r="U38" s="639"/>
      <c r="V38" s="639"/>
    </row>
    <row r="39" spans="3:22">
      <c r="C39" s="6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O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101.7109375" style="4" customWidth="1"/>
    <col min="3" max="3" width="14.28515625" style="125" customWidth="1"/>
    <col min="4" max="4" width="14.7109375" style="125" bestFit="1" customWidth="1"/>
    <col min="5" max="5" width="17.7109375" style="125" customWidth="1"/>
    <col min="6" max="6" width="15.7109375" style="125" customWidth="1"/>
    <col min="7" max="7" width="17.42578125" style="125" customWidth="1"/>
    <col min="8" max="8" width="15.28515625" style="125" customWidth="1"/>
    <col min="9" max="9" width="9.28515625" style="19"/>
    <col min="10" max="10" width="13.5703125" style="19" bestFit="1" customWidth="1"/>
    <col min="11" max="12" width="9.42578125" style="19" bestFit="1" customWidth="1"/>
    <col min="13" max="14" width="13.7109375" style="19" bestFit="1" customWidth="1"/>
    <col min="15" max="15" width="9.42578125" style="19" bestFit="1" customWidth="1"/>
    <col min="16" max="16384" width="9.28515625" style="19"/>
  </cols>
  <sheetData>
    <row r="1" spans="1:15">
      <c r="A1" s="2" t="s">
        <v>30</v>
      </c>
      <c r="B1" s="4" t="str">
        <f>'Info '!C2</f>
        <v>JSC Cartu Bank</v>
      </c>
      <c r="C1" s="3"/>
    </row>
    <row r="2" spans="1:15">
      <c r="A2" s="2" t="s">
        <v>31</v>
      </c>
      <c r="B2" s="238">
        <f>'1. key ratios '!B2</f>
        <v>46112</v>
      </c>
      <c r="C2" s="238"/>
    </row>
    <row r="4" spans="1:15" ht="13.5" thickBot="1">
      <c r="A4" s="2" t="s">
        <v>150</v>
      </c>
      <c r="B4" s="82" t="s">
        <v>239</v>
      </c>
    </row>
    <row r="5" spans="1:15">
      <c r="A5" s="83"/>
      <c r="B5" s="92"/>
      <c r="C5" s="146" t="s">
        <v>0</v>
      </c>
      <c r="D5" s="146" t="s">
        <v>1</v>
      </c>
      <c r="E5" s="146" t="s">
        <v>2</v>
      </c>
      <c r="F5" s="146" t="s">
        <v>3</v>
      </c>
      <c r="G5" s="147" t="s">
        <v>4</v>
      </c>
      <c r="H5" s="148" t="s">
        <v>5</v>
      </c>
      <c r="I5" s="93"/>
    </row>
    <row r="6" spans="1:15" s="93" customFormat="1" ht="12.75" customHeight="1">
      <c r="A6" s="94"/>
      <c r="B6" s="767" t="s">
        <v>149</v>
      </c>
      <c r="C6" s="753" t="s">
        <v>232</v>
      </c>
      <c r="D6" s="769" t="s">
        <v>231</v>
      </c>
      <c r="E6" s="770"/>
      <c r="F6" s="753" t="s">
        <v>236</v>
      </c>
      <c r="G6" s="753" t="s">
        <v>237</v>
      </c>
      <c r="H6" s="765" t="s">
        <v>235</v>
      </c>
    </row>
    <row r="7" spans="1:15" ht="38.25">
      <c r="A7" s="96"/>
      <c r="B7" s="768"/>
      <c r="C7" s="754"/>
      <c r="D7" s="149" t="s">
        <v>234</v>
      </c>
      <c r="E7" s="149" t="s">
        <v>233</v>
      </c>
      <c r="F7" s="754"/>
      <c r="G7" s="754"/>
      <c r="H7" s="766"/>
      <c r="I7" s="93"/>
    </row>
    <row r="8" spans="1:15">
      <c r="A8" s="94">
        <v>1</v>
      </c>
      <c r="B8" s="1" t="s">
        <v>51</v>
      </c>
      <c r="C8" s="647">
        <v>289080152.70795238</v>
      </c>
      <c r="D8" s="647">
        <v>0</v>
      </c>
      <c r="E8" s="647">
        <v>0</v>
      </c>
      <c r="F8" s="647">
        <v>256543829.52480263</v>
      </c>
      <c r="G8" s="648">
        <v>256543829.52480263</v>
      </c>
      <c r="H8" s="150">
        <f>G8/(C8+E8)</f>
        <v>0.88744878235891878</v>
      </c>
      <c r="J8" s="583"/>
      <c r="K8" s="583"/>
      <c r="L8" s="583"/>
      <c r="M8" s="583"/>
      <c r="N8" s="583"/>
      <c r="O8" s="583"/>
    </row>
    <row r="9" spans="1:15" ht="15" customHeight="1">
      <c r="A9" s="94">
        <v>2</v>
      </c>
      <c r="B9" s="1" t="s">
        <v>52</v>
      </c>
      <c r="C9" s="647">
        <v>0</v>
      </c>
      <c r="D9" s="647">
        <v>0</v>
      </c>
      <c r="E9" s="647">
        <v>0</v>
      </c>
      <c r="F9" s="647">
        <v>0</v>
      </c>
      <c r="G9" s="648">
        <v>0</v>
      </c>
      <c r="H9" s="150">
        <f>IFERROR(G9/(C9+E9),0)</f>
        <v>0</v>
      </c>
      <c r="J9" s="583"/>
      <c r="K9" s="583"/>
      <c r="L9" s="583"/>
      <c r="M9" s="583"/>
      <c r="N9" s="583"/>
      <c r="O9" s="583"/>
    </row>
    <row r="10" spans="1:15">
      <c r="A10" s="94">
        <v>3</v>
      </c>
      <c r="B10" s="1" t="s">
        <v>153</v>
      </c>
      <c r="C10" s="647">
        <v>0</v>
      </c>
      <c r="D10" s="647">
        <v>0</v>
      </c>
      <c r="E10" s="647">
        <v>0</v>
      </c>
      <c r="F10" s="647">
        <v>0</v>
      </c>
      <c r="G10" s="648">
        <v>0</v>
      </c>
      <c r="H10" s="150">
        <f>IFERROR(G10/(C10+E10),0)</f>
        <v>0</v>
      </c>
      <c r="J10" s="583"/>
      <c r="K10" s="583"/>
      <c r="L10" s="583"/>
      <c r="M10" s="583"/>
      <c r="N10" s="583"/>
      <c r="O10" s="583"/>
    </row>
    <row r="11" spans="1:15">
      <c r="A11" s="94">
        <v>4</v>
      </c>
      <c r="B11" s="1" t="s">
        <v>53</v>
      </c>
      <c r="C11" s="647">
        <v>0</v>
      </c>
      <c r="D11" s="647">
        <v>0</v>
      </c>
      <c r="E11" s="647">
        <v>0</v>
      </c>
      <c r="F11" s="647">
        <v>0</v>
      </c>
      <c r="G11" s="648">
        <v>0</v>
      </c>
      <c r="H11" s="150">
        <f>IFERROR(G11/(C11+E11),0)</f>
        <v>0</v>
      </c>
      <c r="J11" s="583"/>
      <c r="K11" s="583"/>
      <c r="L11" s="583"/>
      <c r="M11" s="583"/>
      <c r="N11" s="583"/>
      <c r="O11" s="583"/>
    </row>
    <row r="12" spans="1:15">
      <c r="A12" s="94">
        <v>5</v>
      </c>
      <c r="B12" s="1" t="s">
        <v>54</v>
      </c>
      <c r="C12" s="647">
        <v>0</v>
      </c>
      <c r="D12" s="647">
        <v>0</v>
      </c>
      <c r="E12" s="647">
        <v>0</v>
      </c>
      <c r="F12" s="647">
        <v>0</v>
      </c>
      <c r="G12" s="648">
        <v>0</v>
      </c>
      <c r="H12" s="150">
        <f>IFERROR(G12/(C12+E12),0)</f>
        <v>0</v>
      </c>
      <c r="J12" s="583"/>
      <c r="K12" s="583"/>
      <c r="L12" s="583"/>
      <c r="M12" s="583"/>
      <c r="N12" s="583"/>
      <c r="O12" s="583"/>
    </row>
    <row r="13" spans="1:15">
      <c r="A13" s="94">
        <v>6</v>
      </c>
      <c r="B13" s="1" t="s">
        <v>55</v>
      </c>
      <c r="C13" s="647">
        <v>306475131.96690631</v>
      </c>
      <c r="D13" s="647">
        <v>0</v>
      </c>
      <c r="E13" s="647">
        <v>0</v>
      </c>
      <c r="F13" s="647">
        <v>80968891.716545433</v>
      </c>
      <c r="G13" s="648">
        <v>80968891.716545433</v>
      </c>
      <c r="H13" s="150">
        <f t="shared" ref="H13:H21" si="0">G13/(C13+E13)</f>
        <v>0.26419400228951884</v>
      </c>
      <c r="J13" s="583"/>
      <c r="K13" s="583"/>
      <c r="L13" s="583"/>
      <c r="M13" s="583"/>
      <c r="N13" s="583"/>
      <c r="O13" s="583"/>
    </row>
    <row r="14" spans="1:15">
      <c r="A14" s="94">
        <v>7</v>
      </c>
      <c r="B14" s="1" t="s">
        <v>56</v>
      </c>
      <c r="C14" s="647">
        <v>1092950410.8052795</v>
      </c>
      <c r="D14" s="647">
        <v>204104882.05804619</v>
      </c>
      <c r="E14" s="647">
        <v>114973827.47557226</v>
      </c>
      <c r="F14" s="647">
        <v>1207924238.2808518</v>
      </c>
      <c r="G14" s="648">
        <v>1113606757.1187377</v>
      </c>
      <c r="H14" s="150">
        <f t="shared" si="0"/>
        <v>0.92191771787248089</v>
      </c>
      <c r="J14" s="583"/>
      <c r="K14" s="583"/>
      <c r="L14" s="583"/>
      <c r="M14" s="583"/>
      <c r="N14" s="583"/>
      <c r="O14" s="583"/>
    </row>
    <row r="15" spans="1:15">
      <c r="A15" s="94">
        <v>8</v>
      </c>
      <c r="B15" s="1" t="s">
        <v>57</v>
      </c>
      <c r="C15" s="647">
        <v>0</v>
      </c>
      <c r="D15" s="647">
        <v>0</v>
      </c>
      <c r="E15" s="647">
        <v>0</v>
      </c>
      <c r="F15" s="647">
        <v>0</v>
      </c>
      <c r="G15" s="648">
        <v>0</v>
      </c>
      <c r="H15" s="150">
        <f>IFERROR(G15/(C15+E15),0)</f>
        <v>0</v>
      </c>
      <c r="J15" s="583"/>
      <c r="K15" s="583"/>
      <c r="L15" s="583"/>
      <c r="M15" s="583"/>
      <c r="N15" s="583"/>
      <c r="O15" s="583"/>
    </row>
    <row r="16" spans="1:15">
      <c r="A16" s="94">
        <v>9</v>
      </c>
      <c r="B16" s="1" t="s">
        <v>58</v>
      </c>
      <c r="C16" s="647">
        <v>0</v>
      </c>
      <c r="D16" s="647">
        <v>0</v>
      </c>
      <c r="E16" s="647">
        <v>0</v>
      </c>
      <c r="F16" s="647">
        <v>0</v>
      </c>
      <c r="G16" s="648">
        <v>0</v>
      </c>
      <c r="H16" s="150">
        <f>IFERROR(G16/(C16+E16),0)</f>
        <v>0</v>
      </c>
      <c r="J16" s="583"/>
      <c r="K16" s="583"/>
      <c r="L16" s="583"/>
      <c r="M16" s="583"/>
      <c r="N16" s="583"/>
      <c r="O16" s="583"/>
    </row>
    <row r="17" spans="1:15">
      <c r="A17" s="94">
        <v>10</v>
      </c>
      <c r="B17" s="1" t="s">
        <v>59</v>
      </c>
      <c r="C17" s="647">
        <v>52249418.357500672</v>
      </c>
      <c r="D17" s="647">
        <v>0</v>
      </c>
      <c r="E17" s="647">
        <v>0</v>
      </c>
      <c r="F17" s="647">
        <v>52249418.357500672</v>
      </c>
      <c r="G17" s="648">
        <v>52248391.720753476</v>
      </c>
      <c r="H17" s="150">
        <f t="shared" si="0"/>
        <v>0.99998035123108597</v>
      </c>
      <c r="J17" s="583"/>
      <c r="K17" s="583"/>
      <c r="L17" s="583"/>
      <c r="M17" s="583"/>
      <c r="N17" s="583"/>
      <c r="O17" s="583"/>
    </row>
    <row r="18" spans="1:15">
      <c r="A18" s="94">
        <v>11</v>
      </c>
      <c r="B18" s="1" t="s">
        <v>60</v>
      </c>
      <c r="C18" s="647">
        <v>0</v>
      </c>
      <c r="D18" s="647">
        <v>0</v>
      </c>
      <c r="E18" s="647">
        <v>0</v>
      </c>
      <c r="F18" s="647">
        <v>0</v>
      </c>
      <c r="G18" s="648">
        <v>0</v>
      </c>
      <c r="H18" s="150">
        <f>IFERROR(G18/(C18+E18),0)</f>
        <v>0</v>
      </c>
      <c r="J18" s="583"/>
      <c r="K18" s="583"/>
      <c r="L18" s="583"/>
      <c r="M18" s="583"/>
      <c r="N18" s="583"/>
      <c r="O18" s="583"/>
    </row>
    <row r="19" spans="1:15">
      <c r="A19" s="94">
        <v>12</v>
      </c>
      <c r="B19" s="1" t="s">
        <v>61</v>
      </c>
      <c r="C19" s="647">
        <v>0</v>
      </c>
      <c r="D19" s="647">
        <v>0</v>
      </c>
      <c r="E19" s="647">
        <v>0</v>
      </c>
      <c r="F19" s="647">
        <v>0</v>
      </c>
      <c r="G19" s="648">
        <v>0</v>
      </c>
      <c r="H19" s="150">
        <f>IFERROR(G19/(C19+E19),0)</f>
        <v>0</v>
      </c>
      <c r="J19" s="583"/>
      <c r="K19" s="583"/>
      <c r="L19" s="583"/>
      <c r="M19" s="583"/>
      <c r="N19" s="583"/>
      <c r="O19" s="583"/>
    </row>
    <row r="20" spans="1:15">
      <c r="A20" s="94">
        <v>13</v>
      </c>
      <c r="B20" s="1" t="s">
        <v>144</v>
      </c>
      <c r="C20" s="647">
        <v>0</v>
      </c>
      <c r="D20" s="647">
        <v>0</v>
      </c>
      <c r="E20" s="647">
        <v>0</v>
      </c>
      <c r="F20" s="647">
        <v>0</v>
      </c>
      <c r="G20" s="648">
        <v>0</v>
      </c>
      <c r="H20" s="150">
        <f>IFERROR(G20/(C20+E20),0)</f>
        <v>0</v>
      </c>
      <c r="J20" s="583"/>
      <c r="K20" s="583"/>
      <c r="L20" s="583"/>
      <c r="M20" s="583"/>
      <c r="N20" s="583"/>
      <c r="O20" s="583"/>
    </row>
    <row r="21" spans="1:15">
      <c r="A21" s="94">
        <v>14</v>
      </c>
      <c r="B21" s="1" t="s">
        <v>63</v>
      </c>
      <c r="C21" s="647">
        <v>177514435.85223597</v>
      </c>
      <c r="D21" s="647">
        <v>2982648.6134130131</v>
      </c>
      <c r="E21" s="647">
        <v>1491324.3067065065</v>
      </c>
      <c r="F21" s="647">
        <v>173734458.47234946</v>
      </c>
      <c r="G21" s="648">
        <v>153605237.30534673</v>
      </c>
      <c r="H21" s="150">
        <f t="shared" si="0"/>
        <v>0.85810220391208547</v>
      </c>
      <c r="J21" s="583"/>
      <c r="K21" s="583"/>
      <c r="L21" s="583"/>
      <c r="M21" s="583"/>
      <c r="N21" s="583"/>
      <c r="O21" s="583"/>
    </row>
    <row r="22" spans="1:15" ht="13.5" thickBot="1">
      <c r="A22" s="97"/>
      <c r="B22" s="98" t="s">
        <v>64</v>
      </c>
      <c r="C22" s="649">
        <f>SUM(C8:C21)</f>
        <v>1918269549.6898749</v>
      </c>
      <c r="D22" s="649">
        <f>SUM(D8:D21)</f>
        <v>207087530.6714592</v>
      </c>
      <c r="E22" s="649">
        <f>SUM(E8:E21)</f>
        <v>116465151.78227876</v>
      </c>
      <c r="F22" s="649">
        <f>SUM(F8:F21)</f>
        <v>1771420836.3520501</v>
      </c>
      <c r="G22" s="649">
        <f>SUM(G8:G21)</f>
        <v>1656973107.3861859</v>
      </c>
      <c r="H22" s="151">
        <f>G22/(C22+E22)</f>
        <v>0.8143435634077244</v>
      </c>
      <c r="J22" s="583"/>
      <c r="K22" s="583"/>
      <c r="L22" s="583"/>
      <c r="M22" s="583"/>
      <c r="N22" s="583"/>
      <c r="O22" s="583"/>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U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125" bestFit="1" customWidth="1"/>
    <col min="2" max="2" width="104.28515625" style="125" customWidth="1"/>
    <col min="3" max="3" width="12.7109375" style="125" customWidth="1"/>
    <col min="4" max="5" width="14.85546875" style="125" bestFit="1" customWidth="1"/>
    <col min="6" max="11" width="12.7109375" style="125" customWidth="1"/>
    <col min="12" max="12" width="9.28515625" style="125"/>
    <col min="13" max="13" width="16.42578125" style="125" bestFit="1" customWidth="1"/>
    <col min="14" max="15" width="18" style="125" bestFit="1" customWidth="1"/>
    <col min="16" max="18" width="16.42578125" style="125" bestFit="1" customWidth="1"/>
    <col min="19" max="19" width="15.28515625" style="125" bestFit="1" customWidth="1"/>
    <col min="20" max="21" width="16.42578125" style="125" bestFit="1" customWidth="1"/>
    <col min="22" max="16384" width="9.28515625" style="125"/>
  </cols>
  <sheetData>
    <row r="1" spans="1:21">
      <c r="A1" s="125" t="s">
        <v>30</v>
      </c>
      <c r="B1" s="3" t="str">
        <f>'Info '!C2</f>
        <v>JSC Cartu Bank</v>
      </c>
    </row>
    <row r="2" spans="1:21">
      <c r="A2" s="125" t="s">
        <v>31</v>
      </c>
      <c r="B2" s="238">
        <f>'1. key ratios '!B2</f>
        <v>46112</v>
      </c>
    </row>
    <row r="4" spans="1:21" ht="13.5" thickBot="1">
      <c r="A4" s="125" t="s">
        <v>146</v>
      </c>
      <c r="B4" s="188" t="s">
        <v>240</v>
      </c>
    </row>
    <row r="5" spans="1:21" ht="30" customHeight="1">
      <c r="A5" s="771"/>
      <c r="B5" s="772"/>
      <c r="C5" s="773" t="s">
        <v>292</v>
      </c>
      <c r="D5" s="773"/>
      <c r="E5" s="773"/>
      <c r="F5" s="773" t="s">
        <v>293</v>
      </c>
      <c r="G5" s="773"/>
      <c r="H5" s="773"/>
      <c r="I5" s="773" t="s">
        <v>294</v>
      </c>
      <c r="J5" s="773"/>
      <c r="K5" s="774"/>
    </row>
    <row r="6" spans="1:21">
      <c r="A6" s="162"/>
      <c r="B6" s="163"/>
      <c r="C6" s="21" t="s">
        <v>32</v>
      </c>
      <c r="D6" s="21" t="s">
        <v>33</v>
      </c>
      <c r="E6" s="21" t="s">
        <v>34</v>
      </c>
      <c r="F6" s="21" t="s">
        <v>32</v>
      </c>
      <c r="G6" s="21" t="s">
        <v>33</v>
      </c>
      <c r="H6" s="21" t="s">
        <v>34</v>
      </c>
      <c r="I6" s="21" t="s">
        <v>32</v>
      </c>
      <c r="J6" s="21" t="s">
        <v>33</v>
      </c>
      <c r="K6" s="21" t="s">
        <v>34</v>
      </c>
    </row>
    <row r="7" spans="1:21">
      <c r="A7" s="164" t="s">
        <v>243</v>
      </c>
      <c r="B7" s="165"/>
      <c r="C7" s="165"/>
      <c r="D7" s="165"/>
      <c r="E7" s="165"/>
      <c r="F7" s="165"/>
      <c r="G7" s="165"/>
      <c r="H7" s="165"/>
      <c r="I7" s="165"/>
      <c r="J7" s="165"/>
      <c r="K7" s="166"/>
    </row>
    <row r="8" spans="1:21">
      <c r="A8" s="167">
        <v>1</v>
      </c>
      <c r="B8" s="168" t="s">
        <v>241</v>
      </c>
      <c r="C8" s="652"/>
      <c r="D8" s="652"/>
      <c r="E8" s="652"/>
      <c r="F8" s="651">
        <v>148735948.42677671</v>
      </c>
      <c r="G8" s="651">
        <v>524674926.88295239</v>
      </c>
      <c r="H8" s="651">
        <v>673410875.30972874</v>
      </c>
      <c r="I8" s="651">
        <v>86251389.977512792</v>
      </c>
      <c r="J8" s="651">
        <v>290353604.00725228</v>
      </c>
      <c r="K8" s="653">
        <v>376604993.98476529</v>
      </c>
      <c r="M8" s="650"/>
      <c r="N8" s="650"/>
      <c r="O8" s="650"/>
      <c r="P8" s="650"/>
      <c r="Q8" s="650"/>
      <c r="R8" s="650"/>
      <c r="S8" s="650"/>
      <c r="T8" s="650"/>
      <c r="U8" s="650"/>
    </row>
    <row r="9" spans="1:21">
      <c r="A9" s="164" t="s">
        <v>244</v>
      </c>
      <c r="B9" s="165"/>
      <c r="C9" s="654"/>
      <c r="D9" s="654"/>
      <c r="E9" s="654"/>
      <c r="F9" s="654"/>
      <c r="G9" s="654"/>
      <c r="H9" s="654"/>
      <c r="I9" s="654"/>
      <c r="J9" s="654"/>
      <c r="K9" s="655"/>
      <c r="M9" s="650"/>
      <c r="N9" s="650"/>
      <c r="O9" s="650"/>
      <c r="P9" s="650"/>
      <c r="Q9" s="650"/>
      <c r="R9" s="650"/>
      <c r="S9" s="650"/>
      <c r="T9" s="650"/>
      <c r="U9" s="650"/>
    </row>
    <row r="10" spans="1:21">
      <c r="A10" s="170">
        <v>2</v>
      </c>
      <c r="B10" s="171" t="s">
        <v>252</v>
      </c>
      <c r="C10" s="656">
        <v>30683169.898651645</v>
      </c>
      <c r="D10" s="657">
        <v>475299299.19389212</v>
      </c>
      <c r="E10" s="657">
        <v>505982469.09254336</v>
      </c>
      <c r="F10" s="657">
        <v>5130741.9727640385</v>
      </c>
      <c r="G10" s="657">
        <v>53704556.923026986</v>
      </c>
      <c r="H10" s="657">
        <v>58835298.895791046</v>
      </c>
      <c r="I10" s="657">
        <v>1009314.5836179756</v>
      </c>
      <c r="J10" s="657">
        <v>6257496.786848818</v>
      </c>
      <c r="K10" s="658">
        <v>7266811.3704668004</v>
      </c>
      <c r="M10" s="650"/>
      <c r="N10" s="650"/>
      <c r="O10" s="650"/>
      <c r="P10" s="650"/>
      <c r="Q10" s="650"/>
      <c r="R10" s="650"/>
      <c r="S10" s="650"/>
      <c r="T10" s="650"/>
      <c r="U10" s="650"/>
    </row>
    <row r="11" spans="1:21">
      <c r="A11" s="170">
        <v>3</v>
      </c>
      <c r="B11" s="171" t="s">
        <v>246</v>
      </c>
      <c r="C11" s="656">
        <v>277024848.36231518</v>
      </c>
      <c r="D11" s="657">
        <v>570917415.70479882</v>
      </c>
      <c r="E11" s="657">
        <v>847942264.06711352</v>
      </c>
      <c r="F11" s="657">
        <v>58171983.669321671</v>
      </c>
      <c r="G11" s="657">
        <v>325296247.5270499</v>
      </c>
      <c r="H11" s="657">
        <v>383468231.19637156</v>
      </c>
      <c r="I11" s="657">
        <v>39512475.001830928</v>
      </c>
      <c r="J11" s="657">
        <v>134978670.44037685</v>
      </c>
      <c r="K11" s="658">
        <v>174491145.44220784</v>
      </c>
      <c r="M11" s="650"/>
      <c r="N11" s="650"/>
      <c r="O11" s="650"/>
      <c r="P11" s="650"/>
      <c r="Q11" s="650"/>
      <c r="R11" s="650"/>
      <c r="S11" s="650"/>
      <c r="T11" s="650"/>
      <c r="U11" s="650"/>
    </row>
    <row r="12" spans="1:21">
      <c r="A12" s="170">
        <v>4</v>
      </c>
      <c r="B12" s="171" t="s">
        <v>247</v>
      </c>
      <c r="C12" s="656">
        <v>0</v>
      </c>
      <c r="D12" s="657">
        <v>0</v>
      </c>
      <c r="E12" s="657">
        <v>0</v>
      </c>
      <c r="F12" s="657">
        <v>0</v>
      </c>
      <c r="G12" s="657">
        <v>0</v>
      </c>
      <c r="H12" s="657">
        <v>0</v>
      </c>
      <c r="I12" s="657">
        <v>0</v>
      </c>
      <c r="J12" s="657">
        <v>0</v>
      </c>
      <c r="K12" s="658">
        <v>0</v>
      </c>
      <c r="M12" s="650"/>
      <c r="N12" s="650"/>
      <c r="O12" s="650"/>
      <c r="P12" s="650"/>
      <c r="Q12" s="650"/>
      <c r="R12" s="650"/>
      <c r="S12" s="650"/>
      <c r="T12" s="650"/>
      <c r="U12" s="650"/>
    </row>
    <row r="13" spans="1:21">
      <c r="A13" s="170">
        <v>5</v>
      </c>
      <c r="B13" s="171" t="s">
        <v>255</v>
      </c>
      <c r="C13" s="656">
        <v>74622211.025168568</v>
      </c>
      <c r="D13" s="657">
        <v>133196988.08144158</v>
      </c>
      <c r="E13" s="657">
        <v>207819199.10661006</v>
      </c>
      <c r="F13" s="657">
        <v>18052357.620223589</v>
      </c>
      <c r="G13" s="657">
        <v>16656576.512559755</v>
      </c>
      <c r="H13" s="657">
        <v>34708934.132783346</v>
      </c>
      <c r="I13" s="657">
        <v>7037934.318039326</v>
      </c>
      <c r="J13" s="657">
        <v>7468934.9091655239</v>
      </c>
      <c r="K13" s="658">
        <v>14506869.22720485</v>
      </c>
      <c r="M13" s="650"/>
      <c r="N13" s="650"/>
      <c r="O13" s="650"/>
      <c r="P13" s="650"/>
      <c r="Q13" s="650"/>
      <c r="R13" s="650"/>
      <c r="S13" s="650"/>
      <c r="T13" s="650"/>
      <c r="U13" s="650"/>
    </row>
    <row r="14" spans="1:21">
      <c r="A14" s="170">
        <v>6</v>
      </c>
      <c r="B14" s="171" t="s">
        <v>287</v>
      </c>
      <c r="C14" s="656">
        <v>0</v>
      </c>
      <c r="D14" s="657">
        <v>0</v>
      </c>
      <c r="E14" s="657">
        <v>0</v>
      </c>
      <c r="F14" s="657">
        <v>0</v>
      </c>
      <c r="G14" s="657">
        <v>0</v>
      </c>
      <c r="H14" s="657">
        <v>0</v>
      </c>
      <c r="I14" s="657">
        <v>0</v>
      </c>
      <c r="J14" s="657">
        <v>0</v>
      </c>
      <c r="K14" s="658">
        <v>0</v>
      </c>
      <c r="M14" s="650"/>
      <c r="N14" s="650"/>
      <c r="O14" s="650"/>
      <c r="P14" s="650"/>
      <c r="Q14" s="650"/>
      <c r="R14" s="650"/>
      <c r="S14" s="650"/>
      <c r="T14" s="650"/>
      <c r="U14" s="650"/>
    </row>
    <row r="15" spans="1:21">
      <c r="A15" s="170">
        <v>7</v>
      </c>
      <c r="B15" s="171" t="s">
        <v>288</v>
      </c>
      <c r="C15" s="656">
        <v>52898320.677806363</v>
      </c>
      <c r="D15" s="657">
        <v>132247372.356151</v>
      </c>
      <c r="E15" s="657">
        <v>185145693.03395736</v>
      </c>
      <c r="F15" s="657">
        <v>1994584.7288764038</v>
      </c>
      <c r="G15" s="657">
        <v>1251541.0305662923</v>
      </c>
      <c r="H15" s="657">
        <v>3246125.7594426977</v>
      </c>
      <c r="I15" s="657">
        <v>1994584.7288764038</v>
      </c>
      <c r="J15" s="657">
        <v>1251541.0305662923</v>
      </c>
      <c r="K15" s="658">
        <v>3246125.7594426977</v>
      </c>
      <c r="M15" s="650"/>
      <c r="N15" s="650"/>
      <c r="O15" s="650"/>
      <c r="P15" s="650"/>
      <c r="Q15" s="650"/>
      <c r="R15" s="650"/>
      <c r="S15" s="650"/>
      <c r="T15" s="650"/>
      <c r="U15" s="650"/>
    </row>
    <row r="16" spans="1:21">
      <c r="A16" s="170">
        <v>8</v>
      </c>
      <c r="B16" s="172" t="s">
        <v>248</v>
      </c>
      <c r="C16" s="656">
        <v>435228549.96394181</v>
      </c>
      <c r="D16" s="657">
        <v>1311661075.3362837</v>
      </c>
      <c r="E16" s="657">
        <v>1746889625.3002243</v>
      </c>
      <c r="F16" s="657">
        <v>83349667.991185695</v>
      </c>
      <c r="G16" s="657">
        <v>396908921.99320292</v>
      </c>
      <c r="H16" s="657">
        <v>480258589.98438865</v>
      </c>
      <c r="I16" s="657">
        <v>49554308.632364638</v>
      </c>
      <c r="J16" s="657">
        <v>149956643.1669575</v>
      </c>
      <c r="K16" s="658">
        <v>199510951.79932219</v>
      </c>
      <c r="M16" s="650"/>
      <c r="N16" s="650"/>
      <c r="O16" s="650"/>
      <c r="P16" s="650"/>
      <c r="Q16" s="650"/>
      <c r="R16" s="650"/>
      <c r="S16" s="650"/>
      <c r="T16" s="650"/>
      <c r="U16" s="650"/>
    </row>
    <row r="17" spans="1:21">
      <c r="A17" s="164" t="s">
        <v>245</v>
      </c>
      <c r="B17" s="165"/>
      <c r="C17" s="654"/>
      <c r="D17" s="654"/>
      <c r="E17" s="654"/>
      <c r="F17" s="654"/>
      <c r="G17" s="654"/>
      <c r="H17" s="654"/>
      <c r="I17" s="654"/>
      <c r="J17" s="654"/>
      <c r="K17" s="655"/>
      <c r="M17" s="650"/>
      <c r="N17" s="650"/>
      <c r="O17" s="650"/>
      <c r="P17" s="650"/>
      <c r="Q17" s="650"/>
      <c r="R17" s="650"/>
      <c r="S17" s="650"/>
      <c r="T17" s="650"/>
      <c r="U17" s="650"/>
    </row>
    <row r="18" spans="1:21">
      <c r="A18" s="170">
        <v>9</v>
      </c>
      <c r="B18" s="171" t="s">
        <v>251</v>
      </c>
      <c r="C18" s="656">
        <v>0</v>
      </c>
      <c r="D18" s="657">
        <v>0</v>
      </c>
      <c r="E18" s="657">
        <v>0</v>
      </c>
      <c r="F18" s="657">
        <v>0</v>
      </c>
      <c r="G18" s="657">
        <v>0</v>
      </c>
      <c r="H18" s="657">
        <v>0</v>
      </c>
      <c r="I18" s="657">
        <v>0</v>
      </c>
      <c r="J18" s="657">
        <v>0</v>
      </c>
      <c r="K18" s="658">
        <v>0</v>
      </c>
      <c r="M18" s="650"/>
      <c r="N18" s="650"/>
      <c r="O18" s="650"/>
      <c r="P18" s="650"/>
      <c r="Q18" s="650"/>
      <c r="R18" s="650"/>
      <c r="S18" s="650"/>
      <c r="T18" s="650"/>
      <c r="U18" s="650"/>
    </row>
    <row r="19" spans="1:21">
      <c r="A19" s="170">
        <v>10</v>
      </c>
      <c r="B19" s="171" t="s">
        <v>289</v>
      </c>
      <c r="C19" s="656">
        <v>626243388.28775775</v>
      </c>
      <c r="D19" s="657">
        <v>850865057.12810183</v>
      </c>
      <c r="E19" s="657">
        <v>1477108445.4158597</v>
      </c>
      <c r="F19" s="657">
        <v>13555708.177736588</v>
      </c>
      <c r="G19" s="657">
        <v>10408961.259728601</v>
      </c>
      <c r="H19" s="657">
        <v>23964669.437465183</v>
      </c>
      <c r="I19" s="657">
        <v>76040506.142056644</v>
      </c>
      <c r="J19" s="657">
        <v>256239105.1573683</v>
      </c>
      <c r="K19" s="658">
        <v>332279611.29942483</v>
      </c>
      <c r="M19" s="650"/>
      <c r="N19" s="650"/>
      <c r="O19" s="650"/>
      <c r="P19" s="650"/>
      <c r="Q19" s="650"/>
      <c r="R19" s="650"/>
      <c r="S19" s="650"/>
      <c r="T19" s="650"/>
      <c r="U19" s="650"/>
    </row>
    <row r="20" spans="1:21">
      <c r="A20" s="170">
        <v>11</v>
      </c>
      <c r="B20" s="171" t="s">
        <v>250</v>
      </c>
      <c r="C20" s="656">
        <v>30758007.957983568</v>
      </c>
      <c r="D20" s="657">
        <v>3071.9059303370723</v>
      </c>
      <c r="E20" s="657">
        <v>30761079.863913927</v>
      </c>
      <c r="F20" s="657">
        <v>1567724.5960790101</v>
      </c>
      <c r="G20" s="657">
        <v>0</v>
      </c>
      <c r="H20" s="657">
        <v>1567724.5960790101</v>
      </c>
      <c r="I20" s="657">
        <v>1567724.5960790101</v>
      </c>
      <c r="J20" s="657">
        <v>0</v>
      </c>
      <c r="K20" s="658">
        <v>1567724.5960790101</v>
      </c>
      <c r="M20" s="650"/>
      <c r="N20" s="650"/>
      <c r="O20" s="650"/>
      <c r="P20" s="650"/>
      <c r="Q20" s="650"/>
      <c r="R20" s="650"/>
      <c r="S20" s="650"/>
      <c r="T20" s="650"/>
      <c r="U20" s="650"/>
    </row>
    <row r="21" spans="1:21" ht="13.5" thickBot="1">
      <c r="A21" s="173">
        <v>12</v>
      </c>
      <c r="B21" s="174" t="s">
        <v>249</v>
      </c>
      <c r="C21" s="659">
        <v>657001396.24574137</v>
      </c>
      <c r="D21" s="660">
        <v>850868129.03403211</v>
      </c>
      <c r="E21" s="659">
        <v>1507869525.2797737</v>
      </c>
      <c r="F21" s="660">
        <v>15123432.773815598</v>
      </c>
      <c r="G21" s="660">
        <v>10408961.259728601</v>
      </c>
      <c r="H21" s="660">
        <v>25532394.033544194</v>
      </c>
      <c r="I21" s="660">
        <v>77608230.738135651</v>
      </c>
      <c r="J21" s="660">
        <v>256239105.1573683</v>
      </c>
      <c r="K21" s="661">
        <v>333847335.89550382</v>
      </c>
      <c r="M21" s="650"/>
      <c r="N21" s="650"/>
      <c r="O21" s="650"/>
      <c r="P21" s="650"/>
      <c r="Q21" s="650"/>
      <c r="R21" s="650"/>
      <c r="S21" s="650"/>
      <c r="T21" s="650"/>
      <c r="U21" s="650"/>
    </row>
    <row r="22" spans="1:21" ht="38.25" customHeight="1" thickBot="1">
      <c r="A22" s="175"/>
      <c r="B22" s="176"/>
      <c r="C22" s="176"/>
      <c r="D22" s="176"/>
      <c r="E22" s="176"/>
      <c r="F22" s="775" t="s">
        <v>291</v>
      </c>
      <c r="G22" s="773"/>
      <c r="H22" s="773"/>
      <c r="I22" s="775" t="s">
        <v>256</v>
      </c>
      <c r="J22" s="773"/>
      <c r="K22" s="774"/>
      <c r="M22" s="650"/>
      <c r="N22" s="650"/>
      <c r="O22" s="650"/>
      <c r="P22" s="650"/>
      <c r="Q22" s="650"/>
      <c r="R22" s="650"/>
      <c r="S22" s="650"/>
      <c r="T22" s="650"/>
      <c r="U22" s="650"/>
    </row>
    <row r="23" spans="1:21">
      <c r="A23" s="177">
        <v>13</v>
      </c>
      <c r="B23" s="178" t="s">
        <v>241</v>
      </c>
      <c r="C23" s="179"/>
      <c r="D23" s="179"/>
      <c r="E23" s="179"/>
      <c r="F23" s="662">
        <f t="shared" ref="F23:K23" si="0">F8</f>
        <v>148735948.42677671</v>
      </c>
      <c r="G23" s="662">
        <f t="shared" si="0"/>
        <v>524674926.88295239</v>
      </c>
      <c r="H23" s="662">
        <f t="shared" si="0"/>
        <v>673410875.30972874</v>
      </c>
      <c r="I23" s="662">
        <f t="shared" si="0"/>
        <v>86251389.977512792</v>
      </c>
      <c r="J23" s="662">
        <f t="shared" si="0"/>
        <v>290353604.00725228</v>
      </c>
      <c r="K23" s="663">
        <f t="shared" si="0"/>
        <v>376604993.98476529</v>
      </c>
      <c r="M23" s="650"/>
      <c r="N23" s="650"/>
      <c r="O23" s="650"/>
      <c r="P23" s="650"/>
      <c r="Q23" s="650"/>
      <c r="R23" s="650"/>
      <c r="S23" s="650"/>
      <c r="T23" s="650"/>
      <c r="U23" s="650"/>
    </row>
    <row r="24" spans="1:21" ht="13.5" thickBot="1">
      <c r="A24" s="180">
        <v>14</v>
      </c>
      <c r="B24" s="181" t="s">
        <v>253</v>
      </c>
      <c r="C24" s="182"/>
      <c r="D24" s="183"/>
      <c r="E24" s="184"/>
      <c r="F24" s="664">
        <f t="shared" ref="F24:K24" si="1">MAX(F16-F21,F16*0.25)</f>
        <v>68226235.217370093</v>
      </c>
      <c r="G24" s="664">
        <f t="shared" si="1"/>
        <v>386499960.73347431</v>
      </c>
      <c r="H24" s="664">
        <f>MAX(H16-H21,H16*0.25)</f>
        <v>454726195.95084447</v>
      </c>
      <c r="I24" s="664">
        <f t="shared" si="1"/>
        <v>12388577.15809116</v>
      </c>
      <c r="J24" s="664">
        <f t="shared" si="1"/>
        <v>37489160.791739374</v>
      </c>
      <c r="K24" s="665">
        <f t="shared" si="1"/>
        <v>49877737.949830547</v>
      </c>
      <c r="M24" s="650"/>
      <c r="N24" s="650"/>
      <c r="O24" s="650"/>
      <c r="P24" s="650"/>
      <c r="Q24" s="650"/>
      <c r="R24" s="650"/>
      <c r="S24" s="650"/>
      <c r="T24" s="650"/>
      <c r="U24" s="650"/>
    </row>
    <row r="25" spans="1:21" ht="13.5" thickBot="1">
      <c r="A25" s="185">
        <v>15</v>
      </c>
      <c r="B25" s="186" t="s">
        <v>254</v>
      </c>
      <c r="C25" s="187"/>
      <c r="D25" s="187"/>
      <c r="E25" s="187"/>
      <c r="F25" s="666">
        <f t="shared" ref="F25:K25" si="2">F23/F24</f>
        <v>2.1800403899306642</v>
      </c>
      <c r="G25" s="666">
        <f t="shared" si="2"/>
        <v>1.3575031828910376</v>
      </c>
      <c r="H25" s="666">
        <f t="shared" si="2"/>
        <v>1.4809150678060428</v>
      </c>
      <c r="I25" s="666">
        <f t="shared" si="2"/>
        <v>6.9621707865927736</v>
      </c>
      <c r="J25" s="666">
        <f t="shared" si="2"/>
        <v>7.7450014317533302</v>
      </c>
      <c r="K25" s="667">
        <f t="shared" si="2"/>
        <v>7.5505628255149198</v>
      </c>
      <c r="M25" s="650"/>
      <c r="N25" s="650"/>
      <c r="O25" s="650"/>
      <c r="P25" s="650"/>
      <c r="Q25" s="650"/>
      <c r="R25" s="650"/>
      <c r="S25" s="650"/>
      <c r="T25" s="650"/>
      <c r="U25" s="650"/>
    </row>
    <row r="27" spans="1:21" ht="25.5">
      <c r="B27" s="161"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10.5703125" style="4" bestFit="1" customWidth="1"/>
    <col min="2" max="2" width="95" style="4" customWidth="1"/>
    <col min="3" max="3" width="12.5703125" style="4" bestFit="1" customWidth="1"/>
    <col min="4" max="4" width="11.42578125" style="4" customWidth="1"/>
    <col min="5" max="5" width="18.28515625" style="4" bestFit="1" customWidth="1"/>
    <col min="6" max="13" width="12.7109375" style="4" customWidth="1"/>
    <col min="14" max="14" width="31" style="4" bestFit="1" customWidth="1"/>
    <col min="15" max="16" width="9.28515625" style="19"/>
    <col min="17" max="17" width="44.28515625" style="19" customWidth="1"/>
    <col min="18" max="16384" width="9.28515625" style="19"/>
  </cols>
  <sheetData>
    <row r="1" spans="1:17" ht="15">
      <c r="A1" s="427" t="s">
        <v>717</v>
      </c>
      <c r="B1" s="465" t="str">
        <f>'Info '!C2</f>
        <v>JSC Cartu Bank</v>
      </c>
      <c r="C1" s="465"/>
      <c r="D1" s="465"/>
      <c r="E1" s="465"/>
      <c r="F1" s="465"/>
      <c r="G1" s="465"/>
      <c r="H1" s="465"/>
      <c r="I1" s="465"/>
      <c r="J1" s="465"/>
      <c r="K1" s="465"/>
      <c r="L1" s="465"/>
      <c r="M1" s="465"/>
      <c r="N1" s="465"/>
      <c r="O1" s="144"/>
      <c r="P1" s="144"/>
      <c r="Q1" s="144"/>
    </row>
    <row r="2" spans="1:17" ht="14.25" customHeight="1">
      <c r="A2" s="465" t="s">
        <v>718</v>
      </c>
      <c r="B2" s="428">
        <f>'1. key ratios '!B2</f>
        <v>46112</v>
      </c>
      <c r="C2" s="465"/>
      <c r="D2" s="465"/>
      <c r="E2" s="465"/>
      <c r="F2" s="465"/>
      <c r="G2" s="465"/>
      <c r="H2" s="465"/>
      <c r="I2" s="465"/>
      <c r="J2" s="465"/>
      <c r="K2" s="465"/>
      <c r="L2" s="465"/>
      <c r="M2" s="465"/>
      <c r="N2" s="465"/>
      <c r="O2" s="144"/>
      <c r="P2" s="144"/>
      <c r="Q2" s="144"/>
    </row>
    <row r="3" spans="1:17" ht="14.25" customHeight="1">
      <c r="A3" s="465"/>
      <c r="B3" s="144"/>
      <c r="C3" s="144"/>
      <c r="D3" s="144"/>
      <c r="E3" s="144"/>
      <c r="F3" s="144"/>
      <c r="G3" s="144"/>
      <c r="H3" s="144"/>
      <c r="I3" s="144"/>
      <c r="J3" s="144"/>
      <c r="K3" s="144"/>
      <c r="L3" s="144"/>
      <c r="M3" s="144"/>
      <c r="N3" s="144"/>
      <c r="O3" s="144"/>
      <c r="P3" s="144"/>
      <c r="Q3" s="144"/>
    </row>
    <row r="4" spans="1:17" ht="15">
      <c r="A4" s="465"/>
      <c r="B4" s="504" t="s">
        <v>719</v>
      </c>
      <c r="C4" s="144"/>
      <c r="D4" s="144"/>
      <c r="E4" s="144"/>
      <c r="F4" s="144"/>
      <c r="G4" s="144"/>
      <c r="H4" s="144"/>
      <c r="I4" s="144"/>
      <c r="J4" s="144"/>
      <c r="K4" s="144"/>
      <c r="L4" s="144"/>
      <c r="M4" s="144"/>
      <c r="N4" s="144"/>
      <c r="O4" s="144"/>
      <c r="P4" s="144"/>
      <c r="Q4" s="144"/>
    </row>
    <row r="5" spans="1:17" ht="60">
      <c r="A5" s="465"/>
      <c r="B5" s="505" t="s">
        <v>720</v>
      </c>
      <c r="C5" s="506" t="s">
        <v>721</v>
      </c>
      <c r="D5" s="506" t="s">
        <v>722</v>
      </c>
      <c r="E5" s="506" t="s">
        <v>723</v>
      </c>
      <c r="F5" s="506" t="s">
        <v>724</v>
      </c>
      <c r="G5" s="506" t="s">
        <v>725</v>
      </c>
      <c r="H5" s="506" t="s">
        <v>726</v>
      </c>
      <c r="I5" s="507" t="s">
        <v>727</v>
      </c>
      <c r="J5" s="508">
        <v>0.02</v>
      </c>
      <c r="K5" s="508">
        <v>0.2</v>
      </c>
      <c r="L5" s="508">
        <v>0.35</v>
      </c>
      <c r="M5" s="508">
        <v>0.5</v>
      </c>
      <c r="N5" s="508">
        <v>0.75</v>
      </c>
      <c r="O5" s="508">
        <v>1</v>
      </c>
      <c r="P5" s="508">
        <v>1.5</v>
      </c>
      <c r="Q5" s="509" t="s">
        <v>728</v>
      </c>
    </row>
    <row r="6" spans="1:17" ht="15.75">
      <c r="A6" s="465"/>
      <c r="B6" s="510"/>
      <c r="C6" s="511">
        <f>IF(C7&gt;0,C7,IF(C8&gt;0,C8,IF(C9&gt;0,C9,0)))</f>
        <v>0</v>
      </c>
      <c r="D6" s="511">
        <f t="shared" ref="D6:G6" si="0">IF(D7&gt;0,D7,IF(D8&gt;0,D8,IF(D9&gt;0,D9,0)))</f>
        <v>0</v>
      </c>
      <c r="E6" s="511">
        <f t="shared" si="0"/>
        <v>0</v>
      </c>
      <c r="F6" s="511">
        <f t="shared" si="0"/>
        <v>0</v>
      </c>
      <c r="G6" s="511">
        <f t="shared" si="0"/>
        <v>0</v>
      </c>
      <c r="H6" s="511"/>
      <c r="I6" s="511">
        <f>IF(I7&gt;0,I7,IF(I8&gt;0,I8,IF(I9&gt;0,I9,0)))</f>
        <v>0</v>
      </c>
      <c r="J6" s="511">
        <f t="shared" ref="J6" si="1">IF(J7&gt;0,J7,IF(J8&gt;0,J8,IF(J9&gt;0,J9,0)))</f>
        <v>0</v>
      </c>
      <c r="K6" s="511">
        <f t="shared" ref="K6" si="2">IF(K7&gt;0,K7,IF(K8&gt;0,K8,IF(K9&gt;0,K9,0)))</f>
        <v>0</v>
      </c>
      <c r="L6" s="511">
        <f t="shared" ref="L6" si="3">IF(L7&gt;0,L7,IF(L8&gt;0,L8,IF(L9&gt;0,L9,0)))</f>
        <v>0</v>
      </c>
      <c r="M6" s="511">
        <f t="shared" ref="M6" si="4">IF(M7&gt;0,M7,IF(M8&gt;0,M8,IF(M9&gt;0,M9,0)))</f>
        <v>0</v>
      </c>
      <c r="N6" s="511">
        <f>IF(N7&gt;0,N7,IF(N8&gt;0,N8,IF(N9&gt;0,N9,0)))</f>
        <v>0</v>
      </c>
      <c r="O6" s="511">
        <f t="shared" ref="O6" si="5">IF(O7&gt;0,O7,IF(O8&gt;0,O8,IF(O9&gt;0,O9,0)))</f>
        <v>0</v>
      </c>
      <c r="P6" s="511">
        <f t="shared" ref="P6" si="6">IF(P7&gt;0,P7,IF(P8&gt;0,P8,IF(P9&gt;0,P9,0)))</f>
        <v>0</v>
      </c>
      <c r="Q6" s="511">
        <f t="shared" ref="Q6" si="7">IF(Q7&gt;0,Q7,IF(Q8&gt;0,Q8,IF(Q9&gt;0,Q9,0)))</f>
        <v>0</v>
      </c>
    </row>
    <row r="7" spans="1:17" ht="15.75">
      <c r="A7" s="465"/>
      <c r="B7" s="512" t="s">
        <v>729</v>
      </c>
      <c r="C7" s="511">
        <f>C11+C15+C19+C23+C27+C31</f>
        <v>0</v>
      </c>
      <c r="D7" s="511">
        <f t="shared" ref="D7:E7" si="8">D11+D15+D19+D23+D27+D31</f>
        <v>0</v>
      </c>
      <c r="E7" s="511">
        <f t="shared" si="8"/>
        <v>0</v>
      </c>
      <c r="F7" s="511">
        <f t="shared" ref="F7:G9" si="9">F11+F15+F19+F23+F27+F31</f>
        <v>0</v>
      </c>
      <c r="G7" s="511">
        <f t="shared" si="9"/>
        <v>0</v>
      </c>
      <c r="H7" s="513">
        <v>1.4</v>
      </c>
      <c r="I7" s="514">
        <f t="shared" ref="I7:I33" si="10">(F7+G7)*H7</f>
        <v>0</v>
      </c>
      <c r="J7" s="511">
        <f>J11+J15+J19+J23+J27+J31</f>
        <v>0</v>
      </c>
      <c r="K7" s="511">
        <f t="shared" ref="J7:Q9" si="11">K11+K15+K19+K23+K27+K31</f>
        <v>0</v>
      </c>
      <c r="L7" s="511">
        <f t="shared" si="11"/>
        <v>0</v>
      </c>
      <c r="M7" s="511">
        <f t="shared" si="11"/>
        <v>0</v>
      </c>
      <c r="N7" s="511">
        <f t="shared" si="11"/>
        <v>0</v>
      </c>
      <c r="O7" s="511">
        <f t="shared" si="11"/>
        <v>0</v>
      </c>
      <c r="P7" s="511">
        <f t="shared" si="11"/>
        <v>0</v>
      </c>
      <c r="Q7" s="511">
        <f>Q11+Q15+Q19+Q23+Q27+Q31</f>
        <v>0</v>
      </c>
    </row>
    <row r="8" spans="1:17" ht="15.75">
      <c r="A8" s="465"/>
      <c r="B8" s="512" t="s">
        <v>730</v>
      </c>
      <c r="C8" s="511">
        <f>C12+C16+C20+C24+C28+C32</f>
        <v>0</v>
      </c>
      <c r="D8" s="511">
        <f t="shared" ref="D8:E8" si="12">D12+D16+D20+D24+D28+D32</f>
        <v>0</v>
      </c>
      <c r="E8" s="511">
        <f t="shared" si="12"/>
        <v>0</v>
      </c>
      <c r="F8" s="511">
        <f t="shared" si="9"/>
        <v>0</v>
      </c>
      <c r="G8" s="511">
        <f t="shared" si="9"/>
        <v>0</v>
      </c>
      <c r="H8" s="513">
        <v>1.4</v>
      </c>
      <c r="I8" s="514">
        <f t="shared" si="10"/>
        <v>0</v>
      </c>
      <c r="J8" s="511">
        <f t="shared" si="11"/>
        <v>0</v>
      </c>
      <c r="K8" s="511">
        <f t="shared" si="11"/>
        <v>0</v>
      </c>
      <c r="L8" s="511">
        <f t="shared" si="11"/>
        <v>0</v>
      </c>
      <c r="M8" s="511">
        <f t="shared" si="11"/>
        <v>0</v>
      </c>
      <c r="N8" s="511">
        <f t="shared" si="11"/>
        <v>0</v>
      </c>
      <c r="O8" s="511">
        <f t="shared" si="11"/>
        <v>0</v>
      </c>
      <c r="P8" s="511">
        <f t="shared" si="11"/>
        <v>0</v>
      </c>
      <c r="Q8" s="511">
        <f>Q12+Q16+Q20+Q24+Q28+Q32</f>
        <v>0</v>
      </c>
    </row>
    <row r="9" spans="1:17" ht="15.75">
      <c r="A9" s="465"/>
      <c r="B9" s="512" t="s">
        <v>737</v>
      </c>
      <c r="C9" s="511">
        <f>C13+C17+C21+C25+C29+C33</f>
        <v>0</v>
      </c>
      <c r="D9" s="511">
        <f t="shared" ref="D9:E9" si="13">D13+D17+D21+D25+D29+D33</f>
        <v>0</v>
      </c>
      <c r="E9" s="511">
        <f t="shared" si="13"/>
        <v>0</v>
      </c>
      <c r="F9" s="511">
        <f t="shared" si="9"/>
        <v>0</v>
      </c>
      <c r="G9" s="511">
        <f t="shared" si="9"/>
        <v>0</v>
      </c>
      <c r="H9" s="513">
        <v>1.4</v>
      </c>
      <c r="I9" s="514">
        <f t="shared" si="10"/>
        <v>0</v>
      </c>
      <c r="J9" s="511">
        <f t="shared" si="11"/>
        <v>0</v>
      </c>
      <c r="K9" s="511">
        <f t="shared" si="11"/>
        <v>0</v>
      </c>
      <c r="L9" s="511">
        <f t="shared" si="11"/>
        <v>0</v>
      </c>
      <c r="M9" s="511">
        <f t="shared" si="11"/>
        <v>0</v>
      </c>
      <c r="N9" s="511">
        <f t="shared" si="11"/>
        <v>0</v>
      </c>
      <c r="O9" s="511">
        <f t="shared" si="11"/>
        <v>0</v>
      </c>
      <c r="P9" s="511">
        <f t="shared" si="11"/>
        <v>0</v>
      </c>
      <c r="Q9" s="511">
        <f t="shared" si="11"/>
        <v>0</v>
      </c>
    </row>
    <row r="10" spans="1:17" ht="15.75">
      <c r="A10" s="465"/>
      <c r="B10" s="515" t="s">
        <v>731</v>
      </c>
      <c r="C10" s="516"/>
      <c r="D10" s="516"/>
      <c r="E10" s="516"/>
      <c r="F10" s="516"/>
      <c r="G10" s="516"/>
      <c r="H10" s="513">
        <v>1.4</v>
      </c>
      <c r="I10" s="514">
        <f t="shared" si="10"/>
        <v>0</v>
      </c>
      <c r="J10" s="517"/>
      <c r="K10" s="517"/>
      <c r="L10" s="517"/>
      <c r="M10" s="517"/>
      <c r="N10" s="517"/>
      <c r="O10" s="517"/>
      <c r="P10" s="517"/>
      <c r="Q10" s="511">
        <f t="shared" ref="Q10" si="14">IF(Q11&gt;0,Q11,IF(Q12&gt;0,Q12,IF(Q13&gt;0,Q13,0)))</f>
        <v>0</v>
      </c>
    </row>
    <row r="11" spans="1:17" ht="15.75">
      <c r="A11" s="465"/>
      <c r="B11" s="518" t="s">
        <v>729</v>
      </c>
      <c r="C11" s="516"/>
      <c r="D11" s="516"/>
      <c r="E11" s="516"/>
      <c r="F11" s="516"/>
      <c r="G11" s="516"/>
      <c r="H11" s="513">
        <v>1.4</v>
      </c>
      <c r="I11" s="514">
        <f t="shared" si="10"/>
        <v>0</v>
      </c>
      <c r="J11" s="517"/>
      <c r="K11" s="517"/>
      <c r="L11" s="517"/>
      <c r="M11" s="517"/>
      <c r="N11" s="517"/>
      <c r="O11" s="517"/>
      <c r="P11" s="517"/>
      <c r="Q11" s="511">
        <f>SUMPRODUCT($J$5:$P$5,J11:P11)</f>
        <v>0</v>
      </c>
    </row>
    <row r="12" spans="1:17" ht="15.75">
      <c r="A12" s="465"/>
      <c r="B12" s="518" t="s">
        <v>730</v>
      </c>
      <c r="C12" s="516"/>
      <c r="D12" s="516"/>
      <c r="E12" s="516"/>
      <c r="F12" s="516"/>
      <c r="G12" s="516"/>
      <c r="H12" s="513">
        <v>1.4</v>
      </c>
      <c r="I12" s="514">
        <f t="shared" si="10"/>
        <v>0</v>
      </c>
      <c r="J12" s="517"/>
      <c r="K12" s="517"/>
      <c r="L12" s="517"/>
      <c r="M12" s="517"/>
      <c r="N12" s="517"/>
      <c r="O12" s="517"/>
      <c r="P12" s="517"/>
      <c r="Q12" s="511">
        <f t="shared" ref="Q12:Q13" si="15">SUMPRODUCT($J$5:$P$5,J12:P12)</f>
        <v>0</v>
      </c>
    </row>
    <row r="13" spans="1:17" ht="15.75">
      <c r="A13" s="465"/>
      <c r="B13" s="518" t="s">
        <v>737</v>
      </c>
      <c r="C13" s="516"/>
      <c r="D13" s="516"/>
      <c r="E13" s="516"/>
      <c r="F13" s="516"/>
      <c r="G13" s="516"/>
      <c r="H13" s="513">
        <v>1.4</v>
      </c>
      <c r="I13" s="514">
        <f t="shared" si="10"/>
        <v>0</v>
      </c>
      <c r="J13" s="517"/>
      <c r="K13" s="517"/>
      <c r="L13" s="517"/>
      <c r="M13" s="517"/>
      <c r="N13" s="517"/>
      <c r="O13" s="517"/>
      <c r="P13" s="517"/>
      <c r="Q13" s="511">
        <f t="shared" si="15"/>
        <v>0</v>
      </c>
    </row>
    <row r="14" spans="1:17" ht="15.75">
      <c r="A14" s="465"/>
      <c r="B14" s="515" t="s">
        <v>732</v>
      </c>
      <c r="C14" s="516"/>
      <c r="D14" s="516"/>
      <c r="E14" s="516"/>
      <c r="F14" s="516"/>
      <c r="G14" s="516"/>
      <c r="H14" s="513">
        <v>1.4</v>
      </c>
      <c r="I14" s="514">
        <f t="shared" si="10"/>
        <v>0</v>
      </c>
      <c r="J14" s="517"/>
      <c r="K14" s="517"/>
      <c r="L14" s="517"/>
      <c r="M14" s="517"/>
      <c r="N14" s="517"/>
      <c r="O14" s="517"/>
      <c r="P14" s="517"/>
      <c r="Q14" s="511">
        <f t="shared" ref="Q14" si="16">IF(Q15&gt;0,Q15,IF(Q16&gt;0,Q16,IF(Q17&gt;0,Q17,0)))</f>
        <v>0</v>
      </c>
    </row>
    <row r="15" spans="1:17" ht="15.75">
      <c r="A15" s="465"/>
      <c r="B15" s="518" t="s">
        <v>729</v>
      </c>
      <c r="C15" s="516"/>
      <c r="D15" s="516"/>
      <c r="E15" s="516"/>
      <c r="F15" s="516"/>
      <c r="G15" s="516"/>
      <c r="H15" s="513">
        <v>1.4</v>
      </c>
      <c r="I15" s="514">
        <f t="shared" si="10"/>
        <v>0</v>
      </c>
      <c r="J15" s="517"/>
      <c r="K15" s="517"/>
      <c r="L15" s="517"/>
      <c r="M15" s="517"/>
      <c r="N15" s="517"/>
      <c r="O15" s="517"/>
      <c r="P15" s="517"/>
      <c r="Q15" s="511">
        <f>SUMPRODUCT($J$5:$P$5,J15:P15)</f>
        <v>0</v>
      </c>
    </row>
    <row r="16" spans="1:17" ht="15.75">
      <c r="A16" s="465"/>
      <c r="B16" s="518" t="s">
        <v>730</v>
      </c>
      <c r="C16" s="516"/>
      <c r="D16" s="516"/>
      <c r="E16" s="516"/>
      <c r="F16" s="516"/>
      <c r="G16" s="516"/>
      <c r="H16" s="513">
        <v>1.4</v>
      </c>
      <c r="I16" s="514">
        <f t="shared" si="10"/>
        <v>0</v>
      </c>
      <c r="J16" s="517"/>
      <c r="K16" s="517"/>
      <c r="L16" s="517"/>
      <c r="M16" s="517"/>
      <c r="N16" s="517"/>
      <c r="O16" s="517"/>
      <c r="P16" s="517"/>
      <c r="Q16" s="511">
        <f t="shared" ref="Q16:Q17" si="17">SUMPRODUCT($J$5:$P$5,J16:P16)</f>
        <v>0</v>
      </c>
    </row>
    <row r="17" spans="1:17" ht="15.75">
      <c r="A17" s="465"/>
      <c r="B17" s="518" t="s">
        <v>737</v>
      </c>
      <c r="C17" s="516"/>
      <c r="D17" s="516"/>
      <c r="E17" s="516"/>
      <c r="F17" s="516"/>
      <c r="G17" s="516"/>
      <c r="H17" s="513">
        <v>1.4</v>
      </c>
      <c r="I17" s="514">
        <f t="shared" si="10"/>
        <v>0</v>
      </c>
      <c r="J17" s="517"/>
      <c r="K17" s="517"/>
      <c r="L17" s="517"/>
      <c r="M17" s="517"/>
      <c r="N17" s="517"/>
      <c r="O17" s="517"/>
      <c r="P17" s="517"/>
      <c r="Q17" s="511">
        <f t="shared" si="17"/>
        <v>0</v>
      </c>
    </row>
    <row r="18" spans="1:17" ht="15.75">
      <c r="A18" s="465"/>
      <c r="B18" s="515" t="s">
        <v>733</v>
      </c>
      <c r="C18" s="516"/>
      <c r="D18" s="516"/>
      <c r="E18" s="516"/>
      <c r="F18" s="516"/>
      <c r="G18" s="516"/>
      <c r="H18" s="513">
        <v>1.4</v>
      </c>
      <c r="I18" s="514">
        <f t="shared" si="10"/>
        <v>0</v>
      </c>
      <c r="J18" s="517"/>
      <c r="K18" s="517"/>
      <c r="L18" s="517"/>
      <c r="M18" s="517"/>
      <c r="N18" s="517"/>
      <c r="O18" s="517"/>
      <c r="P18" s="517"/>
      <c r="Q18" s="511">
        <f t="shared" ref="Q18" si="18">IF(Q19&gt;0,Q19,IF(Q20&gt;0,Q20,IF(Q21&gt;0,Q21,0)))</f>
        <v>0</v>
      </c>
    </row>
    <row r="19" spans="1:17" ht="15.75">
      <c r="A19" s="465"/>
      <c r="B19" s="518" t="s">
        <v>729</v>
      </c>
      <c r="C19" s="516"/>
      <c r="D19" s="516"/>
      <c r="E19" s="516"/>
      <c r="F19" s="516"/>
      <c r="G19" s="516"/>
      <c r="H19" s="513">
        <v>1.4</v>
      </c>
      <c r="I19" s="514">
        <f t="shared" si="10"/>
        <v>0</v>
      </c>
      <c r="J19" s="517"/>
      <c r="K19" s="517"/>
      <c r="L19" s="517"/>
      <c r="M19" s="517"/>
      <c r="N19" s="517"/>
      <c r="O19" s="517"/>
      <c r="P19" s="517"/>
      <c r="Q19" s="511">
        <f>SUMPRODUCT($J$5:$P$5,J19:P19)</f>
        <v>0</v>
      </c>
    </row>
    <row r="20" spans="1:17" ht="15.75">
      <c r="A20" s="465"/>
      <c r="B20" s="518" t="s">
        <v>730</v>
      </c>
      <c r="C20" s="516"/>
      <c r="D20" s="516"/>
      <c r="E20" s="516"/>
      <c r="F20" s="516"/>
      <c r="G20" s="516"/>
      <c r="H20" s="513">
        <v>1.4</v>
      </c>
      <c r="I20" s="514">
        <f t="shared" si="10"/>
        <v>0</v>
      </c>
      <c r="J20" s="517"/>
      <c r="K20" s="517"/>
      <c r="L20" s="517"/>
      <c r="M20" s="517"/>
      <c r="N20" s="517"/>
      <c r="O20" s="517"/>
      <c r="P20" s="517"/>
      <c r="Q20" s="511">
        <f t="shared" ref="Q20:Q21" si="19">SUMPRODUCT($J$5:$P$5,J20:P20)</f>
        <v>0</v>
      </c>
    </row>
    <row r="21" spans="1:17" ht="15.75">
      <c r="A21" s="465"/>
      <c r="B21" s="518" t="s">
        <v>737</v>
      </c>
      <c r="C21" s="516"/>
      <c r="D21" s="516"/>
      <c r="E21" s="516"/>
      <c r="F21" s="516"/>
      <c r="G21" s="516"/>
      <c r="H21" s="513">
        <v>1.4</v>
      </c>
      <c r="I21" s="514">
        <f t="shared" si="10"/>
        <v>0</v>
      </c>
      <c r="J21" s="517"/>
      <c r="K21" s="517"/>
      <c r="L21" s="517"/>
      <c r="M21" s="517"/>
      <c r="N21" s="517"/>
      <c r="O21" s="517"/>
      <c r="P21" s="517"/>
      <c r="Q21" s="511">
        <f t="shared" si="19"/>
        <v>0</v>
      </c>
    </row>
    <row r="22" spans="1:17" ht="15.75">
      <c r="A22" s="465"/>
      <c r="B22" s="515" t="s">
        <v>734</v>
      </c>
      <c r="C22" s="516"/>
      <c r="D22" s="516"/>
      <c r="E22" s="516"/>
      <c r="F22" s="516"/>
      <c r="G22" s="516"/>
      <c r="H22" s="513">
        <v>1.4</v>
      </c>
      <c r="I22" s="514">
        <f t="shared" si="10"/>
        <v>0</v>
      </c>
      <c r="J22" s="517"/>
      <c r="K22" s="517"/>
      <c r="L22" s="517"/>
      <c r="M22" s="517"/>
      <c r="N22" s="517"/>
      <c r="O22" s="517"/>
      <c r="P22" s="517"/>
      <c r="Q22" s="511">
        <f t="shared" ref="Q22" si="20">IF(Q23&gt;0,Q23,IF(Q24&gt;0,Q24,IF(Q25&gt;0,Q25,0)))</f>
        <v>0</v>
      </c>
    </row>
    <row r="23" spans="1:17" ht="15.75">
      <c r="A23" s="465"/>
      <c r="B23" s="518" t="s">
        <v>729</v>
      </c>
      <c r="C23" s="516"/>
      <c r="D23" s="516"/>
      <c r="E23" s="516"/>
      <c r="F23" s="516"/>
      <c r="G23" s="516"/>
      <c r="H23" s="513">
        <v>1.4</v>
      </c>
      <c r="I23" s="514">
        <f t="shared" si="10"/>
        <v>0</v>
      </c>
      <c r="J23" s="517"/>
      <c r="K23" s="517"/>
      <c r="L23" s="517"/>
      <c r="M23" s="517"/>
      <c r="N23" s="517"/>
      <c r="O23" s="517"/>
      <c r="P23" s="517"/>
      <c r="Q23" s="511">
        <f>SUMPRODUCT($J$5:$P$5,J23:P23)</f>
        <v>0</v>
      </c>
    </row>
    <row r="24" spans="1:17" ht="15.75">
      <c r="A24" s="465"/>
      <c r="B24" s="518" t="s">
        <v>730</v>
      </c>
      <c r="C24" s="516"/>
      <c r="D24" s="516"/>
      <c r="E24" s="516"/>
      <c r="F24" s="516"/>
      <c r="G24" s="516"/>
      <c r="H24" s="513">
        <v>1.4</v>
      </c>
      <c r="I24" s="514">
        <f t="shared" si="10"/>
        <v>0</v>
      </c>
      <c r="J24" s="517"/>
      <c r="K24" s="517"/>
      <c r="L24" s="517"/>
      <c r="M24" s="517"/>
      <c r="N24" s="517"/>
      <c r="O24" s="517"/>
      <c r="P24" s="517"/>
      <c r="Q24" s="511">
        <f t="shared" ref="Q24:Q25" si="21">SUMPRODUCT($J$5:$P$5,J24:P24)</f>
        <v>0</v>
      </c>
    </row>
    <row r="25" spans="1:17" ht="15.75">
      <c r="A25" s="465"/>
      <c r="B25" s="518" t="s">
        <v>737</v>
      </c>
      <c r="C25" s="516"/>
      <c r="D25" s="516"/>
      <c r="E25" s="516"/>
      <c r="F25" s="516"/>
      <c r="G25" s="516"/>
      <c r="H25" s="513">
        <v>1.4</v>
      </c>
      <c r="I25" s="514">
        <f t="shared" si="10"/>
        <v>0</v>
      </c>
      <c r="J25" s="517"/>
      <c r="K25" s="517"/>
      <c r="L25" s="517"/>
      <c r="M25" s="517"/>
      <c r="N25" s="517"/>
      <c r="O25" s="517"/>
      <c r="P25" s="517"/>
      <c r="Q25" s="511">
        <f t="shared" si="21"/>
        <v>0</v>
      </c>
    </row>
    <row r="26" spans="1:17" ht="15.75">
      <c r="A26" s="465"/>
      <c r="B26" s="515" t="s">
        <v>735</v>
      </c>
      <c r="C26" s="516"/>
      <c r="D26" s="516"/>
      <c r="E26" s="516"/>
      <c r="F26" s="516"/>
      <c r="G26" s="516"/>
      <c r="H26" s="513">
        <v>1.4</v>
      </c>
      <c r="I26" s="514">
        <f t="shared" si="10"/>
        <v>0</v>
      </c>
      <c r="J26" s="517"/>
      <c r="K26" s="517"/>
      <c r="L26" s="517"/>
      <c r="M26" s="517"/>
      <c r="N26" s="517"/>
      <c r="O26" s="517"/>
      <c r="P26" s="517"/>
      <c r="Q26" s="511">
        <f t="shared" ref="Q26" si="22">IF(Q27&gt;0,Q27,IF(Q28&gt;0,Q28,IF(Q29&gt;0,Q29,0)))</f>
        <v>0</v>
      </c>
    </row>
    <row r="27" spans="1:17" ht="15.75">
      <c r="A27" s="465"/>
      <c r="B27" s="518" t="s">
        <v>729</v>
      </c>
      <c r="C27" s="516"/>
      <c r="D27" s="516"/>
      <c r="E27" s="516"/>
      <c r="F27" s="516"/>
      <c r="G27" s="516"/>
      <c r="H27" s="513">
        <v>1.4</v>
      </c>
      <c r="I27" s="514">
        <f t="shared" si="10"/>
        <v>0</v>
      </c>
      <c r="J27" s="517"/>
      <c r="K27" s="517"/>
      <c r="L27" s="517"/>
      <c r="M27" s="517"/>
      <c r="N27" s="517"/>
      <c r="O27" s="517"/>
      <c r="P27" s="517"/>
      <c r="Q27" s="511">
        <f>SUMPRODUCT($J$5:$P$5,J27:P27)</f>
        <v>0</v>
      </c>
    </row>
    <row r="28" spans="1:17" ht="15.75">
      <c r="A28" s="465"/>
      <c r="B28" s="518" t="s">
        <v>730</v>
      </c>
      <c r="C28" s="516"/>
      <c r="D28" s="516"/>
      <c r="E28" s="516"/>
      <c r="F28" s="516"/>
      <c r="G28" s="516"/>
      <c r="H28" s="513">
        <v>1.4</v>
      </c>
      <c r="I28" s="514">
        <f t="shared" si="10"/>
        <v>0</v>
      </c>
      <c r="J28" s="517"/>
      <c r="K28" s="517"/>
      <c r="L28" s="517"/>
      <c r="M28" s="517"/>
      <c r="N28" s="517"/>
      <c r="O28" s="517"/>
      <c r="P28" s="517"/>
      <c r="Q28" s="511">
        <f t="shared" ref="Q28:Q29" si="23">SUMPRODUCT($J$5:$P$5,J28:P28)</f>
        <v>0</v>
      </c>
    </row>
    <row r="29" spans="1:17" ht="15.75">
      <c r="A29" s="465"/>
      <c r="B29" s="518" t="s">
        <v>737</v>
      </c>
      <c r="C29" s="516"/>
      <c r="D29" s="516"/>
      <c r="E29" s="516"/>
      <c r="F29" s="516"/>
      <c r="G29" s="516"/>
      <c r="H29" s="513">
        <v>1.4</v>
      </c>
      <c r="I29" s="514">
        <f t="shared" si="10"/>
        <v>0</v>
      </c>
      <c r="J29" s="517"/>
      <c r="K29" s="517"/>
      <c r="L29" s="517"/>
      <c r="M29" s="517"/>
      <c r="N29" s="517"/>
      <c r="O29" s="517"/>
      <c r="P29" s="517"/>
      <c r="Q29" s="511">
        <f t="shared" si="23"/>
        <v>0</v>
      </c>
    </row>
    <row r="30" spans="1:17" ht="15.75">
      <c r="A30" s="465"/>
      <c r="B30" s="519" t="s">
        <v>736</v>
      </c>
      <c r="C30" s="516"/>
      <c r="D30" s="516"/>
      <c r="E30" s="516"/>
      <c r="F30" s="516"/>
      <c r="G30" s="516"/>
      <c r="H30" s="513">
        <v>1.4</v>
      </c>
      <c r="I30" s="514">
        <f t="shared" si="10"/>
        <v>0</v>
      </c>
      <c r="J30" s="517"/>
      <c r="K30" s="517"/>
      <c r="L30" s="517"/>
      <c r="M30" s="517"/>
      <c r="N30" s="517"/>
      <c r="O30" s="517"/>
      <c r="P30" s="517"/>
      <c r="Q30" s="511">
        <f t="shared" ref="Q30" si="24">IF(Q31&gt;0,Q31,IF(Q32&gt;0,Q32,IF(Q33&gt;0,Q33,0)))</f>
        <v>0</v>
      </c>
    </row>
    <row r="31" spans="1:17" ht="15.75">
      <c r="A31" s="465"/>
      <c r="B31" s="518" t="s">
        <v>729</v>
      </c>
      <c r="C31" s="516"/>
      <c r="D31" s="516"/>
      <c r="E31" s="516"/>
      <c r="F31" s="516"/>
      <c r="G31" s="516"/>
      <c r="H31" s="513">
        <v>1.4</v>
      </c>
      <c r="I31" s="514">
        <f t="shared" si="10"/>
        <v>0</v>
      </c>
      <c r="J31" s="517"/>
      <c r="K31" s="517"/>
      <c r="L31" s="517"/>
      <c r="M31" s="517"/>
      <c r="N31" s="517"/>
      <c r="O31" s="517"/>
      <c r="P31" s="517"/>
      <c r="Q31" s="511">
        <f>SUMPRODUCT($J$5:$P$5,J31:P31)</f>
        <v>0</v>
      </c>
    </row>
    <row r="32" spans="1:17" ht="15.75">
      <c r="A32" s="465"/>
      <c r="B32" s="518" t="s">
        <v>730</v>
      </c>
      <c r="C32" s="516"/>
      <c r="D32" s="516"/>
      <c r="E32" s="516"/>
      <c r="F32" s="516"/>
      <c r="G32" s="516"/>
      <c r="H32" s="513">
        <v>1.4</v>
      </c>
      <c r="I32" s="514">
        <f t="shared" si="10"/>
        <v>0</v>
      </c>
      <c r="J32" s="517"/>
      <c r="K32" s="517"/>
      <c r="L32" s="517"/>
      <c r="M32" s="517"/>
      <c r="N32" s="517"/>
      <c r="O32" s="517"/>
      <c r="P32" s="517"/>
      <c r="Q32" s="511">
        <f t="shared" ref="Q32:Q33" si="25">SUMPRODUCT($J$5:$P$5,J32:P32)</f>
        <v>0</v>
      </c>
    </row>
    <row r="33" spans="1:17" ht="15.75">
      <c r="A33" s="465"/>
      <c r="B33" s="518" t="s">
        <v>737</v>
      </c>
      <c r="C33" s="516"/>
      <c r="D33" s="516"/>
      <c r="E33" s="516"/>
      <c r="F33" s="516"/>
      <c r="G33" s="516"/>
      <c r="H33" s="513">
        <v>1.4</v>
      </c>
      <c r="I33" s="514">
        <f t="shared" si="10"/>
        <v>0</v>
      </c>
      <c r="J33" s="517"/>
      <c r="K33" s="517"/>
      <c r="L33" s="517"/>
      <c r="M33" s="517"/>
      <c r="N33" s="517"/>
      <c r="O33" s="517"/>
      <c r="P33" s="517"/>
      <c r="Q33" s="511">
        <f t="shared" si="25"/>
        <v>0</v>
      </c>
    </row>
    <row r="34" spans="1:17" ht="15.75">
      <c r="A34" s="465"/>
      <c r="B34" s="520" t="s">
        <v>64</v>
      </c>
      <c r="C34" s="521">
        <f>C6</f>
        <v>0</v>
      </c>
      <c r="D34" s="521">
        <f t="shared" ref="D34:G34" si="26">D6</f>
        <v>0</v>
      </c>
      <c r="E34" s="521">
        <f t="shared" si="26"/>
        <v>0</v>
      </c>
      <c r="F34" s="521">
        <f t="shared" si="26"/>
        <v>0</v>
      </c>
      <c r="G34" s="521">
        <f t="shared" si="26"/>
        <v>0</v>
      </c>
      <c r="H34" s="513">
        <v>1.4</v>
      </c>
      <c r="I34" s="514">
        <f>(F34+G34)*H34</f>
        <v>0</v>
      </c>
      <c r="J34" s="521">
        <f t="shared" ref="J34:Q34" si="27">J6</f>
        <v>0</v>
      </c>
      <c r="K34" s="521">
        <f t="shared" si="27"/>
        <v>0</v>
      </c>
      <c r="L34" s="521">
        <f t="shared" si="27"/>
        <v>0</v>
      </c>
      <c r="M34" s="521">
        <f t="shared" si="27"/>
        <v>0</v>
      </c>
      <c r="N34" s="521">
        <f t="shared" si="27"/>
        <v>0</v>
      </c>
      <c r="O34" s="521">
        <f t="shared" si="27"/>
        <v>0</v>
      </c>
      <c r="P34" s="521">
        <f t="shared" si="27"/>
        <v>0</v>
      </c>
      <c r="Q34" s="521">
        <f t="shared" si="27"/>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O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sheetView>
  </sheetViews>
  <sheetFormatPr defaultColWidth="9.28515625" defaultRowHeight="14.25"/>
  <cols>
    <col min="1" max="1" width="9.5703125" style="3" bestFit="1" customWidth="1"/>
    <col min="2" max="2" width="86" style="3" customWidth="1"/>
    <col min="3" max="3" width="14.28515625" style="3" bestFit="1" customWidth="1"/>
    <col min="4" max="7" width="14.28515625" style="4" bestFit="1" customWidth="1"/>
    <col min="8" max="8" width="9.28515625" style="5" customWidth="1"/>
    <col min="9" max="10" width="11.42578125" style="5" bestFit="1" customWidth="1"/>
    <col min="11" max="12" width="9.28515625" style="5"/>
    <col min="13" max="13" width="6.7109375" style="5" customWidth="1"/>
    <col min="14" max="16384" width="9.28515625" style="5"/>
  </cols>
  <sheetData>
    <row r="1" spans="1:15">
      <c r="A1" s="2" t="s">
        <v>30</v>
      </c>
      <c r="B1" s="3" t="str">
        <f>'Info '!C2</f>
        <v>JSC Cartu Bank</v>
      </c>
    </row>
    <row r="2" spans="1:15">
      <c r="A2" s="2" t="s">
        <v>31</v>
      </c>
      <c r="B2" s="238">
        <v>46112</v>
      </c>
    </row>
    <row r="3" spans="1:15" ht="15" thickBot="1">
      <c r="A3" s="2"/>
    </row>
    <row r="4" spans="1:15" ht="15" customHeight="1" thickBot="1">
      <c r="A4" s="6" t="s">
        <v>93</v>
      </c>
      <c r="B4" s="7" t="s">
        <v>92</v>
      </c>
      <c r="C4" s="7"/>
      <c r="D4" s="709" t="s">
        <v>664</v>
      </c>
      <c r="E4" s="710"/>
      <c r="F4" s="710"/>
      <c r="G4" s="711"/>
    </row>
    <row r="5" spans="1:15">
      <c r="A5" s="8" t="s">
        <v>6</v>
      </c>
      <c r="B5" s="9"/>
      <c r="C5" s="236" t="str">
        <f>INT((MONTH($B$2))/3)&amp;"Q"&amp;"-"&amp;YEAR($B$2)</f>
        <v>1Q-2026</v>
      </c>
      <c r="D5" s="236" t="str">
        <f>IF(INT(MONTH($B$2))=3, "4"&amp;"Q"&amp;"-"&amp;YEAR($B$2)-1, IF(INT(MONTH($B$2))=6, "1"&amp;"Q"&amp;"-"&amp;YEAR($B$2), IF(INT(MONTH($B$2))=9, "2"&amp;"Q"&amp;"-"&amp;YEAR($B$2),IF(INT(MONTH($B$2))=12, "3"&amp;"Q"&amp;"-"&amp;YEAR($B$2), 0))))</f>
        <v>4Q-2025</v>
      </c>
      <c r="E5" s="236" t="str">
        <f>IF(INT(MONTH($B$2))=3, "3"&amp;"Q"&amp;"-"&amp;YEAR($B$2)-1, IF(INT(MONTH($B$2))=6, "4"&amp;"Q"&amp;"-"&amp;YEAR($B$2)-1, IF(INT(MONTH($B$2))=9, "1"&amp;"Q"&amp;"-"&amp;YEAR($B$2),IF(INT(MONTH($B$2))=12, "2"&amp;"Q"&amp;"-"&amp;YEAR($B$2), 0))))</f>
        <v>3Q-2025</v>
      </c>
      <c r="F5" s="236" t="str">
        <f>IF(INT(MONTH($B$2))=3, "2"&amp;"Q"&amp;"-"&amp;YEAR($B$2)-1, IF(INT(MONTH($B$2))=6, "3"&amp;"Q"&amp;"-"&amp;YEAR($B$2)-1, IF(INT(MONTH($B$2))=9, "4"&amp;"Q"&amp;"-"&amp;YEAR($B$2)-1,IF(INT(MONTH($B$2))=12, "1"&amp;"Q"&amp;"-"&amp;YEAR($B$2), 0))))</f>
        <v>2Q-2025</v>
      </c>
      <c r="G5" s="237" t="str">
        <f>IF(INT(MONTH($B$2))=3, "1"&amp;"Q"&amp;"-"&amp;YEAR($B$2)-1, IF(INT(MONTH($B$2))=6, "2"&amp;"Q"&amp;"-"&amp;YEAR($B$2)-1, IF(INT(MONTH($B$2))=9, "3"&amp;"Q"&amp;"-"&amp;YEAR($B$2)-1,IF(INT(MONTH($B$2))=12, "4"&amp;"Q"&amp;"-"&amp;YEAR($B$2)-1, 0))))</f>
        <v>1Q-2025</v>
      </c>
    </row>
    <row r="6" spans="1:15">
      <c r="B6" s="106" t="s">
        <v>91</v>
      </c>
      <c r="C6" s="239"/>
      <c r="D6" s="239"/>
      <c r="E6" s="239"/>
      <c r="F6" s="239"/>
      <c r="G6" s="240"/>
    </row>
    <row r="7" spans="1:15">
      <c r="A7" s="10"/>
      <c r="B7" s="107" t="s">
        <v>89</v>
      </c>
      <c r="C7" s="239"/>
      <c r="D7" s="239"/>
      <c r="E7" s="239"/>
      <c r="F7" s="239"/>
      <c r="G7" s="240"/>
    </row>
    <row r="8" spans="1:15">
      <c r="A8" s="8">
        <v>1</v>
      </c>
      <c r="B8" s="11" t="s">
        <v>327</v>
      </c>
      <c r="C8" s="12">
        <v>451476102.70398408</v>
      </c>
      <c r="D8" s="13">
        <v>444638263.92582595</v>
      </c>
      <c r="E8" s="13">
        <v>442303812.08834088</v>
      </c>
      <c r="F8" s="13">
        <v>430008701.35207307</v>
      </c>
      <c r="G8" s="14">
        <v>418319570.88888454</v>
      </c>
      <c r="I8" s="598"/>
      <c r="J8" s="598"/>
      <c r="K8" s="598"/>
      <c r="L8" s="598"/>
      <c r="M8" s="598"/>
      <c r="N8" s="598"/>
      <c r="O8" s="598"/>
    </row>
    <row r="9" spans="1:15">
      <c r="A9" s="8">
        <v>2</v>
      </c>
      <c r="B9" s="11" t="s">
        <v>328</v>
      </c>
      <c r="C9" s="12">
        <v>524370702.70398408</v>
      </c>
      <c r="D9" s="13">
        <v>517405963.92582595</v>
      </c>
      <c r="E9" s="13">
        <v>515441412.08834088</v>
      </c>
      <c r="F9" s="13">
        <v>503545901.35207307</v>
      </c>
      <c r="G9" s="14">
        <v>493036670.88888454</v>
      </c>
      <c r="I9" s="598"/>
      <c r="J9" s="598"/>
      <c r="K9" s="598"/>
      <c r="L9" s="598"/>
      <c r="M9" s="598"/>
      <c r="N9" s="598"/>
      <c r="O9" s="598"/>
    </row>
    <row r="10" spans="1:15">
      <c r="A10" s="8">
        <v>3</v>
      </c>
      <c r="B10" s="11" t="s">
        <v>142</v>
      </c>
      <c r="C10" s="12">
        <v>533550022.70398408</v>
      </c>
      <c r="D10" s="13">
        <v>526569303.92582595</v>
      </c>
      <c r="E10" s="13">
        <v>528443652.08834088</v>
      </c>
      <c r="F10" s="13">
        <v>516619181.35207307</v>
      </c>
      <c r="G10" s="14">
        <v>509087010.88888454</v>
      </c>
      <c r="I10" s="598"/>
      <c r="J10" s="598"/>
      <c r="K10" s="598"/>
      <c r="L10" s="598"/>
      <c r="M10" s="598"/>
      <c r="N10" s="598"/>
      <c r="O10" s="598"/>
    </row>
    <row r="11" spans="1:15">
      <c r="A11" s="8">
        <v>4</v>
      </c>
      <c r="B11" s="11" t="s">
        <v>330</v>
      </c>
      <c r="C11" s="12">
        <v>318142617.70548987</v>
      </c>
      <c r="D11" s="13">
        <v>314429686.76610839</v>
      </c>
      <c r="E11" s="13">
        <v>296521731.03021282</v>
      </c>
      <c r="F11" s="13">
        <v>294108144.80107147</v>
      </c>
      <c r="G11" s="14">
        <v>299357890.43035549</v>
      </c>
      <c r="I11" s="598"/>
      <c r="J11" s="598"/>
      <c r="K11" s="598"/>
      <c r="L11" s="598"/>
      <c r="M11" s="598"/>
      <c r="N11" s="598"/>
      <c r="O11" s="598"/>
    </row>
    <row r="12" spans="1:15">
      <c r="A12" s="8">
        <v>5</v>
      </c>
      <c r="B12" s="11" t="s">
        <v>331</v>
      </c>
      <c r="C12" s="12">
        <v>379752410.61766332</v>
      </c>
      <c r="D12" s="13">
        <v>377488316.09976095</v>
      </c>
      <c r="E12" s="13">
        <v>355771373.10204285</v>
      </c>
      <c r="F12" s="13">
        <v>352855543.57418174</v>
      </c>
      <c r="G12" s="14">
        <v>359030017.90039587</v>
      </c>
      <c r="I12" s="598"/>
      <c r="J12" s="598"/>
      <c r="K12" s="598"/>
      <c r="L12" s="598"/>
      <c r="M12" s="598"/>
      <c r="N12" s="598"/>
      <c r="O12" s="598"/>
    </row>
    <row r="13" spans="1:15">
      <c r="A13" s="8">
        <v>6</v>
      </c>
      <c r="B13" s="11" t="s">
        <v>329</v>
      </c>
      <c r="C13" s="12">
        <v>461305610.14411968</v>
      </c>
      <c r="D13" s="13">
        <v>460958871.74103796</v>
      </c>
      <c r="E13" s="13">
        <v>434193418.10497457</v>
      </c>
      <c r="F13" s="13">
        <v>430605918.08023345</v>
      </c>
      <c r="G13" s="14">
        <v>438002182.08843654</v>
      </c>
      <c r="I13" s="598"/>
      <c r="J13" s="598"/>
      <c r="K13" s="598"/>
      <c r="L13" s="598"/>
      <c r="M13" s="598"/>
      <c r="N13" s="598"/>
      <c r="O13" s="598"/>
    </row>
    <row r="14" spans="1:15">
      <c r="A14" s="10"/>
      <c r="B14" s="106" t="s">
        <v>333</v>
      </c>
      <c r="C14" s="239"/>
      <c r="D14" s="239"/>
      <c r="E14" s="239"/>
      <c r="F14" s="239"/>
      <c r="G14" s="240"/>
      <c r="I14" s="598"/>
      <c r="J14" s="598"/>
      <c r="K14" s="598"/>
      <c r="L14" s="598"/>
      <c r="M14" s="598"/>
      <c r="N14" s="598"/>
      <c r="O14" s="598"/>
    </row>
    <row r="15" spans="1:15" ht="15" customHeight="1">
      <c r="A15" s="8">
        <v>7</v>
      </c>
      <c r="B15" s="11" t="s">
        <v>332</v>
      </c>
      <c r="C15" s="159">
        <v>1853193639.6668506</v>
      </c>
      <c r="D15" s="13">
        <v>1894964768.5900092</v>
      </c>
      <c r="E15" s="13">
        <v>1755560651.9902401</v>
      </c>
      <c r="F15" s="13">
        <v>1714429257.445097</v>
      </c>
      <c r="G15" s="14">
        <v>1733586564.3527336</v>
      </c>
      <c r="I15" s="598"/>
      <c r="J15" s="598"/>
      <c r="K15" s="598"/>
      <c r="L15" s="598"/>
      <c r="M15" s="598"/>
      <c r="N15" s="598"/>
      <c r="O15" s="598"/>
    </row>
    <row r="16" spans="1:15">
      <c r="A16" s="10"/>
      <c r="B16" s="106" t="s">
        <v>334</v>
      </c>
      <c r="C16" s="239"/>
      <c r="D16" s="239"/>
      <c r="E16" s="239"/>
      <c r="F16" s="239"/>
      <c r="G16" s="240"/>
      <c r="I16" s="598"/>
      <c r="J16" s="598"/>
      <c r="K16" s="598"/>
      <c r="L16" s="598"/>
      <c r="M16" s="598"/>
      <c r="N16" s="598"/>
      <c r="O16" s="598"/>
    </row>
    <row r="17" spans="1:15">
      <c r="A17" s="8"/>
      <c r="B17" s="107" t="s">
        <v>715</v>
      </c>
      <c r="C17" s="550">
        <v>0</v>
      </c>
      <c r="D17" s="551">
        <v>0</v>
      </c>
      <c r="E17" s="551">
        <v>0</v>
      </c>
      <c r="F17" s="551">
        <v>0</v>
      </c>
      <c r="G17" s="552">
        <v>0</v>
      </c>
      <c r="I17" s="598"/>
      <c r="J17" s="598"/>
      <c r="K17" s="598"/>
      <c r="L17" s="598"/>
      <c r="M17" s="598"/>
      <c r="N17" s="598"/>
      <c r="O17" s="598"/>
    </row>
    <row r="18" spans="1:15">
      <c r="A18" s="8">
        <v>8</v>
      </c>
      <c r="B18" s="11" t="s">
        <v>327</v>
      </c>
      <c r="C18" s="553">
        <v>0.24362057641485654</v>
      </c>
      <c r="D18" s="551">
        <v>0.23464196870354956</v>
      </c>
      <c r="E18" s="551">
        <v>0.25194447801442282</v>
      </c>
      <c r="F18" s="551">
        <v>0.25081740730025059</v>
      </c>
      <c r="G18" s="552">
        <v>0.24130296086199299</v>
      </c>
      <c r="I18" s="598"/>
      <c r="J18" s="598"/>
      <c r="K18" s="598"/>
      <c r="L18" s="598"/>
      <c r="M18" s="598"/>
      <c r="N18" s="598"/>
      <c r="O18" s="598"/>
    </row>
    <row r="19" spans="1:15" ht="15" customHeight="1">
      <c r="A19" s="8">
        <v>9</v>
      </c>
      <c r="B19" s="11" t="s">
        <v>328</v>
      </c>
      <c r="C19" s="553">
        <v>0.28295515993582326</v>
      </c>
      <c r="D19" s="551">
        <v>0.2730425243266203</v>
      </c>
      <c r="E19" s="551">
        <v>0.29360501530038075</v>
      </c>
      <c r="F19" s="551">
        <v>0.2937105157097441</v>
      </c>
      <c r="G19" s="552">
        <v>0.28440268344659725</v>
      </c>
      <c r="I19" s="598"/>
      <c r="J19" s="598"/>
      <c r="K19" s="598"/>
      <c r="L19" s="598"/>
      <c r="M19" s="598"/>
      <c r="N19" s="598"/>
      <c r="O19" s="598"/>
    </row>
    <row r="20" spans="1:15">
      <c r="A20" s="8">
        <v>10</v>
      </c>
      <c r="B20" s="11" t="s">
        <v>142</v>
      </c>
      <c r="C20" s="553">
        <v>0.28790840378661164</v>
      </c>
      <c r="D20" s="551">
        <v>0.27787814984952547</v>
      </c>
      <c r="E20" s="551">
        <v>0.30101133304010663</v>
      </c>
      <c r="F20" s="551">
        <v>0.30133595720476519</v>
      </c>
      <c r="G20" s="552">
        <v>0.29366114237217888</v>
      </c>
      <c r="I20" s="598"/>
      <c r="J20" s="598"/>
      <c r="K20" s="598"/>
      <c r="L20" s="598"/>
      <c r="M20" s="598"/>
      <c r="N20" s="598"/>
      <c r="O20" s="598"/>
    </row>
    <row r="21" spans="1:15">
      <c r="A21" s="8">
        <v>11</v>
      </c>
      <c r="B21" s="11" t="s">
        <v>330</v>
      </c>
      <c r="C21" s="553">
        <v>0.17167262551294019</v>
      </c>
      <c r="D21" s="551">
        <v>0.16592904099217992</v>
      </c>
      <c r="E21" s="551">
        <v>0.16890429316358435</v>
      </c>
      <c r="F21" s="551">
        <v>0.17154872009088423</v>
      </c>
      <c r="G21" s="552">
        <v>0.17268124741271645</v>
      </c>
      <c r="I21" s="598"/>
      <c r="J21" s="598"/>
      <c r="K21" s="598"/>
      <c r="L21" s="598"/>
      <c r="M21" s="598"/>
      <c r="N21" s="598"/>
      <c r="O21" s="598"/>
    </row>
    <row r="22" spans="1:15">
      <c r="A22" s="8">
        <v>12</v>
      </c>
      <c r="B22" s="11" t="s">
        <v>331</v>
      </c>
      <c r="C22" s="553">
        <v>0.20491782536331798</v>
      </c>
      <c r="D22" s="551">
        <v>0.19920598121760308</v>
      </c>
      <c r="E22" s="551">
        <v>0.20265399130398187</v>
      </c>
      <c r="F22" s="551">
        <v>0.20581516679202005</v>
      </c>
      <c r="G22" s="552">
        <v>0.20710244604049888</v>
      </c>
      <c r="I22" s="598"/>
      <c r="J22" s="598"/>
      <c r="K22" s="598"/>
      <c r="L22" s="598"/>
      <c r="M22" s="598"/>
      <c r="N22" s="598"/>
      <c r="O22" s="598"/>
    </row>
    <row r="23" spans="1:15">
      <c r="A23" s="8">
        <v>13</v>
      </c>
      <c r="B23" s="11" t="s">
        <v>329</v>
      </c>
      <c r="C23" s="553">
        <v>0.24892466727170981</v>
      </c>
      <c r="D23" s="551">
        <v>0.24325458677737039</v>
      </c>
      <c r="E23" s="551">
        <v>0.24732464675187332</v>
      </c>
      <c r="F23" s="551">
        <v>0.25116575455667245</v>
      </c>
      <c r="G23" s="552">
        <v>0.25265665476126525</v>
      </c>
      <c r="I23" s="598"/>
      <c r="J23" s="598"/>
      <c r="K23" s="598"/>
      <c r="L23" s="598"/>
      <c r="M23" s="598"/>
      <c r="N23" s="598"/>
      <c r="O23" s="598"/>
    </row>
    <row r="24" spans="1:15" ht="15">
      <c r="A24" s="462"/>
      <c r="B24" s="106" t="s">
        <v>700</v>
      </c>
      <c r="C24" s="169"/>
      <c r="D24" s="169"/>
      <c r="E24" s="169"/>
      <c r="F24" s="169"/>
      <c r="G24" s="461"/>
      <c r="I24" s="598"/>
      <c r="J24" s="598"/>
      <c r="K24" s="598"/>
      <c r="L24" s="598"/>
      <c r="M24" s="598"/>
      <c r="N24" s="598"/>
      <c r="O24" s="598"/>
    </row>
    <row r="25" spans="1:15" ht="25.5">
      <c r="A25" s="8">
        <v>14</v>
      </c>
      <c r="B25" s="11" t="s">
        <v>701</v>
      </c>
      <c r="C25" s="553">
        <v>0</v>
      </c>
      <c r="D25" s="551">
        <v>0</v>
      </c>
      <c r="E25" s="551">
        <v>0</v>
      </c>
      <c r="F25" s="551">
        <v>0</v>
      </c>
      <c r="G25" s="552">
        <v>0</v>
      </c>
      <c r="H25" s="460"/>
      <c r="I25" s="598"/>
      <c r="J25" s="598"/>
      <c r="K25" s="598"/>
      <c r="L25" s="598"/>
      <c r="M25" s="598"/>
      <c r="N25" s="598"/>
      <c r="O25" s="598"/>
    </row>
    <row r="26" spans="1:15">
      <c r="A26" s="10"/>
      <c r="B26" s="106" t="s">
        <v>88</v>
      </c>
      <c r="C26" s="239"/>
      <c r="D26" s="239"/>
      <c r="E26" s="239"/>
      <c r="F26" s="239"/>
      <c r="G26" s="240"/>
      <c r="I26" s="598"/>
      <c r="J26" s="598"/>
      <c r="K26" s="598"/>
      <c r="L26" s="598"/>
      <c r="M26" s="598"/>
      <c r="N26" s="598"/>
      <c r="O26" s="598"/>
    </row>
    <row r="27" spans="1:15" ht="15" customHeight="1">
      <c r="A27" s="241">
        <v>15</v>
      </c>
      <c r="B27" s="11" t="s">
        <v>87</v>
      </c>
      <c r="C27" s="554">
        <v>6.7374922343453589E-2</v>
      </c>
      <c r="D27" s="555">
        <v>6.5783910108447669E-2</v>
      </c>
      <c r="E27" s="555">
        <v>6.3658334750143361E-2</v>
      </c>
      <c r="F27" s="555">
        <v>6.2472314249129093E-2</v>
      </c>
      <c r="G27" s="556">
        <v>5.8456655620980312E-2</v>
      </c>
      <c r="I27" s="598"/>
      <c r="J27" s="598"/>
      <c r="K27" s="598"/>
      <c r="L27" s="598"/>
      <c r="M27" s="598"/>
      <c r="N27" s="598"/>
      <c r="O27" s="598"/>
    </row>
    <row r="28" spans="1:15">
      <c r="A28" s="241">
        <v>16</v>
      </c>
      <c r="B28" s="11" t="s">
        <v>86</v>
      </c>
      <c r="C28" s="554">
        <v>2.6552988842918342E-2</v>
      </c>
      <c r="D28" s="555">
        <v>2.1461529095552476E-2</v>
      </c>
      <c r="E28" s="555">
        <v>2.0904559640448215E-2</v>
      </c>
      <c r="F28" s="555">
        <v>2.1222003249915061E-2</v>
      </c>
      <c r="G28" s="556">
        <v>2.0597753611956888E-2</v>
      </c>
      <c r="I28" s="598"/>
      <c r="J28" s="598"/>
      <c r="K28" s="598"/>
      <c r="L28" s="598"/>
      <c r="M28" s="598"/>
      <c r="N28" s="598"/>
      <c r="O28" s="598"/>
    </row>
    <row r="29" spans="1:15">
      <c r="A29" s="241">
        <v>17</v>
      </c>
      <c r="B29" s="11" t="s">
        <v>85</v>
      </c>
      <c r="C29" s="554">
        <v>2.2238682869170405E-2</v>
      </c>
      <c r="D29" s="555">
        <v>2.2050804440948691E-2</v>
      </c>
      <c r="E29" s="555">
        <v>2.54403016106215E-2</v>
      </c>
      <c r="F29" s="555">
        <v>2.2490409638170318E-2</v>
      </c>
      <c r="G29" s="556">
        <v>2.1464265038663173E-2</v>
      </c>
      <c r="I29" s="598"/>
      <c r="J29" s="598"/>
      <c r="K29" s="598"/>
      <c r="L29" s="598"/>
      <c r="M29" s="598"/>
      <c r="N29" s="598"/>
      <c r="O29" s="598"/>
    </row>
    <row r="30" spans="1:15">
      <c r="A30" s="241">
        <v>18</v>
      </c>
      <c r="B30" s="11" t="s">
        <v>84</v>
      </c>
      <c r="C30" s="554">
        <v>4.082193350053525E-2</v>
      </c>
      <c r="D30" s="555">
        <v>4.43223810128952E-2</v>
      </c>
      <c r="E30" s="555">
        <v>4.2753775109695157E-2</v>
      </c>
      <c r="F30" s="555">
        <v>4.1250310999214029E-2</v>
      </c>
      <c r="G30" s="556">
        <v>3.7858902009023435E-2</v>
      </c>
      <c r="I30" s="598"/>
      <c r="J30" s="598"/>
      <c r="K30" s="598"/>
      <c r="L30" s="598"/>
      <c r="M30" s="598"/>
      <c r="N30" s="598"/>
      <c r="O30" s="598"/>
    </row>
    <row r="31" spans="1:15">
      <c r="A31" s="241">
        <v>19</v>
      </c>
      <c r="B31" s="11" t="s">
        <v>154</v>
      </c>
      <c r="C31" s="554">
        <v>1.287109564535421E-2</v>
      </c>
      <c r="D31" s="555">
        <v>2.0194285291525896E-2</v>
      </c>
      <c r="E31" s="555">
        <v>2.287515472600702E-2</v>
      </c>
      <c r="F31" s="555">
        <v>2.0863464450984942E-2</v>
      </c>
      <c r="G31" s="556">
        <v>1.6022672045571729E-2</v>
      </c>
      <c r="I31" s="598"/>
      <c r="J31" s="598"/>
      <c r="K31" s="598"/>
      <c r="L31" s="598"/>
      <c r="M31" s="598"/>
      <c r="N31" s="598"/>
      <c r="O31" s="598"/>
    </row>
    <row r="32" spans="1:15">
      <c r="A32" s="241">
        <v>20</v>
      </c>
      <c r="B32" s="11" t="s">
        <v>155</v>
      </c>
      <c r="C32" s="554">
        <v>5.1633472109460031E-2</v>
      </c>
      <c r="D32" s="555">
        <v>8.098129411425721E-2</v>
      </c>
      <c r="E32" s="555">
        <v>9.2237129158888848E-2</v>
      </c>
      <c r="F32" s="555">
        <v>8.5487369841435554E-2</v>
      </c>
      <c r="G32" s="556">
        <v>6.8261531300982739E-2</v>
      </c>
      <c r="I32" s="598"/>
      <c r="J32" s="598"/>
      <c r="K32" s="598"/>
      <c r="L32" s="598"/>
      <c r="M32" s="598"/>
      <c r="N32" s="598"/>
      <c r="O32" s="598"/>
    </row>
    <row r="33" spans="1:15">
      <c r="A33" s="10"/>
      <c r="B33" s="106" t="s">
        <v>216</v>
      </c>
      <c r="C33" s="239"/>
      <c r="D33" s="239"/>
      <c r="E33" s="239"/>
      <c r="F33" s="239"/>
      <c r="G33" s="240"/>
      <c r="I33" s="598"/>
      <c r="J33" s="598"/>
      <c r="K33" s="598"/>
      <c r="L33" s="598"/>
      <c r="M33" s="598"/>
      <c r="N33" s="598"/>
      <c r="O33" s="598"/>
    </row>
    <row r="34" spans="1:15">
      <c r="A34" s="241">
        <v>21</v>
      </c>
      <c r="B34" s="11" t="s">
        <v>83</v>
      </c>
      <c r="C34" s="554">
        <v>7.3566123720499463E-2</v>
      </c>
      <c r="D34" s="555">
        <v>7.3036113111843867E-2</v>
      </c>
      <c r="E34" s="555">
        <v>8.5814611751763581E-2</v>
      </c>
      <c r="F34" s="555">
        <v>0.10831865205388158</v>
      </c>
      <c r="G34" s="556">
        <v>0.11454777701974829</v>
      </c>
      <c r="I34" s="598"/>
      <c r="J34" s="598"/>
      <c r="K34" s="598"/>
      <c r="L34" s="598"/>
      <c r="M34" s="598"/>
      <c r="N34" s="598"/>
      <c r="O34" s="598"/>
    </row>
    <row r="35" spans="1:15" ht="15" customHeight="1">
      <c r="A35" s="241">
        <v>22</v>
      </c>
      <c r="B35" s="11" t="s">
        <v>674</v>
      </c>
      <c r="C35" s="554">
        <v>2.9430986447641461E-2</v>
      </c>
      <c r="D35" s="555">
        <v>2.6867057648330667E-2</v>
      </c>
      <c r="E35" s="555">
        <v>3.0228538344414222E-2</v>
      </c>
      <c r="F35" s="555">
        <v>4.8373787618169913E-2</v>
      </c>
      <c r="G35" s="556">
        <v>5.1807931252594669E-2</v>
      </c>
      <c r="I35" s="598"/>
      <c r="J35" s="598"/>
      <c r="K35" s="598"/>
      <c r="L35" s="598"/>
      <c r="M35" s="598"/>
      <c r="N35" s="598"/>
      <c r="O35" s="598"/>
    </row>
    <row r="36" spans="1:15">
      <c r="A36" s="241">
        <v>23</v>
      </c>
      <c r="B36" s="11" t="s">
        <v>82</v>
      </c>
      <c r="C36" s="554">
        <v>0.53558817292287386</v>
      </c>
      <c r="D36" s="555">
        <v>0.53956705145195971</v>
      </c>
      <c r="E36" s="555">
        <v>0.57540170767460341</v>
      </c>
      <c r="F36" s="555">
        <v>0.55359527395863561</v>
      </c>
      <c r="G36" s="556">
        <v>0.5825802425809502</v>
      </c>
      <c r="I36" s="598"/>
      <c r="J36" s="598"/>
      <c r="K36" s="598"/>
      <c r="L36" s="598"/>
      <c r="M36" s="598"/>
      <c r="N36" s="598"/>
      <c r="O36" s="598"/>
    </row>
    <row r="37" spans="1:15" ht="15" customHeight="1">
      <c r="A37" s="241">
        <v>24</v>
      </c>
      <c r="B37" s="11" t="s">
        <v>81</v>
      </c>
      <c r="C37" s="554">
        <v>0.57925260855756966</v>
      </c>
      <c r="D37" s="555">
        <v>0.59536785603201392</v>
      </c>
      <c r="E37" s="555">
        <v>0.60934778327759209</v>
      </c>
      <c r="F37" s="555">
        <v>0.62392335707537594</v>
      </c>
      <c r="G37" s="556">
        <v>0.64462332158706992</v>
      </c>
      <c r="I37" s="598"/>
      <c r="J37" s="598"/>
      <c r="K37" s="598"/>
      <c r="L37" s="598"/>
      <c r="M37" s="598"/>
      <c r="N37" s="598"/>
      <c r="O37" s="598"/>
    </row>
    <row r="38" spans="1:15">
      <c r="A38" s="241">
        <v>25</v>
      </c>
      <c r="B38" s="11" t="s">
        <v>80</v>
      </c>
      <c r="C38" s="554">
        <v>-5.7356774756949398E-3</v>
      </c>
      <c r="D38" s="555">
        <v>4.839479687995079E-2</v>
      </c>
      <c r="E38" s="555">
        <v>-5.0331017267639014E-2</v>
      </c>
      <c r="F38" s="555">
        <v>-3.1173080585118824E-2</v>
      </c>
      <c r="G38" s="556">
        <v>-2.612298990832233E-2</v>
      </c>
      <c r="I38" s="598"/>
      <c r="J38" s="598"/>
      <c r="K38" s="598"/>
      <c r="L38" s="598"/>
      <c r="M38" s="598"/>
      <c r="N38" s="598"/>
      <c r="O38" s="598"/>
    </row>
    <row r="39" spans="1:15" ht="15" customHeight="1">
      <c r="A39" s="10"/>
      <c r="B39" s="106" t="s">
        <v>217</v>
      </c>
      <c r="C39" s="239"/>
      <c r="D39" s="239"/>
      <c r="E39" s="239"/>
      <c r="F39" s="239"/>
      <c r="G39" s="240"/>
      <c r="I39" s="598"/>
      <c r="J39" s="598"/>
      <c r="K39" s="598"/>
      <c r="L39" s="598"/>
      <c r="M39" s="598"/>
      <c r="N39" s="598"/>
      <c r="O39" s="598"/>
    </row>
    <row r="40" spans="1:15" ht="15" customHeight="1">
      <c r="A40" s="241">
        <v>26</v>
      </c>
      <c r="B40" s="11" t="s">
        <v>79</v>
      </c>
      <c r="C40" s="559">
        <v>0.30078560883877792</v>
      </c>
      <c r="D40" s="557">
        <v>0.32253820499072522</v>
      </c>
      <c r="E40" s="557">
        <v>0.33291076196714459</v>
      </c>
      <c r="F40" s="557">
        <v>0.29927960798125691</v>
      </c>
      <c r="G40" s="558">
        <v>0.30872224623525724</v>
      </c>
      <c r="I40" s="598"/>
      <c r="J40" s="598"/>
      <c r="K40" s="598"/>
      <c r="L40" s="598"/>
      <c r="M40" s="598"/>
      <c r="N40" s="598"/>
      <c r="O40" s="598"/>
    </row>
    <row r="41" spans="1:15" ht="15" customHeight="1">
      <c r="A41" s="241">
        <v>27</v>
      </c>
      <c r="B41" s="11" t="s">
        <v>78</v>
      </c>
      <c r="C41" s="559">
        <v>0.75014868138528901</v>
      </c>
      <c r="D41" s="557">
        <v>0.76631665775958679</v>
      </c>
      <c r="E41" s="557">
        <v>0.78883333659888311</v>
      </c>
      <c r="F41" s="557">
        <v>0.8189972154836489</v>
      </c>
      <c r="G41" s="558">
        <v>0.83192038646247413</v>
      </c>
      <c r="I41" s="598"/>
      <c r="J41" s="598"/>
      <c r="K41" s="598"/>
      <c r="L41" s="598"/>
      <c r="M41" s="598"/>
      <c r="N41" s="598"/>
      <c r="O41" s="598"/>
    </row>
    <row r="42" spans="1:15" ht="15" customHeight="1">
      <c r="A42" s="241">
        <v>28</v>
      </c>
      <c r="B42" s="11" t="s">
        <v>77</v>
      </c>
      <c r="C42" s="559">
        <v>0.2962300939052287</v>
      </c>
      <c r="D42" s="557">
        <v>0.32554324994030531</v>
      </c>
      <c r="E42" s="557">
        <v>0.39031447011919845</v>
      </c>
      <c r="F42" s="557">
        <v>0.33715092299716687</v>
      </c>
      <c r="G42" s="558">
        <v>0.32179844710001582</v>
      </c>
      <c r="I42" s="598"/>
      <c r="J42" s="598"/>
      <c r="K42" s="598"/>
      <c r="L42" s="598"/>
      <c r="M42" s="598"/>
      <c r="N42" s="598"/>
      <c r="O42" s="598"/>
    </row>
    <row r="43" spans="1:15" ht="15" customHeight="1">
      <c r="A43" s="242"/>
      <c r="B43" s="106" t="s">
        <v>258</v>
      </c>
      <c r="C43" s="239"/>
      <c r="D43" s="239"/>
      <c r="E43" s="239"/>
      <c r="F43" s="239"/>
      <c r="G43" s="240"/>
      <c r="I43" s="598"/>
      <c r="J43" s="598"/>
      <c r="K43" s="598"/>
      <c r="L43" s="598"/>
      <c r="M43" s="598"/>
      <c r="N43" s="598"/>
      <c r="O43" s="598"/>
    </row>
    <row r="44" spans="1:15">
      <c r="A44" s="241">
        <v>29</v>
      </c>
      <c r="B44" s="11" t="s">
        <v>241</v>
      </c>
      <c r="C44" s="15">
        <v>673410875.30972874</v>
      </c>
      <c r="D44" s="16">
        <v>707041705.89184391</v>
      </c>
      <c r="E44" s="16">
        <v>679803640.02105772</v>
      </c>
      <c r="F44" s="16">
        <v>642346139.81358421</v>
      </c>
      <c r="G44" s="17">
        <v>741797588.97668672</v>
      </c>
      <c r="I44" s="598"/>
      <c r="J44" s="598"/>
      <c r="K44" s="598"/>
      <c r="L44" s="598"/>
      <c r="M44" s="598"/>
      <c r="N44" s="598"/>
      <c r="O44" s="598"/>
    </row>
    <row r="45" spans="1:15" ht="15" customHeight="1">
      <c r="A45" s="241">
        <v>30</v>
      </c>
      <c r="B45" s="11" t="s">
        <v>253</v>
      </c>
      <c r="C45" s="15">
        <v>454726195.95084447</v>
      </c>
      <c r="D45" s="16">
        <v>484923784.55030292</v>
      </c>
      <c r="E45" s="16">
        <v>497930002.1658743</v>
      </c>
      <c r="F45" s="16">
        <v>448139648.8739906</v>
      </c>
      <c r="G45" s="17">
        <v>437577201.62456089</v>
      </c>
      <c r="I45" s="598"/>
      <c r="J45" s="598"/>
      <c r="K45" s="598"/>
      <c r="L45" s="598"/>
      <c r="M45" s="598"/>
      <c r="N45" s="598"/>
      <c r="O45" s="598"/>
    </row>
    <row r="46" spans="1:15" ht="15" customHeight="1">
      <c r="A46" s="278">
        <v>31</v>
      </c>
      <c r="B46" s="279" t="s">
        <v>242</v>
      </c>
      <c r="C46" s="560">
        <v>1.4809150678060428</v>
      </c>
      <c r="D46" s="561">
        <v>1.4580470754750119</v>
      </c>
      <c r="E46" s="561">
        <v>1.3652594482438845</v>
      </c>
      <c r="F46" s="561">
        <v>1.4333615457314763</v>
      </c>
      <c r="G46" s="562">
        <v>1.6952382030477571</v>
      </c>
      <c r="I46" s="598"/>
      <c r="J46" s="598"/>
      <c r="K46" s="598"/>
      <c r="L46" s="598"/>
      <c r="M46" s="598"/>
      <c r="N46" s="598"/>
      <c r="O46" s="598"/>
    </row>
    <row r="47" spans="1:15" ht="15" customHeight="1">
      <c r="A47" s="278"/>
      <c r="B47" s="106" t="s">
        <v>337</v>
      </c>
      <c r="C47" s="280"/>
      <c r="D47" s="281"/>
      <c r="E47" s="281"/>
      <c r="F47" s="281"/>
      <c r="G47" s="282"/>
      <c r="I47" s="598"/>
      <c r="J47" s="598"/>
      <c r="K47" s="598"/>
      <c r="L47" s="598"/>
      <c r="M47" s="598"/>
      <c r="N47" s="598"/>
      <c r="O47" s="598"/>
    </row>
    <row r="48" spans="1:15" ht="15" customHeight="1">
      <c r="A48" s="278">
        <v>32</v>
      </c>
      <c r="B48" s="279" t="s">
        <v>344</v>
      </c>
      <c r="C48" s="280">
        <v>1454568819.080049</v>
      </c>
      <c r="D48" s="281">
        <v>1492411411.9201407</v>
      </c>
      <c r="E48" s="281">
        <v>1407468209.6241207</v>
      </c>
      <c r="F48" s="281">
        <v>1360302676.0992379</v>
      </c>
      <c r="G48" s="282">
        <v>1403571182.4169745</v>
      </c>
      <c r="I48" s="598"/>
      <c r="J48" s="598"/>
      <c r="K48" s="598"/>
      <c r="L48" s="598"/>
      <c r="M48" s="598"/>
      <c r="N48" s="598"/>
      <c r="O48" s="598"/>
    </row>
    <row r="49" spans="1:15" ht="15" customHeight="1">
      <c r="A49" s="278">
        <v>33</v>
      </c>
      <c r="B49" s="279" t="s">
        <v>359</v>
      </c>
      <c r="C49" s="280">
        <v>932798086.88957524</v>
      </c>
      <c r="D49" s="281">
        <v>930409050.99146807</v>
      </c>
      <c r="E49" s="281">
        <v>850760014.28684866</v>
      </c>
      <c r="F49" s="281">
        <v>841558441.84490347</v>
      </c>
      <c r="G49" s="282">
        <v>844223118.08681297</v>
      </c>
      <c r="I49" s="598"/>
      <c r="J49" s="598"/>
      <c r="K49" s="598"/>
      <c r="L49" s="598"/>
      <c r="M49" s="598"/>
      <c r="N49" s="598"/>
      <c r="O49" s="598"/>
    </row>
    <row r="50" spans="1:15" ht="15" thickBot="1">
      <c r="A50" s="243">
        <v>34</v>
      </c>
      <c r="B50" s="108" t="s">
        <v>377</v>
      </c>
      <c r="C50" s="563">
        <v>1.5593608515325366</v>
      </c>
      <c r="D50" s="564">
        <v>1.6040379339923536</v>
      </c>
      <c r="E50" s="564">
        <v>1.6543657271010013</v>
      </c>
      <c r="F50" s="564">
        <v>1.6164090435800504</v>
      </c>
      <c r="G50" s="565">
        <v>1.6625595205184167</v>
      </c>
      <c r="I50" s="598"/>
      <c r="J50" s="598"/>
      <c r="K50" s="598"/>
      <c r="L50" s="598"/>
      <c r="M50" s="598"/>
      <c r="N50" s="598"/>
      <c r="O50" s="598"/>
    </row>
    <row r="51" spans="1:15">
      <c r="A51" s="18"/>
    </row>
    <row r="52" spans="1:15">
      <c r="B52" s="161"/>
    </row>
    <row r="53" spans="1:15" ht="51">
      <c r="B53" s="161" t="s">
        <v>257</v>
      </c>
    </row>
    <row r="55" spans="1:15">
      <c r="B55" s="160"/>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F37"/>
  <sheetViews>
    <sheetView zoomScale="80" zoomScaleNormal="80" workbookViewId="0"/>
  </sheetViews>
  <sheetFormatPr defaultColWidth="8.7109375" defaultRowHeight="15"/>
  <cols>
    <col min="1" max="1" width="11.42578125" style="465" customWidth="1"/>
    <col min="2" max="2" width="76.7109375" style="544" customWidth="1"/>
    <col min="3" max="3" width="22.7109375" style="465" customWidth="1"/>
    <col min="4" max="5" width="8.7109375" style="465"/>
    <col min="6" max="6" width="15.85546875" style="465" bestFit="1" customWidth="1"/>
    <col min="7" max="16384" width="8.7109375" style="465"/>
  </cols>
  <sheetData>
    <row r="1" spans="1:6">
      <c r="A1" s="123" t="s">
        <v>30</v>
      </c>
      <c r="B1" s="464" t="str">
        <f>'Info '!C2</f>
        <v>JSC Cartu Bank</v>
      </c>
    </row>
    <row r="2" spans="1:6">
      <c r="A2" s="123" t="s">
        <v>31</v>
      </c>
      <c r="B2" s="466">
        <f>'1. key ratios '!B2</f>
        <v>46112</v>
      </c>
    </row>
    <row r="3" spans="1:6">
      <c r="B3" s="465"/>
    </row>
    <row r="4" spans="1:6">
      <c r="A4" s="465" t="s">
        <v>295</v>
      </c>
      <c r="B4" s="465" t="s">
        <v>296</v>
      </c>
    </row>
    <row r="5" spans="1:6">
      <c r="A5" s="526" t="s">
        <v>297</v>
      </c>
      <c r="B5" s="527"/>
      <c r="C5" s="528"/>
    </row>
    <row r="6" spans="1:6">
      <c r="A6" s="532">
        <v>1</v>
      </c>
      <c r="B6" s="533" t="s">
        <v>751</v>
      </c>
      <c r="C6" s="534">
        <v>1933894619.3498747</v>
      </c>
      <c r="F6" s="572"/>
    </row>
    <row r="7" spans="1:6">
      <c r="A7" s="532">
        <v>2</v>
      </c>
      <c r="B7" s="533" t="s">
        <v>298</v>
      </c>
      <c r="C7" s="534">
        <v>-15625069.660000002</v>
      </c>
      <c r="F7" s="572"/>
    </row>
    <row r="8" spans="1:6" ht="30">
      <c r="A8" s="535">
        <v>3</v>
      </c>
      <c r="B8" s="536" t="s">
        <v>299</v>
      </c>
      <c r="C8" s="534">
        <f>C6+C7</f>
        <v>1918269549.6898746</v>
      </c>
      <c r="F8" s="572"/>
    </row>
    <row r="9" spans="1:6">
      <c r="A9" s="526" t="s">
        <v>300</v>
      </c>
      <c r="B9" s="527"/>
      <c r="C9" s="529"/>
      <c r="F9" s="572"/>
    </row>
    <row r="10" spans="1:6" ht="25.9" customHeight="1">
      <c r="A10" s="532">
        <v>4</v>
      </c>
      <c r="B10" s="537" t="s">
        <v>749</v>
      </c>
      <c r="C10" s="534">
        <f>'15. CCR '!F34</f>
        <v>0</v>
      </c>
      <c r="F10" s="572"/>
    </row>
    <row r="11" spans="1:6" ht="25.9" customHeight="1">
      <c r="A11" s="532">
        <v>5</v>
      </c>
      <c r="B11" s="538" t="s">
        <v>750</v>
      </c>
      <c r="C11" s="534">
        <f>'15. CCR '!G34</f>
        <v>0</v>
      </c>
      <c r="F11" s="572"/>
    </row>
    <row r="12" spans="1:6" ht="25.9" customHeight="1">
      <c r="A12" s="532">
        <v>6</v>
      </c>
      <c r="B12" s="538" t="s">
        <v>743</v>
      </c>
      <c r="C12" s="539">
        <f>'15. CCR '!I34</f>
        <v>0</v>
      </c>
      <c r="F12" s="572"/>
    </row>
    <row r="13" spans="1:6" ht="25.9" customHeight="1">
      <c r="A13" s="540">
        <v>7</v>
      </c>
      <c r="B13" s="537" t="s">
        <v>744</v>
      </c>
      <c r="C13" s="534">
        <f>'15. CCR '!E34</f>
        <v>0</v>
      </c>
      <c r="F13" s="572"/>
    </row>
    <row r="14" spans="1:6" ht="25.9" customHeight="1">
      <c r="A14" s="535">
        <v>8</v>
      </c>
      <c r="B14" s="530" t="s">
        <v>301</v>
      </c>
      <c r="C14" s="541">
        <f>C12</f>
        <v>0</v>
      </c>
      <c r="F14" s="572"/>
    </row>
    <row r="15" spans="1:6">
      <c r="A15" s="526" t="s">
        <v>302</v>
      </c>
      <c r="B15" s="527"/>
      <c r="C15" s="529"/>
      <c r="F15" s="572"/>
    </row>
    <row r="16" spans="1:6">
      <c r="A16" s="540">
        <v>9</v>
      </c>
      <c r="B16" s="537" t="s">
        <v>303</v>
      </c>
      <c r="C16" s="534"/>
      <c r="F16" s="572"/>
    </row>
    <row r="17" spans="1:6">
      <c r="A17" s="540">
        <v>10</v>
      </c>
      <c r="B17" s="537" t="s">
        <v>304</v>
      </c>
      <c r="C17" s="534"/>
      <c r="F17" s="572"/>
    </row>
    <row r="18" spans="1:6">
      <c r="A18" s="540">
        <v>11</v>
      </c>
      <c r="B18" s="537" t="s">
        <v>305</v>
      </c>
      <c r="C18" s="534"/>
      <c r="F18" s="572"/>
    </row>
    <row r="19" spans="1:6" ht="30">
      <c r="A19" s="540">
        <v>12</v>
      </c>
      <c r="B19" s="537" t="s">
        <v>306</v>
      </c>
      <c r="C19" s="534"/>
      <c r="F19" s="572"/>
    </row>
    <row r="20" spans="1:6">
      <c r="A20" s="540">
        <v>14</v>
      </c>
      <c r="B20" s="537" t="s">
        <v>307</v>
      </c>
      <c r="C20" s="534"/>
      <c r="F20" s="572"/>
    </row>
    <row r="21" spans="1:6">
      <c r="A21" s="540">
        <v>14</v>
      </c>
      <c r="B21" s="537" t="s">
        <v>308</v>
      </c>
      <c r="C21" s="534"/>
      <c r="F21" s="572"/>
    </row>
    <row r="22" spans="1:6">
      <c r="A22" s="535">
        <v>15</v>
      </c>
      <c r="B22" s="530" t="s">
        <v>309</v>
      </c>
      <c r="C22" s="541">
        <f>SUM(C16:C21)</f>
        <v>0</v>
      </c>
      <c r="F22" s="572"/>
    </row>
    <row r="23" spans="1:6">
      <c r="A23" s="526" t="s">
        <v>310</v>
      </c>
      <c r="B23" s="527"/>
      <c r="C23" s="529"/>
      <c r="F23" s="572"/>
    </row>
    <row r="24" spans="1:6">
      <c r="A24" s="545">
        <v>16</v>
      </c>
      <c r="B24" s="538" t="s">
        <v>311</v>
      </c>
      <c r="C24" s="534">
        <v>207087530.6714592</v>
      </c>
      <c r="F24" s="572"/>
    </row>
    <row r="25" spans="1:6">
      <c r="A25" s="545">
        <v>17</v>
      </c>
      <c r="B25" s="538" t="s">
        <v>312</v>
      </c>
      <c r="C25" s="534">
        <v>-90622378.889180407</v>
      </c>
      <c r="F25" s="572"/>
    </row>
    <row r="26" spans="1:6">
      <c r="A26" s="546">
        <v>18</v>
      </c>
      <c r="B26" s="530" t="s">
        <v>313</v>
      </c>
      <c r="C26" s="541">
        <f>C24+C25</f>
        <v>116465151.78227879</v>
      </c>
      <c r="F26" s="572"/>
    </row>
    <row r="27" spans="1:6">
      <c r="A27" s="526" t="s">
        <v>314</v>
      </c>
      <c r="B27" s="527"/>
      <c r="C27" s="529"/>
      <c r="F27" s="572"/>
    </row>
    <row r="28" spans="1:6" ht="30">
      <c r="A28" s="545">
        <v>19</v>
      </c>
      <c r="B28" s="537" t="s">
        <v>315</v>
      </c>
      <c r="C28" s="542"/>
      <c r="F28" s="572"/>
    </row>
    <row r="29" spans="1:6">
      <c r="A29" s="545">
        <v>20</v>
      </c>
      <c r="B29" s="538" t="s">
        <v>316</v>
      </c>
      <c r="C29" s="542"/>
      <c r="F29" s="572"/>
    </row>
    <row r="30" spans="1:6">
      <c r="A30" s="526" t="s">
        <v>748</v>
      </c>
      <c r="B30" s="527"/>
      <c r="C30" s="529"/>
      <c r="F30" s="572"/>
    </row>
    <row r="31" spans="1:6">
      <c r="A31" s="546">
        <v>21</v>
      </c>
      <c r="B31" s="531" t="s">
        <v>317</v>
      </c>
      <c r="C31" s="541">
        <v>524370702.70398408</v>
      </c>
      <c r="F31" s="572"/>
    </row>
    <row r="32" spans="1:6">
      <c r="A32" s="546">
        <v>22</v>
      </c>
      <c r="B32" s="530" t="s">
        <v>318</v>
      </c>
      <c r="C32" s="541">
        <f>C8+C14+C22+C26</f>
        <v>2034734701.4721534</v>
      </c>
      <c r="F32" s="572"/>
    </row>
    <row r="33" spans="1:6">
      <c r="A33" s="526" t="s">
        <v>319</v>
      </c>
      <c r="B33" s="527"/>
      <c r="C33" s="529"/>
      <c r="F33" s="572"/>
    </row>
    <row r="34" spans="1:6">
      <c r="A34" s="535">
        <v>23</v>
      </c>
      <c r="B34" s="530" t="s">
        <v>319</v>
      </c>
      <c r="C34" s="668">
        <f>C31/C32</f>
        <v>0.25770961802764558</v>
      </c>
      <c r="F34" s="572"/>
    </row>
    <row r="35" spans="1:6">
      <c r="A35" s="526" t="s">
        <v>320</v>
      </c>
      <c r="B35" s="527"/>
      <c r="C35" s="529"/>
      <c r="F35" s="572"/>
    </row>
    <row r="36" spans="1:6">
      <c r="A36" s="543" t="s">
        <v>321</v>
      </c>
      <c r="B36" s="537" t="s">
        <v>322</v>
      </c>
      <c r="C36" s="542"/>
      <c r="F36" s="572"/>
    </row>
    <row r="37" spans="1:6" ht="30">
      <c r="A37" s="543" t="s">
        <v>323</v>
      </c>
      <c r="B37" s="533" t="s">
        <v>324</v>
      </c>
      <c r="C37" s="542"/>
      <c r="F37" s="57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heetViews>
  <sheetFormatPr defaultColWidth="8.85546875" defaultRowHeight="15"/>
  <cols>
    <col min="1" max="1" width="11.42578125" customWidth="1"/>
    <col min="2" max="2" width="76.7109375" style="211" customWidth="1"/>
    <col min="3" max="6" width="25.28515625" customWidth="1"/>
  </cols>
  <sheetData>
    <row r="1" spans="1:6">
      <c r="A1" s="2" t="s">
        <v>30</v>
      </c>
      <c r="B1" s="3" t="str">
        <f>'Info '!C2</f>
        <v>JSC Cartu Bank</v>
      </c>
    </row>
    <row r="2" spans="1:6">
      <c r="A2" s="2" t="s">
        <v>31</v>
      </c>
      <c r="B2" s="238">
        <f>'1. key ratios '!B2</f>
        <v>46112</v>
      </c>
    </row>
    <row r="3" spans="1:6">
      <c r="A3" s="4"/>
      <c r="B3"/>
    </row>
    <row r="4" spans="1:6">
      <c r="A4" s="522" t="s">
        <v>738</v>
      </c>
    </row>
    <row r="5" spans="1:6" ht="60">
      <c r="B5" s="517"/>
      <c r="C5" s="523" t="s">
        <v>739</v>
      </c>
      <c r="D5" s="523" t="s">
        <v>741</v>
      </c>
      <c r="E5" s="523" t="s">
        <v>740</v>
      </c>
      <c r="F5" s="523" t="s">
        <v>742</v>
      </c>
    </row>
    <row r="6" spans="1:6">
      <c r="B6" s="524" t="s">
        <v>716</v>
      </c>
      <c r="C6" s="511" t="b">
        <f>IF(C7&gt;0,C7,IF(C8&gt;0,C8,IF(C9&gt;0,C9)))</f>
        <v>0</v>
      </c>
      <c r="D6" s="511" t="b">
        <f>IF(D7&gt;0,D7,IF(D8&gt;0,D8,IF(D9&gt;0,D9)))</f>
        <v>0</v>
      </c>
      <c r="E6" s="511" t="b">
        <f>IF(E7&gt;0,E7,IF(E8&gt;0,E8,IF(E9&gt;0,E9)))</f>
        <v>0</v>
      </c>
      <c r="F6" s="511" t="b">
        <f>IF(F7&gt;0,F7,IF(F8&gt;0,F8,IF(F9&gt;0,F9)))</f>
        <v>0</v>
      </c>
    </row>
    <row r="7" spans="1:6">
      <c r="B7" s="512" t="s">
        <v>729</v>
      </c>
      <c r="C7" s="525"/>
      <c r="D7" s="525"/>
      <c r="E7" s="525"/>
      <c r="F7" s="525"/>
    </row>
    <row r="8" spans="1:6">
      <c r="B8" s="512" t="s">
        <v>730</v>
      </c>
      <c r="C8" s="525"/>
      <c r="D8" s="525"/>
      <c r="E8" s="525"/>
      <c r="F8" s="525"/>
    </row>
    <row r="9" spans="1:6">
      <c r="B9" s="512" t="s">
        <v>737</v>
      </c>
      <c r="C9" s="525"/>
      <c r="D9" s="525"/>
      <c r="E9" s="525"/>
      <c r="F9" s="52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sheetView>
  </sheetViews>
  <sheetFormatPr defaultRowHeight="15"/>
  <cols>
    <col min="1" max="1" width="8.7109375" style="125"/>
    <col min="2" max="2" width="82.7109375" style="132" customWidth="1"/>
    <col min="3" max="7" width="17.5703125" style="125" customWidth="1"/>
    <col min="10" max="12" width="14.28515625" bestFit="1" customWidth="1"/>
    <col min="13" max="14" width="15.85546875" bestFit="1" customWidth="1"/>
  </cols>
  <sheetData>
    <row r="1" spans="1:14">
      <c r="A1" s="125" t="s">
        <v>30</v>
      </c>
      <c r="B1" s="3" t="str">
        <f>'Info '!C2</f>
        <v>JSC Cartu Bank</v>
      </c>
    </row>
    <row r="2" spans="1:14">
      <c r="A2" s="125" t="s">
        <v>31</v>
      </c>
      <c r="B2" s="238">
        <f>'1. key ratios '!B2</f>
        <v>46112</v>
      </c>
    </row>
    <row r="4" spans="1:14" ht="15.75" thickBot="1">
      <c r="A4" s="125" t="s">
        <v>376</v>
      </c>
      <c r="B4" s="244" t="s">
        <v>337</v>
      </c>
    </row>
    <row r="5" spans="1:14">
      <c r="A5" s="245"/>
      <c r="B5" s="246"/>
      <c r="C5" s="776" t="s">
        <v>338</v>
      </c>
      <c r="D5" s="776"/>
      <c r="E5" s="776"/>
      <c r="F5" s="776"/>
      <c r="G5" s="777" t="s">
        <v>339</v>
      </c>
    </row>
    <row r="6" spans="1:14">
      <c r="A6" s="247"/>
      <c r="B6" s="248"/>
      <c r="C6" s="249" t="s">
        <v>340</v>
      </c>
      <c r="D6" s="249" t="s">
        <v>341</v>
      </c>
      <c r="E6" s="249" t="s">
        <v>342</v>
      </c>
      <c r="F6" s="249" t="s">
        <v>343</v>
      </c>
      <c r="G6" s="778"/>
    </row>
    <row r="7" spans="1:14">
      <c r="A7" s="250"/>
      <c r="B7" s="251" t="s">
        <v>344</v>
      </c>
      <c r="C7" s="252"/>
      <c r="D7" s="252"/>
      <c r="E7" s="252"/>
      <c r="F7" s="252"/>
      <c r="G7" s="253"/>
    </row>
    <row r="8" spans="1:14">
      <c r="A8" s="254">
        <v>1</v>
      </c>
      <c r="B8" s="255" t="s">
        <v>345</v>
      </c>
      <c r="C8" s="256">
        <f>SUM(C9:C10)</f>
        <v>475321450.54398406</v>
      </c>
      <c r="D8" s="256">
        <f>SUM(D9:D10)</f>
        <v>0</v>
      </c>
      <c r="E8" s="256">
        <f>SUM(E9:E10)</f>
        <v>0</v>
      </c>
      <c r="F8" s="256">
        <f>SUM(F9:F10)</f>
        <v>239699402.77140003</v>
      </c>
      <c r="G8" s="257">
        <f>SUM(G9:G10)</f>
        <v>715020853.31538415</v>
      </c>
      <c r="J8" s="669"/>
      <c r="K8" s="669"/>
      <c r="L8" s="669"/>
      <c r="M8" s="669"/>
      <c r="N8" s="669"/>
    </row>
    <row r="9" spans="1:14">
      <c r="A9" s="254">
        <v>2</v>
      </c>
      <c r="B9" s="258" t="s">
        <v>346</v>
      </c>
      <c r="C9" s="256">
        <v>475321450.54398406</v>
      </c>
      <c r="D9" s="256">
        <v>0</v>
      </c>
      <c r="E9" s="256">
        <v>0</v>
      </c>
      <c r="F9" s="256">
        <v>58228572.160000011</v>
      </c>
      <c r="G9" s="257">
        <v>533550022.70398408</v>
      </c>
      <c r="J9" s="669"/>
      <c r="K9" s="669"/>
      <c r="L9" s="669"/>
      <c r="M9" s="669"/>
      <c r="N9" s="669"/>
    </row>
    <row r="10" spans="1:14">
      <c r="A10" s="254">
        <v>3</v>
      </c>
      <c r="B10" s="258" t="s">
        <v>347</v>
      </c>
      <c r="C10" s="259"/>
      <c r="D10" s="259"/>
      <c r="E10" s="259"/>
      <c r="F10" s="256">
        <v>181470830.61140001</v>
      </c>
      <c r="G10" s="257">
        <v>181470830.61140001</v>
      </c>
      <c r="J10" s="669"/>
      <c r="K10" s="669"/>
      <c r="L10" s="669"/>
      <c r="M10" s="669"/>
      <c r="N10" s="669"/>
    </row>
    <row r="11" spans="1:14" ht="14.65" customHeight="1">
      <c r="A11" s="254">
        <v>4</v>
      </c>
      <c r="B11" s="255" t="s">
        <v>348</v>
      </c>
      <c r="C11" s="256">
        <f t="shared" ref="C11:F11" si="0">SUM(C12:C13)</f>
        <v>88664006.085399926</v>
      </c>
      <c r="D11" s="256">
        <f t="shared" si="0"/>
        <v>153190390.86389998</v>
      </c>
      <c r="E11" s="256">
        <f t="shared" si="0"/>
        <v>165437469.74729997</v>
      </c>
      <c r="F11" s="256">
        <f t="shared" si="0"/>
        <v>0</v>
      </c>
      <c r="G11" s="257">
        <f>SUM(G12:G13)</f>
        <v>369311627.91396487</v>
      </c>
      <c r="J11" s="669"/>
      <c r="K11" s="669"/>
      <c r="L11" s="669"/>
      <c r="M11" s="669"/>
      <c r="N11" s="669"/>
    </row>
    <row r="12" spans="1:14">
      <c r="A12" s="254">
        <v>5</v>
      </c>
      <c r="B12" s="258" t="s">
        <v>349</v>
      </c>
      <c r="C12" s="256">
        <v>67946749.017799929</v>
      </c>
      <c r="D12" s="260">
        <v>145031036.52859998</v>
      </c>
      <c r="E12" s="256">
        <v>155168202.37729996</v>
      </c>
      <c r="F12" s="256">
        <v>0</v>
      </c>
      <c r="G12" s="257">
        <v>349738688.52751487</v>
      </c>
      <c r="J12" s="669"/>
      <c r="K12" s="669"/>
      <c r="L12" s="669"/>
      <c r="M12" s="669"/>
      <c r="N12" s="669"/>
    </row>
    <row r="13" spans="1:14">
      <c r="A13" s="254">
        <v>6</v>
      </c>
      <c r="B13" s="258" t="s">
        <v>350</v>
      </c>
      <c r="C13" s="256">
        <v>20717257.067600001</v>
      </c>
      <c r="D13" s="260">
        <v>8159354.3352999995</v>
      </c>
      <c r="E13" s="256">
        <v>10269267.369999999</v>
      </c>
      <c r="F13" s="256">
        <v>0</v>
      </c>
      <c r="G13" s="257">
        <v>19572939.38645</v>
      </c>
      <c r="J13" s="669"/>
      <c r="K13" s="669"/>
      <c r="L13" s="669"/>
      <c r="M13" s="669"/>
      <c r="N13" s="669"/>
    </row>
    <row r="14" spans="1:14">
      <c r="A14" s="254">
        <v>7</v>
      </c>
      <c r="B14" s="255" t="s">
        <v>351</v>
      </c>
      <c r="C14" s="256">
        <f t="shared" ref="C14:F14" si="1">SUM(C15:C16)</f>
        <v>298576159.28870004</v>
      </c>
      <c r="D14" s="256">
        <f t="shared" si="1"/>
        <v>356891498.25150007</v>
      </c>
      <c r="E14" s="256">
        <f t="shared" si="1"/>
        <v>103794579.49529999</v>
      </c>
      <c r="F14" s="256">
        <f t="shared" si="1"/>
        <v>0</v>
      </c>
      <c r="G14" s="257">
        <f>SUM(G15:G16)</f>
        <v>370236337.85070002</v>
      </c>
      <c r="J14" s="669"/>
      <c r="K14" s="669"/>
      <c r="L14" s="669"/>
      <c r="M14" s="669"/>
      <c r="N14" s="669"/>
    </row>
    <row r="15" spans="1:14" ht="39">
      <c r="A15" s="254">
        <v>8</v>
      </c>
      <c r="B15" s="258" t="s">
        <v>352</v>
      </c>
      <c r="C15" s="256">
        <v>293986208.71460003</v>
      </c>
      <c r="D15" s="260">
        <v>342691887.49150008</v>
      </c>
      <c r="E15" s="256">
        <v>55096681.855300002</v>
      </c>
      <c r="F15" s="256">
        <v>0</v>
      </c>
      <c r="G15" s="257">
        <v>345887389.03070003</v>
      </c>
      <c r="J15" s="669"/>
      <c r="K15" s="669"/>
      <c r="L15" s="669"/>
      <c r="M15" s="669"/>
      <c r="N15" s="669"/>
    </row>
    <row r="16" spans="1:14" ht="26.25">
      <c r="A16" s="254">
        <v>9</v>
      </c>
      <c r="B16" s="258" t="s">
        <v>353</v>
      </c>
      <c r="C16" s="256">
        <v>4589950.5740999999</v>
      </c>
      <c r="D16" s="260">
        <v>14199610.76</v>
      </c>
      <c r="E16" s="256">
        <v>48697897.640000001</v>
      </c>
      <c r="F16" s="256">
        <v>0</v>
      </c>
      <c r="G16" s="257">
        <v>24348948.82</v>
      </c>
      <c r="J16" s="669"/>
      <c r="K16" s="669"/>
      <c r="L16" s="669"/>
      <c r="M16" s="669"/>
      <c r="N16" s="669"/>
    </row>
    <row r="17" spans="1:14">
      <c r="A17" s="254">
        <v>10</v>
      </c>
      <c r="B17" s="255" t="s">
        <v>354</v>
      </c>
      <c r="C17" s="256">
        <v>0</v>
      </c>
      <c r="D17" s="260">
        <v>0</v>
      </c>
      <c r="E17" s="256">
        <v>0</v>
      </c>
      <c r="F17" s="256">
        <v>0</v>
      </c>
      <c r="G17" s="257">
        <v>0</v>
      </c>
      <c r="J17" s="669"/>
      <c r="K17" s="669"/>
      <c r="L17" s="669"/>
      <c r="M17" s="669"/>
      <c r="N17" s="669"/>
    </row>
    <row r="18" spans="1:14">
      <c r="A18" s="254">
        <v>11</v>
      </c>
      <c r="B18" s="255" t="s">
        <v>355</v>
      </c>
      <c r="C18" s="256">
        <f>SUM(C19:C20)</f>
        <v>0</v>
      </c>
      <c r="D18" s="260">
        <f t="shared" ref="D18:G18" si="2">SUM(D19:D20)</f>
        <v>17366010.829523146</v>
      </c>
      <c r="E18" s="256">
        <f t="shared" si="2"/>
        <v>9663990.0749944448</v>
      </c>
      <c r="F18" s="256">
        <f t="shared" si="2"/>
        <v>9664596.4916171432</v>
      </c>
      <c r="G18" s="257">
        <f t="shared" si="2"/>
        <v>0</v>
      </c>
      <c r="J18" s="669"/>
      <c r="K18" s="669"/>
      <c r="L18" s="669"/>
      <c r="M18" s="669"/>
      <c r="N18" s="669"/>
    </row>
    <row r="19" spans="1:14">
      <c r="A19" s="254">
        <v>12</v>
      </c>
      <c r="B19" s="258" t="s">
        <v>356</v>
      </c>
      <c r="C19" s="259"/>
      <c r="D19" s="260">
        <v>0</v>
      </c>
      <c r="E19" s="256">
        <v>0</v>
      </c>
      <c r="F19" s="256">
        <v>0</v>
      </c>
      <c r="G19" s="257">
        <v>0</v>
      </c>
      <c r="J19" s="669"/>
      <c r="K19" s="669"/>
      <c r="L19" s="669"/>
      <c r="M19" s="669"/>
      <c r="N19" s="669"/>
    </row>
    <row r="20" spans="1:14">
      <c r="A20" s="254">
        <v>13</v>
      </c>
      <c r="B20" s="258" t="s">
        <v>357</v>
      </c>
      <c r="C20" s="256">
        <v>0</v>
      </c>
      <c r="D20" s="256">
        <v>17366010.829523146</v>
      </c>
      <c r="E20" s="256">
        <v>9663990.0749944448</v>
      </c>
      <c r="F20" s="256">
        <v>9664596.4916171432</v>
      </c>
      <c r="G20" s="257">
        <v>0</v>
      </c>
      <c r="J20" s="669"/>
      <c r="K20" s="669"/>
      <c r="L20" s="669"/>
      <c r="M20" s="669"/>
      <c r="N20" s="669"/>
    </row>
    <row r="21" spans="1:14">
      <c r="A21" s="261">
        <v>14</v>
      </c>
      <c r="B21" s="262" t="s">
        <v>358</v>
      </c>
      <c r="C21" s="259"/>
      <c r="D21" s="259"/>
      <c r="E21" s="259"/>
      <c r="F21" s="259"/>
      <c r="G21" s="263">
        <f>SUM(G8,G11,G14,G17,G18)</f>
        <v>1454568819.080049</v>
      </c>
      <c r="J21" s="669"/>
      <c r="K21" s="669"/>
      <c r="L21" s="669"/>
      <c r="M21" s="669"/>
      <c r="N21" s="669"/>
    </row>
    <row r="22" spans="1:14">
      <c r="A22" s="264"/>
      <c r="B22" s="265" t="s">
        <v>359</v>
      </c>
      <c r="C22" s="266"/>
      <c r="D22" s="267"/>
      <c r="E22" s="266"/>
      <c r="F22" s="266"/>
      <c r="G22" s="268"/>
      <c r="J22" s="669"/>
      <c r="K22" s="669"/>
      <c r="L22" s="669"/>
      <c r="M22" s="669"/>
      <c r="N22" s="669"/>
    </row>
    <row r="23" spans="1:14">
      <c r="A23" s="254">
        <v>15</v>
      </c>
      <c r="B23" s="255" t="s">
        <v>360</v>
      </c>
      <c r="C23" s="269">
        <v>380002970.11863542</v>
      </c>
      <c r="D23" s="270">
        <v>267489856.76207042</v>
      </c>
      <c r="E23" s="269">
        <v>0</v>
      </c>
      <c r="F23" s="269">
        <v>0</v>
      </c>
      <c r="G23" s="257">
        <v>17142504.047606267</v>
      </c>
      <c r="J23" s="669"/>
      <c r="K23" s="669"/>
      <c r="L23" s="669"/>
      <c r="M23" s="669"/>
      <c r="N23" s="669"/>
    </row>
    <row r="24" spans="1:14">
      <c r="A24" s="254">
        <v>16</v>
      </c>
      <c r="B24" s="255" t="s">
        <v>361</v>
      </c>
      <c r="C24" s="256">
        <f>SUM(C25:C27,C29,C31)</f>
        <v>17989699.649245143</v>
      </c>
      <c r="D24" s="260">
        <f t="shared" ref="D24:G24" si="3">SUM(D25:D27,D29,D31)</f>
        <v>350803137.72000152</v>
      </c>
      <c r="E24" s="256">
        <f t="shared" si="3"/>
        <v>119664400.38414049</v>
      </c>
      <c r="F24" s="256">
        <f t="shared" si="3"/>
        <v>508244503.07357967</v>
      </c>
      <c r="G24" s="257">
        <f t="shared" si="3"/>
        <v>669940051.61200047</v>
      </c>
      <c r="J24" s="669"/>
      <c r="K24" s="669"/>
      <c r="L24" s="669"/>
      <c r="M24" s="669"/>
      <c r="N24" s="669"/>
    </row>
    <row r="25" spans="1:14">
      <c r="A25" s="254">
        <v>17</v>
      </c>
      <c r="B25" s="258" t="s">
        <v>362</v>
      </c>
      <c r="C25" s="256">
        <v>0</v>
      </c>
      <c r="D25" s="260">
        <v>0</v>
      </c>
      <c r="E25" s="256">
        <v>0</v>
      </c>
      <c r="F25" s="256">
        <v>0</v>
      </c>
      <c r="G25" s="257">
        <v>0</v>
      </c>
      <c r="J25" s="669"/>
      <c r="K25" s="669"/>
      <c r="L25" s="669"/>
      <c r="M25" s="669"/>
      <c r="N25" s="669"/>
    </row>
    <row r="26" spans="1:14" ht="26.25">
      <c r="A26" s="254">
        <v>18</v>
      </c>
      <c r="B26" s="258" t="s">
        <v>363</v>
      </c>
      <c r="C26" s="256">
        <v>17989699.649245143</v>
      </c>
      <c r="D26" s="260">
        <v>0</v>
      </c>
      <c r="E26" s="256">
        <v>0</v>
      </c>
      <c r="F26" s="256">
        <v>0</v>
      </c>
      <c r="G26" s="257">
        <v>2698454.9473867714</v>
      </c>
      <c r="J26" s="669"/>
      <c r="K26" s="669"/>
      <c r="L26" s="669"/>
      <c r="M26" s="669"/>
      <c r="N26" s="669"/>
    </row>
    <row r="27" spans="1:14">
      <c r="A27" s="254">
        <v>19</v>
      </c>
      <c r="B27" s="258" t="s">
        <v>364</v>
      </c>
      <c r="C27" s="256">
        <v>0</v>
      </c>
      <c r="D27" s="260">
        <v>347857483.49223709</v>
      </c>
      <c r="E27" s="256">
        <v>108189067.59261619</v>
      </c>
      <c r="F27" s="256">
        <v>480995428.130391</v>
      </c>
      <c r="G27" s="257">
        <v>636869389.45325899</v>
      </c>
      <c r="J27" s="669"/>
      <c r="K27" s="669"/>
      <c r="L27" s="669"/>
      <c r="M27" s="669"/>
      <c r="N27" s="669"/>
    </row>
    <row r="28" spans="1:14">
      <c r="A28" s="254">
        <v>20</v>
      </c>
      <c r="B28" s="271" t="s">
        <v>365</v>
      </c>
      <c r="C28" s="256">
        <v>0</v>
      </c>
      <c r="D28" s="260">
        <v>0</v>
      </c>
      <c r="E28" s="256">
        <v>0</v>
      </c>
      <c r="F28" s="256">
        <v>0</v>
      </c>
      <c r="G28" s="257">
        <v>0</v>
      </c>
      <c r="J28" s="669"/>
      <c r="K28" s="669"/>
      <c r="L28" s="669"/>
      <c r="M28" s="669"/>
      <c r="N28" s="669"/>
    </row>
    <row r="29" spans="1:14">
      <c r="A29" s="254">
        <v>21</v>
      </c>
      <c r="B29" s="258" t="s">
        <v>366</v>
      </c>
      <c r="C29" s="256">
        <v>0</v>
      </c>
      <c r="D29" s="260">
        <v>1817735.9977644</v>
      </c>
      <c r="E29" s="256">
        <v>10801340.54684332</v>
      </c>
      <c r="F29" s="256">
        <v>16563018.042820461</v>
      </c>
      <c r="G29" s="257">
        <v>20388103.608701251</v>
      </c>
      <c r="J29" s="669"/>
      <c r="K29" s="669"/>
      <c r="L29" s="669"/>
      <c r="M29" s="669"/>
      <c r="N29" s="669"/>
    </row>
    <row r="30" spans="1:14">
      <c r="A30" s="254">
        <v>22</v>
      </c>
      <c r="B30" s="271" t="s">
        <v>365</v>
      </c>
      <c r="C30" s="256">
        <v>0</v>
      </c>
      <c r="D30" s="260">
        <v>0</v>
      </c>
      <c r="E30" s="256">
        <v>0</v>
      </c>
      <c r="F30" s="256">
        <v>0</v>
      </c>
      <c r="G30" s="257">
        <v>0</v>
      </c>
      <c r="J30" s="669"/>
      <c r="K30" s="669"/>
      <c r="L30" s="669"/>
      <c r="M30" s="669"/>
      <c r="N30" s="669"/>
    </row>
    <row r="31" spans="1:14">
      <c r="A31" s="254">
        <v>23</v>
      </c>
      <c r="B31" s="258" t="s">
        <v>367</v>
      </c>
      <c r="C31" s="256">
        <v>0</v>
      </c>
      <c r="D31" s="260">
        <v>1127918.23</v>
      </c>
      <c r="E31" s="256">
        <v>673992.24468097941</v>
      </c>
      <c r="F31" s="256">
        <v>10686056.900368217</v>
      </c>
      <c r="G31" s="257">
        <v>9984103.6026534736</v>
      </c>
      <c r="J31" s="669"/>
      <c r="K31" s="669"/>
      <c r="L31" s="669"/>
      <c r="M31" s="669"/>
      <c r="N31" s="669"/>
    </row>
    <row r="32" spans="1:14">
      <c r="A32" s="254">
        <v>24</v>
      </c>
      <c r="B32" s="255" t="s">
        <v>368</v>
      </c>
      <c r="C32" s="256">
        <v>0</v>
      </c>
      <c r="D32" s="260">
        <v>0</v>
      </c>
      <c r="E32" s="256">
        <v>0</v>
      </c>
      <c r="F32" s="256">
        <v>0</v>
      </c>
      <c r="G32" s="257">
        <v>0</v>
      </c>
      <c r="J32" s="669"/>
      <c r="K32" s="669"/>
      <c r="L32" s="669"/>
      <c r="M32" s="669"/>
      <c r="N32" s="669"/>
    </row>
    <row r="33" spans="1:14">
      <c r="A33" s="254">
        <v>25</v>
      </c>
      <c r="B33" s="255" t="s">
        <v>369</v>
      </c>
      <c r="C33" s="256">
        <f>SUM(C34:C35)</f>
        <v>0</v>
      </c>
      <c r="D33" s="256">
        <f>SUM(D34:D35)</f>
        <v>54663234.466356575</v>
      </c>
      <c r="E33" s="256">
        <f>SUM(E34:E35)</f>
        <v>62831274.721585885</v>
      </c>
      <c r="F33" s="256">
        <f>SUM(F34:F35)</f>
        <v>156580471.85374519</v>
      </c>
      <c r="G33" s="257">
        <f>SUM(G34:G35)</f>
        <v>224277364.28585768</v>
      </c>
      <c r="J33" s="669"/>
      <c r="K33" s="669"/>
      <c r="L33" s="669"/>
      <c r="M33" s="669"/>
      <c r="N33" s="669"/>
    </row>
    <row r="34" spans="1:14">
      <c r="A34" s="254">
        <v>26</v>
      </c>
      <c r="B34" s="258" t="s">
        <v>370</v>
      </c>
      <c r="C34" s="259"/>
      <c r="D34" s="260">
        <v>0</v>
      </c>
      <c r="E34" s="256">
        <v>0</v>
      </c>
      <c r="F34" s="256">
        <v>0</v>
      </c>
      <c r="G34" s="257">
        <v>0</v>
      </c>
      <c r="J34" s="669"/>
      <c r="K34" s="669"/>
      <c r="L34" s="669"/>
      <c r="M34" s="669"/>
      <c r="N34" s="669"/>
    </row>
    <row r="35" spans="1:14">
      <c r="A35" s="254">
        <v>27</v>
      </c>
      <c r="B35" s="258" t="s">
        <v>371</v>
      </c>
      <c r="C35" s="256">
        <v>0</v>
      </c>
      <c r="D35" s="260">
        <v>54663234.466356575</v>
      </c>
      <c r="E35" s="256">
        <v>62831274.721585885</v>
      </c>
      <c r="F35" s="256">
        <v>156580471.85374519</v>
      </c>
      <c r="G35" s="257">
        <v>224277364.28585768</v>
      </c>
      <c r="J35" s="669"/>
      <c r="K35" s="669"/>
      <c r="L35" s="669"/>
      <c r="M35" s="669"/>
      <c r="N35" s="669"/>
    </row>
    <row r="36" spans="1:14">
      <c r="A36" s="254">
        <v>28</v>
      </c>
      <c r="B36" s="255" t="s">
        <v>372</v>
      </c>
      <c r="C36" s="256">
        <v>0</v>
      </c>
      <c r="D36" s="260">
        <v>59720082.042998694</v>
      </c>
      <c r="E36" s="256">
        <v>88187566.888483584</v>
      </c>
      <c r="F36" s="256">
        <v>59179881.829011813</v>
      </c>
      <c r="G36" s="257">
        <v>21438166.944110882</v>
      </c>
      <c r="J36" s="669"/>
      <c r="K36" s="669"/>
      <c r="L36" s="669"/>
      <c r="M36" s="669"/>
      <c r="N36" s="669"/>
    </row>
    <row r="37" spans="1:14">
      <c r="A37" s="261">
        <v>29</v>
      </c>
      <c r="B37" s="262" t="s">
        <v>373</v>
      </c>
      <c r="C37" s="259"/>
      <c r="D37" s="259"/>
      <c r="E37" s="259"/>
      <c r="F37" s="259"/>
      <c r="G37" s="263">
        <f>SUM(G23:G24,G32:G33,G36)</f>
        <v>932798086.88957524</v>
      </c>
      <c r="J37" s="669"/>
      <c r="K37" s="669"/>
      <c r="L37" s="669"/>
      <c r="M37" s="669"/>
      <c r="N37" s="669"/>
    </row>
    <row r="38" spans="1:14">
      <c r="A38" s="250"/>
      <c r="B38" s="272"/>
      <c r="C38" s="273"/>
      <c r="D38" s="273"/>
      <c r="E38" s="273"/>
      <c r="F38" s="273"/>
      <c r="G38" s="274"/>
      <c r="J38" s="669"/>
      <c r="K38" s="669"/>
      <c r="L38" s="669"/>
      <c r="M38" s="669"/>
      <c r="N38" s="669"/>
    </row>
    <row r="39" spans="1:14" ht="15.75" thickBot="1">
      <c r="A39" s="275">
        <v>30</v>
      </c>
      <c r="B39" s="276" t="s">
        <v>374</v>
      </c>
      <c r="C39" s="182"/>
      <c r="D39" s="183"/>
      <c r="E39" s="183"/>
      <c r="F39" s="184"/>
      <c r="G39" s="277">
        <f>IFERROR(G21/G37,0)</f>
        <v>1.5593608515325366</v>
      </c>
      <c r="J39" s="669"/>
      <c r="K39" s="669"/>
      <c r="L39" s="669"/>
      <c r="M39" s="669"/>
      <c r="N39" s="669"/>
    </row>
    <row r="42" spans="1:14" ht="39">
      <c r="B42" s="132"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P26"/>
  <sheetViews>
    <sheetView showGridLines="0" zoomScale="80" zoomScaleNormal="80" workbookViewId="0"/>
  </sheetViews>
  <sheetFormatPr defaultColWidth="9.28515625" defaultRowHeight="12.75"/>
  <cols>
    <col min="1" max="1" width="11.7109375" style="285" bestFit="1" customWidth="1"/>
    <col min="2" max="2" width="105.28515625" style="285" bestFit="1" customWidth="1"/>
    <col min="3" max="3" width="18.42578125" style="285" bestFit="1" customWidth="1"/>
    <col min="4" max="4" width="15.5703125" style="285" bestFit="1" customWidth="1"/>
    <col min="5" max="5" width="17.28515625" style="285" bestFit="1" customWidth="1"/>
    <col min="6" max="6" width="14.42578125" style="285" bestFit="1" customWidth="1"/>
    <col min="7" max="7" width="30.42578125" style="285" customWidth="1"/>
    <col min="8" max="8" width="33" style="285" customWidth="1"/>
    <col min="9" max="9" width="9.28515625" style="285"/>
    <col min="10" max="10" width="12.85546875" style="285" bestFit="1" customWidth="1"/>
    <col min="11" max="16384" width="9.28515625" style="285"/>
  </cols>
  <sheetData>
    <row r="1" spans="1:16" ht="13.5">
      <c r="A1" s="283" t="s">
        <v>30</v>
      </c>
      <c r="B1" s="351" t="str">
        <f>'Info '!C2</f>
        <v>JSC Cartu Bank</v>
      </c>
    </row>
    <row r="2" spans="1:16">
      <c r="A2" s="283" t="s">
        <v>31</v>
      </c>
      <c r="B2" s="350">
        <f>'1. key ratios '!B2</f>
        <v>46112</v>
      </c>
    </row>
    <row r="3" spans="1:16">
      <c r="A3" s="284" t="s">
        <v>380</v>
      </c>
    </row>
    <row r="5" spans="1:16" ht="12" customHeight="1">
      <c r="A5" s="779" t="s">
        <v>381</v>
      </c>
      <c r="B5" s="780"/>
      <c r="C5" s="785" t="s">
        <v>382</v>
      </c>
      <c r="D5" s="786"/>
      <c r="E5" s="786"/>
      <c r="F5" s="786"/>
      <c r="G5" s="786"/>
      <c r="H5" s="787"/>
    </row>
    <row r="6" spans="1:16">
      <c r="A6" s="781"/>
      <c r="B6" s="782"/>
      <c r="C6" s="788"/>
      <c r="D6" s="789"/>
      <c r="E6" s="789"/>
      <c r="F6" s="789"/>
      <c r="G6" s="789"/>
      <c r="H6" s="790"/>
    </row>
    <row r="7" spans="1:16">
      <c r="A7" s="783"/>
      <c r="B7" s="784"/>
      <c r="C7" s="349" t="s">
        <v>383</v>
      </c>
      <c r="D7" s="349" t="s">
        <v>384</v>
      </c>
      <c r="E7" s="349" t="s">
        <v>385</v>
      </c>
      <c r="F7" s="349" t="s">
        <v>386</v>
      </c>
      <c r="G7" s="349" t="s">
        <v>387</v>
      </c>
      <c r="H7" s="349" t="s">
        <v>64</v>
      </c>
    </row>
    <row r="8" spans="1:16">
      <c r="A8" s="345">
        <v>1</v>
      </c>
      <c r="B8" s="344" t="s">
        <v>51</v>
      </c>
      <c r="C8" s="672">
        <v>267686110</v>
      </c>
      <c r="D8" s="672">
        <v>391513.16004977305</v>
      </c>
      <c r="E8" s="672">
        <v>21002529.643099997</v>
      </c>
      <c r="F8" s="672">
        <v>0</v>
      </c>
      <c r="G8" s="672">
        <v>0</v>
      </c>
      <c r="H8" s="670">
        <f t="shared" ref="H8:H21" si="0">SUM(C8:G8)</f>
        <v>289080152.80314976</v>
      </c>
      <c r="J8" s="671"/>
      <c r="K8" s="671"/>
      <c r="L8" s="671"/>
      <c r="M8" s="671"/>
      <c r="N8" s="671"/>
      <c r="O8" s="671"/>
      <c r="P8" s="671"/>
    </row>
    <row r="9" spans="1:16">
      <c r="A9" s="345">
        <v>2</v>
      </c>
      <c r="B9" s="344" t="s">
        <v>52</v>
      </c>
      <c r="C9" s="672">
        <v>0</v>
      </c>
      <c r="D9" s="672">
        <v>0</v>
      </c>
      <c r="E9" s="672">
        <v>0</v>
      </c>
      <c r="F9" s="672">
        <v>0</v>
      </c>
      <c r="G9" s="672">
        <v>0</v>
      </c>
      <c r="H9" s="670">
        <f t="shared" si="0"/>
        <v>0</v>
      </c>
      <c r="J9" s="671"/>
      <c r="K9" s="671"/>
      <c r="L9" s="671"/>
      <c r="M9" s="671"/>
      <c r="N9" s="671"/>
      <c r="O9" s="671"/>
      <c r="P9" s="671"/>
    </row>
    <row r="10" spans="1:16">
      <c r="A10" s="345">
        <v>3</v>
      </c>
      <c r="B10" s="344" t="s">
        <v>152</v>
      </c>
      <c r="C10" s="672">
        <v>0</v>
      </c>
      <c r="D10" s="672">
        <v>0</v>
      </c>
      <c r="E10" s="672">
        <v>0</v>
      </c>
      <c r="F10" s="672">
        <v>0</v>
      </c>
      <c r="G10" s="672">
        <v>0</v>
      </c>
      <c r="H10" s="670">
        <f t="shared" si="0"/>
        <v>0</v>
      </c>
      <c r="J10" s="671"/>
      <c r="K10" s="671"/>
      <c r="L10" s="671"/>
      <c r="M10" s="671"/>
      <c r="N10" s="671"/>
      <c r="O10" s="671"/>
      <c r="P10" s="671"/>
    </row>
    <row r="11" spans="1:16">
      <c r="A11" s="345">
        <v>4</v>
      </c>
      <c r="B11" s="344" t="s">
        <v>53</v>
      </c>
      <c r="C11" s="672">
        <v>0</v>
      </c>
      <c r="D11" s="672">
        <v>0</v>
      </c>
      <c r="E11" s="672">
        <v>0</v>
      </c>
      <c r="F11" s="672">
        <v>0</v>
      </c>
      <c r="G11" s="672">
        <v>0</v>
      </c>
      <c r="H11" s="670">
        <f t="shared" si="0"/>
        <v>0</v>
      </c>
      <c r="J11" s="671"/>
      <c r="K11" s="671"/>
      <c r="L11" s="671"/>
      <c r="M11" s="671"/>
      <c r="N11" s="671"/>
      <c r="O11" s="671"/>
      <c r="P11" s="671"/>
    </row>
    <row r="12" spans="1:16">
      <c r="A12" s="345">
        <v>5</v>
      </c>
      <c r="B12" s="344" t="s">
        <v>54</v>
      </c>
      <c r="C12" s="672">
        <v>0</v>
      </c>
      <c r="D12" s="672">
        <v>0</v>
      </c>
      <c r="E12" s="672">
        <v>0</v>
      </c>
      <c r="F12" s="672">
        <v>0</v>
      </c>
      <c r="G12" s="672">
        <v>0</v>
      </c>
      <c r="H12" s="670">
        <f t="shared" si="0"/>
        <v>0</v>
      </c>
      <c r="J12" s="671"/>
      <c r="K12" s="671"/>
      <c r="L12" s="671"/>
      <c r="M12" s="671"/>
      <c r="N12" s="671"/>
      <c r="O12" s="671"/>
      <c r="P12" s="671"/>
    </row>
    <row r="13" spans="1:16">
      <c r="A13" s="345">
        <v>6</v>
      </c>
      <c r="B13" s="344" t="s">
        <v>55</v>
      </c>
      <c r="C13" s="672">
        <v>29899573.836400002</v>
      </c>
      <c r="D13" s="672">
        <v>273392721.38282454</v>
      </c>
      <c r="E13" s="672">
        <v>0</v>
      </c>
      <c r="F13" s="672">
        <v>3182838.4013817552</v>
      </c>
      <c r="G13" s="672">
        <v>0</v>
      </c>
      <c r="H13" s="670">
        <f t="shared" si="0"/>
        <v>306475133.6206063</v>
      </c>
      <c r="J13" s="671"/>
      <c r="K13" s="671"/>
      <c r="L13" s="671"/>
      <c r="M13" s="671"/>
      <c r="N13" s="671"/>
      <c r="O13" s="671"/>
      <c r="P13" s="671"/>
    </row>
    <row r="14" spans="1:16">
      <c r="A14" s="345">
        <v>7</v>
      </c>
      <c r="B14" s="344" t="s">
        <v>56</v>
      </c>
      <c r="C14" s="672">
        <v>0</v>
      </c>
      <c r="D14" s="672">
        <v>437053197.61258817</v>
      </c>
      <c r="E14" s="672">
        <v>316841875.68931127</v>
      </c>
      <c r="F14" s="672">
        <v>362011796.8182838</v>
      </c>
      <c r="G14" s="672">
        <v>28950610.099813145</v>
      </c>
      <c r="H14" s="670">
        <f t="shared" si="0"/>
        <v>1144857480.2199965</v>
      </c>
      <c r="J14" s="671"/>
      <c r="K14" s="671"/>
      <c r="L14" s="671"/>
      <c r="M14" s="671"/>
      <c r="N14" s="671"/>
      <c r="O14" s="671"/>
      <c r="P14" s="671"/>
    </row>
    <row r="15" spans="1:16">
      <c r="A15" s="345">
        <v>8</v>
      </c>
      <c r="B15" s="346" t="s">
        <v>57</v>
      </c>
      <c r="C15" s="672">
        <v>0</v>
      </c>
      <c r="D15" s="672">
        <v>0</v>
      </c>
      <c r="E15" s="672">
        <v>0</v>
      </c>
      <c r="F15" s="672">
        <v>0</v>
      </c>
      <c r="G15" s="672">
        <v>0</v>
      </c>
      <c r="H15" s="670">
        <f t="shared" si="0"/>
        <v>0</v>
      </c>
      <c r="J15" s="671"/>
      <c r="K15" s="671"/>
      <c r="L15" s="671"/>
      <c r="M15" s="671"/>
      <c r="N15" s="671"/>
      <c r="O15" s="671"/>
      <c r="P15" s="671"/>
    </row>
    <row r="16" spans="1:16">
      <c r="A16" s="345">
        <v>9</v>
      </c>
      <c r="B16" s="344" t="s">
        <v>58</v>
      </c>
      <c r="C16" s="672">
        <v>0</v>
      </c>
      <c r="D16" s="672">
        <v>0</v>
      </c>
      <c r="E16" s="672">
        <v>0</v>
      </c>
      <c r="F16" s="672">
        <v>0</v>
      </c>
      <c r="G16" s="672">
        <v>0</v>
      </c>
      <c r="H16" s="670">
        <f t="shared" si="0"/>
        <v>0</v>
      </c>
      <c r="J16" s="671"/>
      <c r="K16" s="671"/>
      <c r="L16" s="671"/>
      <c r="M16" s="671"/>
      <c r="N16" s="671"/>
      <c r="O16" s="671"/>
      <c r="P16" s="671"/>
    </row>
    <row r="17" spans="1:16">
      <c r="A17" s="345">
        <v>10</v>
      </c>
      <c r="B17" s="348" t="s">
        <v>395</v>
      </c>
      <c r="C17" s="672">
        <v>0</v>
      </c>
      <c r="D17" s="672">
        <v>10714157.096030382</v>
      </c>
      <c r="E17" s="672">
        <v>3938066.9926102487</v>
      </c>
      <c r="F17" s="672">
        <v>10068169.423907917</v>
      </c>
      <c r="G17" s="672">
        <v>27529024.842256617</v>
      </c>
      <c r="H17" s="670">
        <f t="shared" si="0"/>
        <v>52249418.354805164</v>
      </c>
      <c r="J17" s="671"/>
      <c r="K17" s="671"/>
      <c r="L17" s="671"/>
      <c r="M17" s="671"/>
      <c r="N17" s="671"/>
      <c r="O17" s="671"/>
      <c r="P17" s="671"/>
    </row>
    <row r="18" spans="1:16">
      <c r="A18" s="345">
        <v>11</v>
      </c>
      <c r="B18" s="344" t="s">
        <v>60</v>
      </c>
      <c r="C18" s="672">
        <v>0</v>
      </c>
      <c r="D18" s="672">
        <v>0</v>
      </c>
      <c r="E18" s="672">
        <v>0</v>
      </c>
      <c r="F18" s="672">
        <v>0</v>
      </c>
      <c r="G18" s="672">
        <v>0</v>
      </c>
      <c r="H18" s="670">
        <f t="shared" si="0"/>
        <v>0</v>
      </c>
      <c r="J18" s="671"/>
      <c r="K18" s="671"/>
      <c r="L18" s="671"/>
      <c r="M18" s="671"/>
      <c r="N18" s="671"/>
      <c r="O18" s="671"/>
      <c r="P18" s="671"/>
    </row>
    <row r="19" spans="1:16">
      <c r="A19" s="345">
        <v>12</v>
      </c>
      <c r="B19" s="344" t="s">
        <v>61</v>
      </c>
      <c r="C19" s="672">
        <v>0</v>
      </c>
      <c r="D19" s="672">
        <v>0</v>
      </c>
      <c r="E19" s="672">
        <v>0</v>
      </c>
      <c r="F19" s="672">
        <v>0</v>
      </c>
      <c r="G19" s="672">
        <v>0</v>
      </c>
      <c r="H19" s="670">
        <f t="shared" si="0"/>
        <v>0</v>
      </c>
      <c r="J19" s="671"/>
      <c r="K19" s="671"/>
      <c r="L19" s="671"/>
      <c r="M19" s="671"/>
      <c r="N19" s="671"/>
      <c r="O19" s="671"/>
      <c r="P19" s="671"/>
    </row>
    <row r="20" spans="1:16">
      <c r="A20" s="347">
        <v>13</v>
      </c>
      <c r="B20" s="346" t="s">
        <v>144</v>
      </c>
      <c r="C20" s="672">
        <v>0</v>
      </c>
      <c r="D20" s="672">
        <v>0</v>
      </c>
      <c r="E20" s="672">
        <v>0</v>
      </c>
      <c r="F20" s="672">
        <v>0</v>
      </c>
      <c r="G20" s="672">
        <v>0</v>
      </c>
      <c r="H20" s="670">
        <f t="shared" si="0"/>
        <v>0</v>
      </c>
      <c r="J20" s="671"/>
      <c r="K20" s="671"/>
      <c r="L20" s="671"/>
      <c r="M20" s="671"/>
      <c r="N20" s="671"/>
      <c r="O20" s="671"/>
      <c r="P20" s="671"/>
    </row>
    <row r="21" spans="1:16">
      <c r="A21" s="345">
        <v>14</v>
      </c>
      <c r="B21" s="344" t="s">
        <v>63</v>
      </c>
      <c r="C21" s="672">
        <v>36956636.68</v>
      </c>
      <c r="D21" s="672">
        <v>18515886.453724291</v>
      </c>
      <c r="E21" s="672">
        <v>4516635.4734207923</v>
      </c>
      <c r="F21" s="672">
        <v>25937082.838293888</v>
      </c>
      <c r="G21" s="672">
        <v>91930542.800785929</v>
      </c>
      <c r="H21" s="670">
        <f t="shared" si="0"/>
        <v>177856784.24622488</v>
      </c>
      <c r="J21" s="671"/>
      <c r="K21" s="671"/>
      <c r="L21" s="671"/>
      <c r="M21" s="671"/>
      <c r="N21" s="671"/>
      <c r="O21" s="671"/>
      <c r="P21" s="671"/>
    </row>
    <row r="22" spans="1:16">
      <c r="A22" s="343">
        <v>15</v>
      </c>
      <c r="B22" s="342" t="s">
        <v>64</v>
      </c>
      <c r="C22" s="670">
        <f>SUM(C18:C21)+SUM(C8:C16)</f>
        <v>334542320.51640004</v>
      </c>
      <c r="D22" s="670">
        <f t="shared" ref="D22:H22" si="1">SUM(D18:D21)+SUM(D8:D16)</f>
        <v>729353318.60918677</v>
      </c>
      <c r="E22" s="670">
        <f t="shared" si="1"/>
        <v>342361040.80583209</v>
      </c>
      <c r="F22" s="670">
        <f t="shared" si="1"/>
        <v>391131718.05795944</v>
      </c>
      <c r="G22" s="670">
        <f t="shared" si="1"/>
        <v>120881152.90059908</v>
      </c>
      <c r="H22" s="670">
        <f t="shared" si="1"/>
        <v>1918269550.8899775</v>
      </c>
      <c r="J22" s="671"/>
      <c r="K22" s="671"/>
      <c r="L22" s="671"/>
      <c r="M22" s="671"/>
      <c r="N22" s="671"/>
      <c r="O22" s="671"/>
      <c r="P22" s="671"/>
    </row>
    <row r="26" spans="1:16" ht="25.5">
      <c r="B26" s="288"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O26"/>
  <sheetViews>
    <sheetView showGridLines="0" zoomScale="80" zoomScaleNormal="80" workbookViewId="0"/>
  </sheetViews>
  <sheetFormatPr defaultColWidth="9.28515625" defaultRowHeight="12.75"/>
  <cols>
    <col min="1" max="1" width="11.7109375" style="352" bestFit="1" customWidth="1"/>
    <col min="2" max="2" width="86.7109375" style="285" customWidth="1"/>
    <col min="3" max="4" width="31.5703125" style="285" customWidth="1"/>
    <col min="5" max="5" width="15.140625" style="285" bestFit="1" customWidth="1"/>
    <col min="6" max="6" width="11.7109375" style="285" bestFit="1" customWidth="1"/>
    <col min="7" max="7" width="21.5703125" style="285" bestFit="1" customWidth="1"/>
    <col min="8" max="8" width="41.42578125" style="285" customWidth="1"/>
    <col min="9" max="9" width="9.28515625" style="285"/>
    <col min="10" max="10" width="15.28515625" style="285" bestFit="1" customWidth="1"/>
    <col min="11" max="11" width="17.7109375" style="285" bestFit="1" customWidth="1"/>
    <col min="12" max="12" width="15.28515625" style="285" bestFit="1" customWidth="1"/>
    <col min="13" max="14" width="9.42578125" style="285" bestFit="1" customWidth="1"/>
    <col min="15" max="15" width="17.7109375" style="285" bestFit="1" customWidth="1"/>
    <col min="16" max="16384" width="9.28515625" style="285"/>
  </cols>
  <sheetData>
    <row r="1" spans="1:15" ht="13.5">
      <c r="A1" s="283" t="s">
        <v>30</v>
      </c>
      <c r="B1" s="351" t="str">
        <f>'Info '!C2</f>
        <v>JSC Cartu Bank</v>
      </c>
      <c r="C1" s="364"/>
      <c r="D1" s="364"/>
      <c r="E1" s="364"/>
      <c r="F1" s="364"/>
      <c r="G1" s="364"/>
      <c r="H1" s="364"/>
    </row>
    <row r="2" spans="1:15">
      <c r="A2" s="283" t="s">
        <v>31</v>
      </c>
      <c r="B2" s="350">
        <f>'1. key ratios '!B2</f>
        <v>46112</v>
      </c>
      <c r="C2" s="364"/>
      <c r="D2" s="364"/>
      <c r="E2" s="364"/>
      <c r="F2" s="364"/>
      <c r="G2" s="364"/>
      <c r="H2" s="364"/>
    </row>
    <row r="3" spans="1:15">
      <c r="A3" s="284" t="s">
        <v>388</v>
      </c>
      <c r="B3" s="364"/>
      <c r="C3" s="364"/>
      <c r="D3" s="364"/>
      <c r="E3" s="364"/>
      <c r="F3" s="364"/>
      <c r="G3" s="364"/>
      <c r="H3" s="364"/>
    </row>
    <row r="4" spans="1:15">
      <c r="A4" s="365"/>
      <c r="B4" s="364"/>
      <c r="C4" s="363" t="s">
        <v>0</v>
      </c>
      <c r="D4" s="363" t="s">
        <v>1</v>
      </c>
      <c r="E4" s="363" t="s">
        <v>2</v>
      </c>
      <c r="F4" s="363" t="s">
        <v>3</v>
      </c>
      <c r="G4" s="363" t="s">
        <v>4</v>
      </c>
      <c r="H4" s="363" t="s">
        <v>5</v>
      </c>
    </row>
    <row r="5" spans="1:15" ht="34.15" customHeight="1">
      <c r="A5" s="779" t="s">
        <v>389</v>
      </c>
      <c r="B5" s="780"/>
      <c r="C5" s="793" t="s">
        <v>390</v>
      </c>
      <c r="D5" s="793"/>
      <c r="E5" s="793" t="s">
        <v>627</v>
      </c>
      <c r="F5" s="791" t="s">
        <v>391</v>
      </c>
      <c r="G5" s="791" t="s">
        <v>392</v>
      </c>
      <c r="H5" s="361" t="s">
        <v>626</v>
      </c>
    </row>
    <row r="6" spans="1:15" ht="25.5">
      <c r="A6" s="783"/>
      <c r="B6" s="784"/>
      <c r="C6" s="362" t="s">
        <v>393</v>
      </c>
      <c r="D6" s="362" t="s">
        <v>394</v>
      </c>
      <c r="E6" s="793"/>
      <c r="F6" s="792"/>
      <c r="G6" s="792"/>
      <c r="H6" s="361" t="s">
        <v>625</v>
      </c>
    </row>
    <row r="7" spans="1:15">
      <c r="A7" s="359">
        <v>1</v>
      </c>
      <c r="B7" s="344" t="s">
        <v>51</v>
      </c>
      <c r="C7" s="674">
        <v>0</v>
      </c>
      <c r="D7" s="674">
        <v>289182803.96569997</v>
      </c>
      <c r="E7" s="674">
        <v>102651.25834756182</v>
      </c>
      <c r="F7" s="674">
        <v>0</v>
      </c>
      <c r="G7" s="674">
        <v>0</v>
      </c>
      <c r="H7" s="675">
        <f>C7+D7-E7-F7</f>
        <v>289080152.7073524</v>
      </c>
      <c r="J7" s="673"/>
      <c r="K7" s="673"/>
      <c r="L7" s="673"/>
      <c r="M7" s="673"/>
      <c r="N7" s="673"/>
      <c r="O7" s="673"/>
    </row>
    <row r="8" spans="1:15">
      <c r="A8" s="359">
        <v>2</v>
      </c>
      <c r="B8" s="344" t="s">
        <v>52</v>
      </c>
      <c r="C8" s="674">
        <v>0</v>
      </c>
      <c r="D8" s="674">
        <v>0</v>
      </c>
      <c r="E8" s="674">
        <v>0</v>
      </c>
      <c r="F8" s="674">
        <v>0</v>
      </c>
      <c r="G8" s="674">
        <v>0</v>
      </c>
      <c r="H8" s="675">
        <f t="shared" ref="H8:H20" si="0">C8+D8-E8-F8</f>
        <v>0</v>
      </c>
      <c r="J8" s="673"/>
      <c r="K8" s="673"/>
      <c r="L8" s="673"/>
      <c r="M8" s="673"/>
      <c r="N8" s="673"/>
      <c r="O8" s="673"/>
    </row>
    <row r="9" spans="1:15">
      <c r="A9" s="359">
        <v>3</v>
      </c>
      <c r="B9" s="344" t="s">
        <v>152</v>
      </c>
      <c r="C9" s="674">
        <v>0</v>
      </c>
      <c r="D9" s="674">
        <v>0</v>
      </c>
      <c r="E9" s="674">
        <v>0</v>
      </c>
      <c r="F9" s="674">
        <v>0</v>
      </c>
      <c r="G9" s="674">
        <v>0</v>
      </c>
      <c r="H9" s="675">
        <f t="shared" si="0"/>
        <v>0</v>
      </c>
      <c r="J9" s="673"/>
      <c r="K9" s="673"/>
      <c r="L9" s="673"/>
      <c r="M9" s="673"/>
      <c r="N9" s="673"/>
      <c r="O9" s="673"/>
    </row>
    <row r="10" spans="1:15">
      <c r="A10" s="359">
        <v>4</v>
      </c>
      <c r="B10" s="344" t="s">
        <v>53</v>
      </c>
      <c r="C10" s="674">
        <v>0</v>
      </c>
      <c r="D10" s="674">
        <v>0</v>
      </c>
      <c r="E10" s="674">
        <v>0</v>
      </c>
      <c r="F10" s="674">
        <v>0</v>
      </c>
      <c r="G10" s="674">
        <v>0</v>
      </c>
      <c r="H10" s="675">
        <f t="shared" si="0"/>
        <v>0</v>
      </c>
      <c r="J10" s="673"/>
      <c r="K10" s="673"/>
      <c r="L10" s="673"/>
      <c r="M10" s="673"/>
      <c r="N10" s="673"/>
      <c r="O10" s="673"/>
    </row>
    <row r="11" spans="1:15">
      <c r="A11" s="359">
        <v>5</v>
      </c>
      <c r="B11" s="344" t="s">
        <v>54</v>
      </c>
      <c r="C11" s="674">
        <v>0</v>
      </c>
      <c r="D11" s="674">
        <v>0</v>
      </c>
      <c r="E11" s="674">
        <v>0</v>
      </c>
      <c r="F11" s="674">
        <v>0</v>
      </c>
      <c r="G11" s="674">
        <v>0</v>
      </c>
      <c r="H11" s="675">
        <f t="shared" si="0"/>
        <v>0</v>
      </c>
      <c r="J11" s="673"/>
      <c r="K11" s="673"/>
      <c r="L11" s="673"/>
      <c r="M11" s="673"/>
      <c r="N11" s="673"/>
      <c r="O11" s="673"/>
    </row>
    <row r="12" spans="1:15">
      <c r="A12" s="359">
        <v>6</v>
      </c>
      <c r="B12" s="344" t="s">
        <v>55</v>
      </c>
      <c r="C12" s="674">
        <v>0</v>
      </c>
      <c r="D12" s="674">
        <v>306524802.51305413</v>
      </c>
      <c r="E12" s="674">
        <v>49668.90424782125</v>
      </c>
      <c r="F12" s="674">
        <v>0</v>
      </c>
      <c r="G12" s="674">
        <v>0</v>
      </c>
      <c r="H12" s="675">
        <f t="shared" si="0"/>
        <v>306475133.60880631</v>
      </c>
      <c r="J12" s="673"/>
      <c r="K12" s="673"/>
      <c r="L12" s="673"/>
      <c r="M12" s="673"/>
      <c r="N12" s="673"/>
      <c r="O12" s="673"/>
    </row>
    <row r="13" spans="1:15">
      <c r="A13" s="359">
        <v>7</v>
      </c>
      <c r="B13" s="344" t="s">
        <v>56</v>
      </c>
      <c r="C13" s="674">
        <v>84027114.786411196</v>
      </c>
      <c r="D13" s="674">
        <v>1095510768.7425573</v>
      </c>
      <c r="E13" s="674">
        <v>34680403.30897294</v>
      </c>
      <c r="F13" s="674">
        <v>0</v>
      </c>
      <c r="G13" s="674">
        <v>0</v>
      </c>
      <c r="H13" s="675">
        <f t="shared" si="0"/>
        <v>1144857480.2199957</v>
      </c>
      <c r="J13" s="673"/>
      <c r="K13" s="673"/>
      <c r="L13" s="673"/>
      <c r="M13" s="673"/>
      <c r="N13" s="673"/>
      <c r="O13" s="673"/>
    </row>
    <row r="14" spans="1:15">
      <c r="A14" s="359">
        <v>8</v>
      </c>
      <c r="B14" s="346" t="s">
        <v>57</v>
      </c>
      <c r="C14" s="674">
        <v>0</v>
      </c>
      <c r="D14" s="674">
        <v>0</v>
      </c>
      <c r="E14" s="674">
        <v>0</v>
      </c>
      <c r="F14" s="674">
        <v>0</v>
      </c>
      <c r="G14" s="674">
        <v>0</v>
      </c>
      <c r="H14" s="675">
        <f t="shared" si="0"/>
        <v>0</v>
      </c>
      <c r="J14" s="673"/>
      <c r="K14" s="673"/>
      <c r="L14" s="673"/>
      <c r="M14" s="673"/>
      <c r="N14" s="673"/>
      <c r="O14" s="673"/>
    </row>
    <row r="15" spans="1:15">
      <c r="A15" s="359">
        <v>9</v>
      </c>
      <c r="B15" s="344" t="s">
        <v>58</v>
      </c>
      <c r="C15" s="674">
        <v>0</v>
      </c>
      <c r="D15" s="674">
        <v>0</v>
      </c>
      <c r="E15" s="674">
        <v>0</v>
      </c>
      <c r="F15" s="674">
        <v>0</v>
      </c>
      <c r="G15" s="674">
        <v>0</v>
      </c>
      <c r="H15" s="675">
        <f t="shared" si="0"/>
        <v>0</v>
      </c>
      <c r="J15" s="673"/>
      <c r="K15" s="673"/>
      <c r="L15" s="673"/>
      <c r="M15" s="673"/>
      <c r="N15" s="673"/>
      <c r="O15" s="673"/>
    </row>
    <row r="16" spans="1:15">
      <c r="A16" s="359">
        <v>10</v>
      </c>
      <c r="B16" s="348" t="s">
        <v>395</v>
      </c>
      <c r="C16" s="674">
        <v>69687043.675706849</v>
      </c>
      <c r="D16" s="674">
        <v>0</v>
      </c>
      <c r="E16" s="674">
        <v>17437625.320901684</v>
      </c>
      <c r="F16" s="674">
        <v>0</v>
      </c>
      <c r="G16" s="674">
        <v>0</v>
      </c>
      <c r="H16" s="675">
        <f t="shared" si="0"/>
        <v>52249418.354805164</v>
      </c>
      <c r="J16" s="673"/>
      <c r="K16" s="673"/>
      <c r="L16" s="673"/>
      <c r="M16" s="673"/>
      <c r="N16" s="673"/>
      <c r="O16" s="673"/>
    </row>
    <row r="17" spans="1:15">
      <c r="A17" s="359">
        <v>11</v>
      </c>
      <c r="B17" s="344" t="s">
        <v>60</v>
      </c>
      <c r="C17" s="674">
        <v>0</v>
      </c>
      <c r="D17" s="674">
        <v>0</v>
      </c>
      <c r="E17" s="674">
        <v>0</v>
      </c>
      <c r="F17" s="674">
        <v>0</v>
      </c>
      <c r="G17" s="674">
        <v>0</v>
      </c>
      <c r="H17" s="675">
        <f t="shared" si="0"/>
        <v>0</v>
      </c>
      <c r="J17" s="673"/>
      <c r="K17" s="673"/>
      <c r="L17" s="673"/>
      <c r="M17" s="673"/>
      <c r="N17" s="673"/>
      <c r="O17" s="673"/>
    </row>
    <row r="18" spans="1:15">
      <c r="A18" s="359">
        <v>12</v>
      </c>
      <c r="B18" s="344" t="s">
        <v>61</v>
      </c>
      <c r="C18" s="674">
        <v>0</v>
      </c>
      <c r="D18" s="674">
        <v>0</v>
      </c>
      <c r="E18" s="674">
        <v>0</v>
      </c>
      <c r="F18" s="674">
        <v>0</v>
      </c>
      <c r="G18" s="674">
        <v>0</v>
      </c>
      <c r="H18" s="675">
        <f t="shared" si="0"/>
        <v>0</v>
      </c>
      <c r="J18" s="673"/>
      <c r="K18" s="673"/>
      <c r="L18" s="673"/>
      <c r="M18" s="673"/>
      <c r="N18" s="673"/>
      <c r="O18" s="673"/>
    </row>
    <row r="19" spans="1:15">
      <c r="A19" s="360">
        <v>13</v>
      </c>
      <c r="B19" s="346" t="s">
        <v>144</v>
      </c>
      <c r="C19" s="674">
        <v>0</v>
      </c>
      <c r="D19" s="674">
        <v>0</v>
      </c>
      <c r="E19" s="674">
        <v>0</v>
      </c>
      <c r="F19" s="674">
        <v>0</v>
      </c>
      <c r="G19" s="674">
        <v>0</v>
      </c>
      <c r="H19" s="675">
        <f t="shared" si="0"/>
        <v>0</v>
      </c>
      <c r="J19" s="673"/>
      <c r="K19" s="673"/>
      <c r="L19" s="673"/>
      <c r="M19" s="673"/>
      <c r="N19" s="673"/>
      <c r="O19" s="673"/>
    </row>
    <row r="20" spans="1:15">
      <c r="A20" s="359">
        <v>14</v>
      </c>
      <c r="B20" s="344" t="s">
        <v>63</v>
      </c>
      <c r="C20" s="674">
        <v>2531103.5810628422</v>
      </c>
      <c r="D20" s="674">
        <v>191699617.43527025</v>
      </c>
      <c r="E20" s="674">
        <v>748867.11010819208</v>
      </c>
      <c r="F20" s="674">
        <v>0</v>
      </c>
      <c r="G20" s="674">
        <v>0</v>
      </c>
      <c r="H20" s="675">
        <f t="shared" si="0"/>
        <v>193481853.90622491</v>
      </c>
      <c r="J20" s="673"/>
      <c r="K20" s="673"/>
      <c r="L20" s="673"/>
      <c r="M20" s="673"/>
      <c r="N20" s="673"/>
      <c r="O20" s="673"/>
    </row>
    <row r="21" spans="1:15" s="356" customFormat="1">
      <c r="A21" s="358">
        <v>15</v>
      </c>
      <c r="B21" s="357" t="s">
        <v>64</v>
      </c>
      <c r="C21" s="676">
        <f t="shared" ref="C21:H21" si="1">SUM(C7:C15)+SUM(C17:C20)</f>
        <v>86558218.367474034</v>
      </c>
      <c r="D21" s="676">
        <f t="shared" si="1"/>
        <v>1882917992.6565816</v>
      </c>
      <c r="E21" s="676">
        <f t="shared" si="1"/>
        <v>35581590.581676513</v>
      </c>
      <c r="F21" s="676">
        <f t="shared" si="1"/>
        <v>0</v>
      </c>
      <c r="G21" s="676">
        <f t="shared" si="1"/>
        <v>0</v>
      </c>
      <c r="H21" s="675">
        <f t="shared" si="1"/>
        <v>1933894620.4423795</v>
      </c>
      <c r="J21" s="673"/>
      <c r="K21" s="673"/>
      <c r="L21" s="673"/>
      <c r="M21" s="673"/>
      <c r="N21" s="673"/>
      <c r="O21" s="673"/>
    </row>
    <row r="22" spans="1:15">
      <c r="A22" s="355">
        <v>16</v>
      </c>
      <c r="B22" s="354" t="s">
        <v>396</v>
      </c>
      <c r="C22" s="674">
        <v>86317926.617474169</v>
      </c>
      <c r="D22" s="674">
        <v>1087020050.0724046</v>
      </c>
      <c r="E22" s="674">
        <v>34532494.034186937</v>
      </c>
      <c r="F22" s="674">
        <v>0</v>
      </c>
      <c r="G22" s="674">
        <v>0</v>
      </c>
      <c r="H22" s="675">
        <f>C22+D22-E22-F22</f>
        <v>1138805482.6556919</v>
      </c>
      <c r="J22" s="673"/>
      <c r="K22" s="673"/>
      <c r="L22" s="673"/>
      <c r="M22" s="673"/>
      <c r="N22" s="673"/>
      <c r="O22" s="673"/>
    </row>
    <row r="23" spans="1:15">
      <c r="A23" s="355">
        <v>17</v>
      </c>
      <c r="B23" s="354" t="s">
        <v>397</v>
      </c>
      <c r="C23" s="674">
        <v>0</v>
      </c>
      <c r="D23" s="674">
        <v>76680918.230000004</v>
      </c>
      <c r="E23" s="674">
        <v>791488.52395602886</v>
      </c>
      <c r="F23" s="674">
        <v>0</v>
      </c>
      <c r="G23" s="674">
        <v>0</v>
      </c>
      <c r="H23" s="675">
        <f>C23+D23-E23-F23</f>
        <v>75889429.706043974</v>
      </c>
      <c r="J23" s="673"/>
      <c r="K23" s="673"/>
      <c r="L23" s="673"/>
      <c r="M23" s="673"/>
      <c r="N23" s="673"/>
      <c r="O23" s="673"/>
    </row>
    <row r="26" spans="1:15" ht="42.4" customHeight="1">
      <c r="B26" s="288"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O36"/>
  <sheetViews>
    <sheetView showGridLines="0" zoomScale="80" zoomScaleNormal="80" workbookViewId="0"/>
  </sheetViews>
  <sheetFormatPr defaultColWidth="9.28515625" defaultRowHeight="12.75"/>
  <cols>
    <col min="1" max="1" width="11" style="285" bestFit="1" customWidth="1"/>
    <col min="2" max="2" width="93.42578125" style="285" customWidth="1"/>
    <col min="3" max="4" width="35" style="285" customWidth="1"/>
    <col min="5" max="5" width="15.140625" style="285" bestFit="1" customWidth="1"/>
    <col min="6" max="6" width="11.7109375" style="285" bestFit="1" customWidth="1"/>
    <col min="7" max="7" width="22" style="285" customWidth="1"/>
    <col min="8" max="8" width="19.85546875" style="285" customWidth="1"/>
    <col min="9" max="9" width="9.28515625" style="285"/>
    <col min="10" max="10" width="11.7109375" style="285" bestFit="1" customWidth="1"/>
    <col min="11" max="11" width="16" style="285" bestFit="1" customWidth="1"/>
    <col min="12" max="12" width="12.42578125" style="285" bestFit="1" customWidth="1"/>
    <col min="13" max="14" width="9.42578125" style="285" bestFit="1" customWidth="1"/>
    <col min="15" max="15" width="16" style="285" bestFit="1" customWidth="1"/>
    <col min="16" max="16384" width="9.28515625" style="285"/>
  </cols>
  <sheetData>
    <row r="1" spans="1:15" ht="13.5">
      <c r="A1" s="283" t="s">
        <v>30</v>
      </c>
      <c r="B1" s="351" t="str">
        <f>'Info '!C2</f>
        <v>JSC Cartu Bank</v>
      </c>
      <c r="C1" s="364"/>
      <c r="D1" s="364"/>
      <c r="E1" s="364"/>
      <c r="F1" s="364"/>
      <c r="G1" s="364"/>
      <c r="H1" s="364"/>
    </row>
    <row r="2" spans="1:15">
      <c r="A2" s="283" t="s">
        <v>31</v>
      </c>
      <c r="B2" s="350">
        <f>'1. key ratios '!B2</f>
        <v>46112</v>
      </c>
      <c r="C2" s="364"/>
      <c r="D2" s="364"/>
      <c r="E2" s="364"/>
      <c r="F2" s="364"/>
      <c r="G2" s="364"/>
      <c r="H2" s="364"/>
    </row>
    <row r="3" spans="1:15">
      <c r="A3" s="284" t="s">
        <v>398</v>
      </c>
      <c r="B3" s="364"/>
      <c r="C3" s="364"/>
      <c r="D3" s="364"/>
      <c r="E3" s="364"/>
      <c r="F3" s="364"/>
      <c r="G3" s="364"/>
      <c r="H3" s="364"/>
    </row>
    <row r="4" spans="1:15">
      <c r="A4" s="365"/>
      <c r="B4" s="364"/>
      <c r="C4" s="363" t="s">
        <v>0</v>
      </c>
      <c r="D4" s="363" t="s">
        <v>1</v>
      </c>
      <c r="E4" s="363" t="s">
        <v>2</v>
      </c>
      <c r="F4" s="363" t="s">
        <v>3</v>
      </c>
      <c r="G4" s="363" t="s">
        <v>4</v>
      </c>
      <c r="H4" s="363" t="s">
        <v>5</v>
      </c>
    </row>
    <row r="5" spans="1:15" ht="41.65" customHeight="1">
      <c r="A5" s="779" t="s">
        <v>389</v>
      </c>
      <c r="B5" s="780"/>
      <c r="C5" s="793" t="s">
        <v>390</v>
      </c>
      <c r="D5" s="793"/>
      <c r="E5" s="793" t="s">
        <v>627</v>
      </c>
      <c r="F5" s="791" t="s">
        <v>391</v>
      </c>
      <c r="G5" s="791" t="s">
        <v>392</v>
      </c>
      <c r="H5" s="361" t="s">
        <v>626</v>
      </c>
    </row>
    <row r="6" spans="1:15" ht="25.5">
      <c r="A6" s="783"/>
      <c r="B6" s="784"/>
      <c r="C6" s="362" t="s">
        <v>393</v>
      </c>
      <c r="D6" s="362" t="s">
        <v>394</v>
      </c>
      <c r="E6" s="793"/>
      <c r="F6" s="792"/>
      <c r="G6" s="792"/>
      <c r="H6" s="361" t="s">
        <v>625</v>
      </c>
    </row>
    <row r="7" spans="1:15">
      <c r="A7" s="353">
        <v>1</v>
      </c>
      <c r="B7" s="368" t="s">
        <v>486</v>
      </c>
      <c r="C7" s="674">
        <v>464141.73072067485</v>
      </c>
      <c r="D7" s="674">
        <v>296406653.50539762</v>
      </c>
      <c r="E7" s="674">
        <v>295558.42398084328</v>
      </c>
      <c r="F7" s="674">
        <v>0</v>
      </c>
      <c r="G7" s="674">
        <v>0</v>
      </c>
      <c r="H7" s="675">
        <f t="shared" ref="H7:H34" si="0">C7+D7-E7-F7</f>
        <v>296575236.81213748</v>
      </c>
      <c r="J7" s="673"/>
      <c r="K7" s="673"/>
      <c r="L7" s="673"/>
      <c r="M7" s="673"/>
      <c r="N7" s="673"/>
      <c r="O7" s="673"/>
    </row>
    <row r="8" spans="1:15">
      <c r="A8" s="353">
        <v>2</v>
      </c>
      <c r="B8" s="368" t="s">
        <v>399</v>
      </c>
      <c r="C8" s="674">
        <v>157889.80726999999</v>
      </c>
      <c r="D8" s="674">
        <v>350148584.65529823</v>
      </c>
      <c r="E8" s="674">
        <v>377336.13622542517</v>
      </c>
      <c r="F8" s="674">
        <v>0</v>
      </c>
      <c r="G8" s="674">
        <v>0</v>
      </c>
      <c r="H8" s="675">
        <f t="shared" si="0"/>
        <v>349929138.32634282</v>
      </c>
      <c r="J8" s="673"/>
      <c r="K8" s="673"/>
      <c r="L8" s="673"/>
      <c r="M8" s="673"/>
      <c r="N8" s="673"/>
      <c r="O8" s="673"/>
    </row>
    <row r="9" spans="1:15">
      <c r="A9" s="353">
        <v>3</v>
      </c>
      <c r="B9" s="368" t="s">
        <v>400</v>
      </c>
      <c r="C9" s="674">
        <v>0</v>
      </c>
      <c r="D9" s="674">
        <v>0</v>
      </c>
      <c r="E9" s="674">
        <v>0</v>
      </c>
      <c r="F9" s="674">
        <v>0</v>
      </c>
      <c r="G9" s="674">
        <v>0</v>
      </c>
      <c r="H9" s="675">
        <f t="shared" si="0"/>
        <v>0</v>
      </c>
      <c r="J9" s="673"/>
      <c r="K9" s="673"/>
      <c r="L9" s="673"/>
      <c r="M9" s="673"/>
      <c r="N9" s="673"/>
      <c r="O9" s="673"/>
    </row>
    <row r="10" spans="1:15">
      <c r="A10" s="353">
        <v>4</v>
      </c>
      <c r="B10" s="368" t="s">
        <v>487</v>
      </c>
      <c r="C10" s="674">
        <v>14825638.048588419</v>
      </c>
      <c r="D10" s="674">
        <v>88841993.00744614</v>
      </c>
      <c r="E10" s="674">
        <v>709789.10827832785</v>
      </c>
      <c r="F10" s="674">
        <v>0</v>
      </c>
      <c r="G10" s="674">
        <v>0</v>
      </c>
      <c r="H10" s="675">
        <f t="shared" si="0"/>
        <v>102957841.94775623</v>
      </c>
      <c r="J10" s="673"/>
      <c r="K10" s="673"/>
      <c r="L10" s="673"/>
      <c r="M10" s="673"/>
      <c r="N10" s="673"/>
      <c r="O10" s="673"/>
    </row>
    <row r="11" spans="1:15">
      <c r="A11" s="353">
        <v>5</v>
      </c>
      <c r="B11" s="368" t="s">
        <v>401</v>
      </c>
      <c r="C11" s="674">
        <v>1110951.1184120001</v>
      </c>
      <c r="D11" s="674">
        <v>88913517.779347479</v>
      </c>
      <c r="E11" s="674">
        <v>1336868.1201085241</v>
      </c>
      <c r="F11" s="674">
        <v>0</v>
      </c>
      <c r="G11" s="674">
        <v>0</v>
      </c>
      <c r="H11" s="675">
        <f t="shared" si="0"/>
        <v>88687600.777650952</v>
      </c>
      <c r="J11" s="673"/>
      <c r="K11" s="673"/>
      <c r="L11" s="673"/>
      <c r="M11" s="673"/>
      <c r="N11" s="673"/>
      <c r="O11" s="673"/>
    </row>
    <row r="12" spans="1:15">
      <c r="A12" s="353">
        <v>6</v>
      </c>
      <c r="B12" s="368" t="s">
        <v>402</v>
      </c>
      <c r="C12" s="674">
        <v>7.88</v>
      </c>
      <c r="D12" s="674">
        <v>24119903.20297293</v>
      </c>
      <c r="E12" s="674">
        <v>100013.22841482006</v>
      </c>
      <c r="F12" s="674">
        <v>0</v>
      </c>
      <c r="G12" s="674">
        <v>0</v>
      </c>
      <c r="H12" s="675">
        <f t="shared" si="0"/>
        <v>24019897.85455811</v>
      </c>
      <c r="J12" s="673"/>
      <c r="K12" s="673"/>
      <c r="L12" s="673"/>
      <c r="M12" s="673"/>
      <c r="N12" s="673"/>
      <c r="O12" s="673"/>
    </row>
    <row r="13" spans="1:15">
      <c r="A13" s="353">
        <v>7</v>
      </c>
      <c r="B13" s="368" t="s">
        <v>403</v>
      </c>
      <c r="C13" s="674">
        <v>1860614.989109206</v>
      </c>
      <c r="D13" s="674">
        <v>14899002.112411587</v>
      </c>
      <c r="E13" s="674">
        <v>72047.309966618021</v>
      </c>
      <c r="F13" s="674">
        <v>0</v>
      </c>
      <c r="G13" s="674">
        <v>0</v>
      </c>
      <c r="H13" s="675">
        <f t="shared" si="0"/>
        <v>16687569.791554173</v>
      </c>
      <c r="J13" s="673"/>
      <c r="K13" s="673"/>
      <c r="L13" s="673"/>
      <c r="M13" s="673"/>
      <c r="N13" s="673"/>
      <c r="O13" s="673"/>
    </row>
    <row r="14" spans="1:15">
      <c r="A14" s="353">
        <v>8</v>
      </c>
      <c r="B14" s="368" t="s">
        <v>404</v>
      </c>
      <c r="C14" s="674">
        <v>296083.10533000005</v>
      </c>
      <c r="D14" s="674">
        <v>18086050.487485684</v>
      </c>
      <c r="E14" s="674">
        <v>370227.29117976077</v>
      </c>
      <c r="F14" s="674">
        <v>0</v>
      </c>
      <c r="G14" s="674">
        <v>0</v>
      </c>
      <c r="H14" s="675">
        <f t="shared" si="0"/>
        <v>18011906.301635925</v>
      </c>
      <c r="J14" s="673"/>
      <c r="K14" s="673"/>
      <c r="L14" s="673"/>
      <c r="M14" s="673"/>
      <c r="N14" s="673"/>
      <c r="O14" s="673"/>
    </row>
    <row r="15" spans="1:15">
      <c r="A15" s="353">
        <v>9</v>
      </c>
      <c r="B15" s="368" t="s">
        <v>405</v>
      </c>
      <c r="C15" s="674">
        <v>3069625.3152633957</v>
      </c>
      <c r="D15" s="674">
        <v>225254245.74140543</v>
      </c>
      <c r="E15" s="674">
        <v>2243400.4315505675</v>
      </c>
      <c r="F15" s="674">
        <v>0</v>
      </c>
      <c r="G15" s="674">
        <v>0</v>
      </c>
      <c r="H15" s="675">
        <f t="shared" si="0"/>
        <v>226080470.62511826</v>
      </c>
      <c r="J15" s="673"/>
      <c r="K15" s="673"/>
      <c r="L15" s="673"/>
      <c r="M15" s="673"/>
      <c r="N15" s="673"/>
      <c r="O15" s="673"/>
    </row>
    <row r="16" spans="1:15">
      <c r="A16" s="353">
        <v>10</v>
      </c>
      <c r="B16" s="368" t="s">
        <v>406</v>
      </c>
      <c r="C16" s="674">
        <v>0</v>
      </c>
      <c r="D16" s="674">
        <v>6060341.6547799166</v>
      </c>
      <c r="E16" s="674">
        <v>19947.299933803919</v>
      </c>
      <c r="F16" s="674">
        <v>0</v>
      </c>
      <c r="G16" s="674">
        <v>0</v>
      </c>
      <c r="H16" s="675">
        <f t="shared" si="0"/>
        <v>6040394.3548461124</v>
      </c>
      <c r="J16" s="673"/>
      <c r="K16" s="673"/>
      <c r="L16" s="673"/>
      <c r="M16" s="673"/>
      <c r="N16" s="673"/>
      <c r="O16" s="673"/>
    </row>
    <row r="17" spans="1:15">
      <c r="A17" s="353">
        <v>11</v>
      </c>
      <c r="B17" s="368" t="s">
        <v>407</v>
      </c>
      <c r="C17" s="674">
        <v>0</v>
      </c>
      <c r="D17" s="674">
        <v>542419.97</v>
      </c>
      <c r="E17" s="674">
        <v>66.274917900089008</v>
      </c>
      <c r="F17" s="674">
        <v>0</v>
      </c>
      <c r="G17" s="674">
        <v>0</v>
      </c>
      <c r="H17" s="675">
        <f t="shared" si="0"/>
        <v>542353.69508209988</v>
      </c>
      <c r="J17" s="673"/>
      <c r="K17" s="673"/>
      <c r="L17" s="673"/>
      <c r="M17" s="673"/>
      <c r="N17" s="673"/>
      <c r="O17" s="673"/>
    </row>
    <row r="18" spans="1:15">
      <c r="A18" s="353">
        <v>12</v>
      </c>
      <c r="B18" s="368" t="s">
        <v>408</v>
      </c>
      <c r="C18" s="674">
        <v>26375080.257742003</v>
      </c>
      <c r="D18" s="674">
        <v>32500134.294782482</v>
      </c>
      <c r="E18" s="674">
        <v>11630610.204530701</v>
      </c>
      <c r="F18" s="674">
        <v>0</v>
      </c>
      <c r="G18" s="674">
        <v>0</v>
      </c>
      <c r="H18" s="675">
        <f t="shared" si="0"/>
        <v>47244604.347993784</v>
      </c>
      <c r="J18" s="673"/>
      <c r="K18" s="673"/>
      <c r="L18" s="673"/>
      <c r="M18" s="673"/>
      <c r="N18" s="673"/>
      <c r="O18" s="673"/>
    </row>
    <row r="19" spans="1:15">
      <c r="A19" s="353">
        <v>13</v>
      </c>
      <c r="B19" s="368" t="s">
        <v>409</v>
      </c>
      <c r="C19" s="674">
        <v>3168122.2704747887</v>
      </c>
      <c r="D19" s="674">
        <v>14386354.412977595</v>
      </c>
      <c r="E19" s="674">
        <v>1780984.9619527718</v>
      </c>
      <c r="F19" s="674">
        <v>0</v>
      </c>
      <c r="G19" s="674">
        <v>0</v>
      </c>
      <c r="H19" s="675">
        <f t="shared" si="0"/>
        <v>15773491.721499611</v>
      </c>
      <c r="J19" s="673"/>
      <c r="K19" s="673"/>
      <c r="L19" s="673"/>
      <c r="M19" s="673"/>
      <c r="N19" s="673"/>
      <c r="O19" s="673"/>
    </row>
    <row r="20" spans="1:15">
      <c r="A20" s="353">
        <v>14</v>
      </c>
      <c r="B20" s="368" t="s">
        <v>410</v>
      </c>
      <c r="C20" s="674">
        <v>16420964.923669033</v>
      </c>
      <c r="D20" s="674">
        <v>32098018.399138615</v>
      </c>
      <c r="E20" s="674">
        <v>454496.04772870883</v>
      </c>
      <c r="F20" s="674">
        <v>0</v>
      </c>
      <c r="G20" s="674">
        <v>0</v>
      </c>
      <c r="H20" s="675">
        <f t="shared" si="0"/>
        <v>48064487.275078937</v>
      </c>
      <c r="J20" s="673"/>
      <c r="K20" s="673"/>
      <c r="L20" s="673"/>
      <c r="M20" s="673"/>
      <c r="N20" s="673"/>
      <c r="O20" s="673"/>
    </row>
    <row r="21" spans="1:15">
      <c r="A21" s="353">
        <v>15</v>
      </c>
      <c r="B21" s="368" t="s">
        <v>411</v>
      </c>
      <c r="C21" s="674">
        <v>436481.22599800001</v>
      </c>
      <c r="D21" s="674">
        <v>2266741.64</v>
      </c>
      <c r="E21" s="674">
        <v>81390.64988613344</v>
      </c>
      <c r="F21" s="674">
        <v>0</v>
      </c>
      <c r="G21" s="674">
        <v>0</v>
      </c>
      <c r="H21" s="675">
        <f t="shared" si="0"/>
        <v>2621832.2161118663</v>
      </c>
      <c r="J21" s="673"/>
      <c r="K21" s="673"/>
      <c r="L21" s="673"/>
      <c r="M21" s="673"/>
      <c r="N21" s="673"/>
      <c r="O21" s="673"/>
    </row>
    <row r="22" spans="1:15">
      <c r="A22" s="353">
        <v>16</v>
      </c>
      <c r="B22" s="368" t="s">
        <v>412</v>
      </c>
      <c r="C22" s="674">
        <v>0</v>
      </c>
      <c r="D22" s="674">
        <v>75800668.592316389</v>
      </c>
      <c r="E22" s="674">
        <v>7803128.1096099988</v>
      </c>
      <c r="F22" s="674">
        <v>0</v>
      </c>
      <c r="G22" s="674">
        <v>0</v>
      </c>
      <c r="H22" s="675">
        <f t="shared" si="0"/>
        <v>67997540.482706398</v>
      </c>
      <c r="J22" s="673"/>
      <c r="K22" s="673"/>
      <c r="L22" s="673"/>
      <c r="M22" s="673"/>
      <c r="N22" s="673"/>
      <c r="O22" s="673"/>
    </row>
    <row r="23" spans="1:15">
      <c r="A23" s="353">
        <v>17</v>
      </c>
      <c r="B23" s="368" t="s">
        <v>490</v>
      </c>
      <c r="C23" s="674">
        <v>0</v>
      </c>
      <c r="D23" s="674">
        <v>99901486.648403108</v>
      </c>
      <c r="E23" s="674">
        <v>563256.22914156585</v>
      </c>
      <c r="F23" s="674">
        <v>0</v>
      </c>
      <c r="G23" s="674">
        <v>0</v>
      </c>
      <c r="H23" s="675">
        <f t="shared" si="0"/>
        <v>99338230.419261545</v>
      </c>
      <c r="J23" s="673"/>
      <c r="K23" s="673"/>
      <c r="L23" s="673"/>
      <c r="M23" s="673"/>
      <c r="N23" s="673"/>
      <c r="O23" s="673"/>
    </row>
    <row r="24" spans="1:15">
      <c r="A24" s="353">
        <v>18</v>
      </c>
      <c r="B24" s="368" t="s">
        <v>413</v>
      </c>
      <c r="C24" s="674">
        <v>0</v>
      </c>
      <c r="D24" s="674">
        <v>20247039.848008621</v>
      </c>
      <c r="E24" s="674">
        <v>465831.04986638273</v>
      </c>
      <c r="F24" s="674">
        <v>0</v>
      </c>
      <c r="G24" s="674">
        <v>0</v>
      </c>
      <c r="H24" s="675">
        <f t="shared" si="0"/>
        <v>19781208.798142239</v>
      </c>
      <c r="J24" s="673"/>
      <c r="K24" s="673"/>
      <c r="L24" s="673"/>
      <c r="M24" s="673"/>
      <c r="N24" s="673"/>
      <c r="O24" s="673"/>
    </row>
    <row r="25" spans="1:15">
      <c r="A25" s="353">
        <v>19</v>
      </c>
      <c r="B25" s="368" t="s">
        <v>414</v>
      </c>
      <c r="C25" s="674">
        <v>0</v>
      </c>
      <c r="D25" s="674">
        <v>11984654.734898001</v>
      </c>
      <c r="E25" s="674">
        <v>92097.68550183055</v>
      </c>
      <c r="F25" s="674">
        <v>0</v>
      </c>
      <c r="G25" s="674">
        <v>0</v>
      </c>
      <c r="H25" s="675">
        <f t="shared" si="0"/>
        <v>11892557.04939617</v>
      </c>
      <c r="J25" s="673"/>
      <c r="K25" s="673"/>
      <c r="L25" s="673"/>
      <c r="M25" s="673"/>
      <c r="N25" s="673"/>
      <c r="O25" s="673"/>
    </row>
    <row r="26" spans="1:15">
      <c r="A26" s="353">
        <v>20</v>
      </c>
      <c r="B26" s="368" t="s">
        <v>489</v>
      </c>
      <c r="C26" s="674">
        <v>0</v>
      </c>
      <c r="D26" s="674">
        <v>63017798.685850561</v>
      </c>
      <c r="E26" s="674">
        <v>2241647.2605006821</v>
      </c>
      <c r="F26" s="674">
        <v>0</v>
      </c>
      <c r="G26" s="674">
        <v>0</v>
      </c>
      <c r="H26" s="675">
        <f t="shared" si="0"/>
        <v>60776151.425349876</v>
      </c>
      <c r="J26" s="673"/>
      <c r="K26" s="673"/>
      <c r="L26" s="673"/>
      <c r="M26" s="673"/>
      <c r="N26" s="673"/>
      <c r="O26" s="673"/>
    </row>
    <row r="27" spans="1:15">
      <c r="A27" s="353">
        <v>21</v>
      </c>
      <c r="B27" s="368" t="s">
        <v>415</v>
      </c>
      <c r="C27" s="674">
        <v>0</v>
      </c>
      <c r="D27" s="674">
        <v>7623602.0482131224</v>
      </c>
      <c r="E27" s="674">
        <v>15865.22038180755</v>
      </c>
      <c r="F27" s="674">
        <v>0</v>
      </c>
      <c r="G27" s="674">
        <v>0</v>
      </c>
      <c r="H27" s="675">
        <f t="shared" si="0"/>
        <v>7607736.8278313149</v>
      </c>
      <c r="J27" s="673"/>
      <c r="K27" s="673"/>
      <c r="L27" s="673"/>
      <c r="M27" s="673"/>
      <c r="N27" s="673"/>
      <c r="O27" s="673"/>
    </row>
    <row r="28" spans="1:15">
      <c r="A28" s="353">
        <v>22</v>
      </c>
      <c r="B28" s="368" t="s">
        <v>416</v>
      </c>
      <c r="C28" s="674">
        <v>2741109.7514633513</v>
      </c>
      <c r="D28" s="674">
        <v>40837194.039924055</v>
      </c>
      <c r="E28" s="674">
        <v>379531.32792713773</v>
      </c>
      <c r="F28" s="674">
        <v>0</v>
      </c>
      <c r="G28" s="674">
        <v>0</v>
      </c>
      <c r="H28" s="675">
        <f t="shared" si="0"/>
        <v>43198772.463460274</v>
      </c>
      <c r="J28" s="673"/>
      <c r="K28" s="673"/>
      <c r="L28" s="673"/>
      <c r="M28" s="673"/>
      <c r="N28" s="673"/>
      <c r="O28" s="673"/>
    </row>
    <row r="29" spans="1:15">
      <c r="A29" s="353">
        <v>23</v>
      </c>
      <c r="B29" s="368" t="s">
        <v>417</v>
      </c>
      <c r="C29" s="674">
        <v>3309514.7994416226</v>
      </c>
      <c r="D29" s="674">
        <v>77595088.507930905</v>
      </c>
      <c r="E29" s="674">
        <v>404142.78407342132</v>
      </c>
      <c r="F29" s="674">
        <v>0</v>
      </c>
      <c r="G29" s="674">
        <v>0</v>
      </c>
      <c r="H29" s="675">
        <f t="shared" si="0"/>
        <v>80500460.523299098</v>
      </c>
      <c r="J29" s="673"/>
      <c r="K29" s="673"/>
      <c r="L29" s="673"/>
      <c r="M29" s="673"/>
      <c r="N29" s="673"/>
      <c r="O29" s="673"/>
    </row>
    <row r="30" spans="1:15">
      <c r="A30" s="353">
        <v>24</v>
      </c>
      <c r="B30" s="368" t="s">
        <v>488</v>
      </c>
      <c r="C30" s="674">
        <v>5068495.1466555996</v>
      </c>
      <c r="D30" s="674">
        <v>35671137.577322222</v>
      </c>
      <c r="E30" s="674">
        <v>992717.06769990816</v>
      </c>
      <c r="F30" s="674">
        <v>0</v>
      </c>
      <c r="G30" s="674">
        <v>0</v>
      </c>
      <c r="H30" s="675">
        <f t="shared" si="0"/>
        <v>39746915.65627791</v>
      </c>
      <c r="J30" s="673"/>
      <c r="K30" s="673"/>
      <c r="L30" s="673"/>
      <c r="M30" s="673"/>
      <c r="N30" s="673"/>
      <c r="O30" s="673"/>
    </row>
    <row r="31" spans="1:15">
      <c r="A31" s="353">
        <v>25</v>
      </c>
      <c r="B31" s="368" t="s">
        <v>418</v>
      </c>
      <c r="C31" s="674">
        <v>6859732.8984360043</v>
      </c>
      <c r="D31" s="674">
        <v>110633138.8550868</v>
      </c>
      <c r="E31" s="674">
        <v>2837918.9538352224</v>
      </c>
      <c r="F31" s="674">
        <v>0</v>
      </c>
      <c r="G31" s="674">
        <v>0</v>
      </c>
      <c r="H31" s="675">
        <f t="shared" si="0"/>
        <v>114654952.79968759</v>
      </c>
      <c r="J31" s="673"/>
      <c r="K31" s="673"/>
      <c r="L31" s="673"/>
      <c r="M31" s="673"/>
      <c r="N31" s="673"/>
      <c r="O31" s="673"/>
    </row>
    <row r="32" spans="1:15">
      <c r="A32" s="353">
        <v>26</v>
      </c>
      <c r="B32" s="368" t="s">
        <v>485</v>
      </c>
      <c r="C32" s="674">
        <v>153473.34890000022</v>
      </c>
      <c r="D32" s="674">
        <v>127350.38976200001</v>
      </c>
      <c r="E32" s="674">
        <v>156020.35669524019</v>
      </c>
      <c r="F32" s="674">
        <v>0</v>
      </c>
      <c r="G32" s="674">
        <v>0</v>
      </c>
      <c r="H32" s="675">
        <f t="shared" si="0"/>
        <v>124803.38196676003</v>
      </c>
      <c r="J32" s="673"/>
      <c r="K32" s="673"/>
      <c r="L32" s="673"/>
      <c r="M32" s="673"/>
      <c r="N32" s="673"/>
      <c r="O32" s="673"/>
    </row>
    <row r="33" spans="1:15">
      <c r="A33" s="353">
        <v>27</v>
      </c>
      <c r="B33" s="353" t="s">
        <v>419</v>
      </c>
      <c r="C33" s="674">
        <v>240291.75</v>
      </c>
      <c r="D33" s="674">
        <v>144954871.86542282</v>
      </c>
      <c r="E33" s="674">
        <v>156699.04778845172</v>
      </c>
      <c r="F33" s="674">
        <v>0</v>
      </c>
      <c r="G33" s="674">
        <v>0</v>
      </c>
      <c r="H33" s="675">
        <f t="shared" si="0"/>
        <v>145038464.56763437</v>
      </c>
      <c r="J33" s="673"/>
      <c r="K33" s="673"/>
      <c r="L33" s="673"/>
      <c r="M33" s="673"/>
      <c r="N33" s="673"/>
      <c r="O33" s="673"/>
    </row>
    <row r="34" spans="1:15">
      <c r="A34" s="353">
        <v>28</v>
      </c>
      <c r="B34" s="357" t="s">
        <v>64</v>
      </c>
      <c r="C34" s="676">
        <f>SUM(C7:C33)</f>
        <v>86558218.367474109</v>
      </c>
      <c r="D34" s="676">
        <f>SUM(D7:D33)</f>
        <v>1882917992.6565826</v>
      </c>
      <c r="E34" s="676">
        <f>SUM(E7:E33)</f>
        <v>35581590.58167655</v>
      </c>
      <c r="F34" s="676">
        <f>SUM(F7:F33)</f>
        <v>0</v>
      </c>
      <c r="G34" s="676">
        <f>SUM(G7:G33)</f>
        <v>0</v>
      </c>
      <c r="H34" s="675">
        <f t="shared" si="0"/>
        <v>1933894620.4423802</v>
      </c>
      <c r="J34" s="673"/>
      <c r="K34" s="673"/>
      <c r="L34" s="673"/>
      <c r="M34" s="673"/>
      <c r="N34" s="673"/>
      <c r="O34" s="673"/>
    </row>
    <row r="36" spans="1:15">
      <c r="B36" s="367"/>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H15"/>
  <sheetViews>
    <sheetView showGridLines="0" zoomScale="80" zoomScaleNormal="80" workbookViewId="0"/>
  </sheetViews>
  <sheetFormatPr defaultColWidth="9.28515625" defaultRowHeight="12.75"/>
  <cols>
    <col min="1" max="1" width="11.7109375" style="285" bestFit="1" customWidth="1"/>
    <col min="2" max="2" width="108" style="285" bestFit="1" customWidth="1"/>
    <col min="3" max="3" width="35.5703125" style="285" customWidth="1"/>
    <col min="4" max="4" width="38.42578125" style="285" customWidth="1"/>
    <col min="5" max="6" width="9.28515625" style="285"/>
    <col min="7" max="7" width="15.28515625" style="285" bestFit="1" customWidth="1"/>
    <col min="8" max="8" width="12.42578125" style="285" bestFit="1" customWidth="1"/>
    <col min="9" max="16384" width="9.28515625" style="285"/>
  </cols>
  <sheetData>
    <row r="1" spans="1:8" ht="13.5">
      <c r="A1" s="283" t="s">
        <v>30</v>
      </c>
      <c r="B1" s="351" t="str">
        <f>'Info '!C2</f>
        <v>JSC Cartu Bank</v>
      </c>
    </row>
    <row r="2" spans="1:8">
      <c r="A2" s="283" t="s">
        <v>31</v>
      </c>
      <c r="B2" s="350">
        <f>'1. key ratios '!B2</f>
        <v>46112</v>
      </c>
    </row>
    <row r="3" spans="1:8">
      <c r="A3" s="284" t="s">
        <v>420</v>
      </c>
    </row>
    <row r="5" spans="1:8">
      <c r="A5" s="794" t="s">
        <v>634</v>
      </c>
      <c r="B5" s="794"/>
      <c r="C5" s="349" t="s">
        <v>437</v>
      </c>
      <c r="D5" s="349" t="s">
        <v>478</v>
      </c>
    </row>
    <row r="6" spans="1:8">
      <c r="A6" s="376">
        <v>1</v>
      </c>
      <c r="B6" s="369" t="s">
        <v>633</v>
      </c>
      <c r="C6" s="672">
        <v>31705991.796664901</v>
      </c>
      <c r="D6" s="672">
        <v>675374.02362230979</v>
      </c>
      <c r="G6" s="673"/>
      <c r="H6" s="673"/>
    </row>
    <row r="7" spans="1:8">
      <c r="A7" s="373">
        <v>2</v>
      </c>
      <c r="B7" s="369" t="s">
        <v>632</v>
      </c>
      <c r="C7" s="672">
        <f>SUM(C8:C9)</f>
        <v>3821698.8273292617</v>
      </c>
      <c r="D7" s="672">
        <f>SUM(D8:D9)</f>
        <v>121847.61719793174</v>
      </c>
      <c r="G7" s="673"/>
      <c r="H7" s="673"/>
    </row>
    <row r="8" spans="1:8">
      <c r="A8" s="375">
        <v>2.1</v>
      </c>
      <c r="B8" s="374" t="s">
        <v>493</v>
      </c>
      <c r="C8" s="672">
        <v>895160.07765872357</v>
      </c>
      <c r="D8" s="672">
        <v>121847.61719793174</v>
      </c>
      <c r="G8" s="673"/>
      <c r="H8" s="673"/>
    </row>
    <row r="9" spans="1:8">
      <c r="A9" s="375">
        <v>2.2000000000000002</v>
      </c>
      <c r="B9" s="374" t="s">
        <v>491</v>
      </c>
      <c r="C9" s="672">
        <v>2926538.7496705381</v>
      </c>
      <c r="D9" s="672">
        <v>0</v>
      </c>
      <c r="G9" s="673"/>
      <c r="H9" s="673"/>
    </row>
    <row r="10" spans="1:8">
      <c r="A10" s="376">
        <v>3</v>
      </c>
      <c r="B10" s="369" t="s">
        <v>631</v>
      </c>
      <c r="C10" s="672">
        <f>SUM(C11:C13)</f>
        <v>1019260.3810610459</v>
      </c>
      <c r="D10" s="672">
        <f>SUM(D11:D13)</f>
        <v>57144.303714439477</v>
      </c>
      <c r="G10" s="673"/>
      <c r="H10" s="673"/>
    </row>
    <row r="11" spans="1:8">
      <c r="A11" s="375">
        <v>3.1</v>
      </c>
      <c r="B11" s="374" t="s">
        <v>422</v>
      </c>
      <c r="C11" s="672">
        <v>0</v>
      </c>
      <c r="D11" s="672">
        <v>0</v>
      </c>
      <c r="G11" s="673"/>
      <c r="H11" s="673"/>
    </row>
    <row r="12" spans="1:8">
      <c r="A12" s="375">
        <v>3.2</v>
      </c>
      <c r="B12" s="374" t="s">
        <v>630</v>
      </c>
      <c r="C12" s="672">
        <v>366021.53597207199</v>
      </c>
      <c r="D12" s="672">
        <v>32897.727310612674</v>
      </c>
      <c r="G12" s="673"/>
      <c r="H12" s="673"/>
    </row>
    <row r="13" spans="1:8">
      <c r="A13" s="375">
        <v>3.3</v>
      </c>
      <c r="B13" s="374" t="s">
        <v>492</v>
      </c>
      <c r="C13" s="672">
        <v>653238.84508897399</v>
      </c>
      <c r="D13" s="672">
        <v>24246.576403826806</v>
      </c>
      <c r="G13" s="673"/>
      <c r="H13" s="673"/>
    </row>
    <row r="14" spans="1:8">
      <c r="A14" s="373">
        <v>4</v>
      </c>
      <c r="B14" s="372" t="s">
        <v>629</v>
      </c>
      <c r="C14" s="672">
        <v>24063.791253757252</v>
      </c>
      <c r="D14" s="672">
        <v>1.4836132322670892E-11</v>
      </c>
      <c r="G14" s="673"/>
      <c r="H14" s="673"/>
    </row>
    <row r="15" spans="1:8">
      <c r="A15" s="370">
        <v>5</v>
      </c>
      <c r="B15" s="369" t="s">
        <v>628</v>
      </c>
      <c r="C15" s="670">
        <f>C6+C7-C10+C14</f>
        <v>34532494.034186877</v>
      </c>
      <c r="D15" s="670">
        <f>D6+D7-D10+D14</f>
        <v>740077.33710580203</v>
      </c>
      <c r="G15" s="673"/>
      <c r="H15" s="673"/>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G23"/>
  <sheetViews>
    <sheetView showGridLines="0" zoomScale="80" zoomScaleNormal="80" workbookViewId="0"/>
  </sheetViews>
  <sheetFormatPr defaultColWidth="9.28515625" defaultRowHeight="12.75"/>
  <cols>
    <col min="1" max="1" width="11.7109375" style="285" bestFit="1" customWidth="1"/>
    <col min="2" max="2" width="128.85546875" style="285" bestFit="1" customWidth="1"/>
    <col min="3" max="3" width="37" style="285" customWidth="1"/>
    <col min="4" max="4" width="50.5703125" style="285" customWidth="1"/>
    <col min="5" max="5" width="9.28515625" style="285"/>
    <col min="6" max="6" width="15" style="285" bestFit="1" customWidth="1"/>
    <col min="7" max="7" width="14.28515625" style="285" bestFit="1" customWidth="1"/>
    <col min="8" max="16384" width="9.28515625" style="285"/>
  </cols>
  <sheetData>
    <row r="1" spans="1:7" ht="13.5">
      <c r="A1" s="283" t="s">
        <v>30</v>
      </c>
      <c r="B1" s="351" t="str">
        <f>'Info '!C2</f>
        <v>JSC Cartu Bank</v>
      </c>
    </row>
    <row r="2" spans="1:7">
      <c r="A2" s="283" t="s">
        <v>31</v>
      </c>
      <c r="B2" s="350">
        <f>'1. key ratios '!B2</f>
        <v>46112</v>
      </c>
    </row>
    <row r="3" spans="1:7">
      <c r="A3" s="284" t="s">
        <v>424</v>
      </c>
    </row>
    <row r="4" spans="1:7">
      <c r="A4" s="284"/>
    </row>
    <row r="5" spans="1:7" ht="15" customHeight="1">
      <c r="A5" s="795" t="s">
        <v>494</v>
      </c>
      <c r="B5" s="796"/>
      <c r="C5" s="799" t="s">
        <v>425</v>
      </c>
      <c r="D5" s="799" t="s">
        <v>426</v>
      </c>
    </row>
    <row r="6" spans="1:7">
      <c r="A6" s="797"/>
      <c r="B6" s="798"/>
      <c r="C6" s="799"/>
      <c r="D6" s="799"/>
    </row>
    <row r="7" spans="1:7">
      <c r="A7" s="342">
        <v>1</v>
      </c>
      <c r="B7" s="342" t="s">
        <v>421</v>
      </c>
      <c r="C7" s="672">
        <v>86190405.411226794</v>
      </c>
      <c r="D7" s="677"/>
      <c r="F7" s="673"/>
      <c r="G7" s="673"/>
    </row>
    <row r="8" spans="1:7">
      <c r="A8" s="371">
        <v>2</v>
      </c>
      <c r="B8" s="371" t="s">
        <v>427</v>
      </c>
      <c r="C8" s="672">
        <v>5435358.9229099844</v>
      </c>
      <c r="D8" s="677"/>
      <c r="F8" s="673"/>
      <c r="G8" s="673"/>
    </row>
    <row r="9" spans="1:7">
      <c r="A9" s="371">
        <v>3</v>
      </c>
      <c r="B9" s="379" t="s">
        <v>637</v>
      </c>
      <c r="C9" s="672">
        <v>117593.17484536649</v>
      </c>
      <c r="D9" s="677"/>
      <c r="F9" s="673"/>
      <c r="G9" s="673"/>
    </row>
    <row r="10" spans="1:7">
      <c r="A10" s="371">
        <v>4</v>
      </c>
      <c r="B10" s="371" t="s">
        <v>428</v>
      </c>
      <c r="C10" s="672">
        <f>SUM(C11:C17)</f>
        <v>5425430.8915079944</v>
      </c>
      <c r="D10" s="677"/>
      <c r="F10" s="673"/>
      <c r="G10" s="673"/>
    </row>
    <row r="11" spans="1:7">
      <c r="A11" s="371">
        <v>5</v>
      </c>
      <c r="B11" s="378" t="s">
        <v>636</v>
      </c>
      <c r="C11" s="672">
        <v>0</v>
      </c>
      <c r="D11" s="677"/>
      <c r="F11" s="673"/>
      <c r="G11" s="673"/>
    </row>
    <row r="12" spans="1:7">
      <c r="A12" s="371">
        <v>6</v>
      </c>
      <c r="B12" s="378" t="s">
        <v>429</v>
      </c>
      <c r="C12" s="672">
        <v>2010499.3333731522</v>
      </c>
      <c r="D12" s="677"/>
      <c r="F12" s="673"/>
      <c r="G12" s="673"/>
    </row>
    <row r="13" spans="1:7">
      <c r="A13" s="371">
        <v>7</v>
      </c>
      <c r="B13" s="378" t="s">
        <v>432</v>
      </c>
      <c r="C13" s="672">
        <v>0</v>
      </c>
      <c r="D13" s="677"/>
      <c r="F13" s="673"/>
      <c r="G13" s="673"/>
    </row>
    <row r="14" spans="1:7">
      <c r="A14" s="371">
        <v>8</v>
      </c>
      <c r="B14" s="378" t="s">
        <v>430</v>
      </c>
      <c r="C14" s="672">
        <v>3414868.4</v>
      </c>
      <c r="D14" s="672">
        <v>3585220.33</v>
      </c>
      <c r="F14" s="673"/>
      <c r="G14" s="673"/>
    </row>
    <row r="15" spans="1:7">
      <c r="A15" s="371">
        <v>9</v>
      </c>
      <c r="B15" s="378" t="s">
        <v>431</v>
      </c>
      <c r="C15" s="672">
        <v>0</v>
      </c>
      <c r="D15" s="672">
        <v>0</v>
      </c>
      <c r="F15" s="673"/>
      <c r="G15" s="673"/>
    </row>
    <row r="16" spans="1:7">
      <c r="A16" s="371">
        <v>10</v>
      </c>
      <c r="B16" s="378" t="s">
        <v>433</v>
      </c>
      <c r="C16" s="672">
        <v>0</v>
      </c>
      <c r="D16" s="672">
        <v>0</v>
      </c>
      <c r="F16" s="673"/>
      <c r="G16" s="673"/>
    </row>
    <row r="17" spans="1:7">
      <c r="A17" s="371">
        <v>11</v>
      </c>
      <c r="B17" s="378" t="s">
        <v>635</v>
      </c>
      <c r="C17" s="672">
        <v>63.15813484261276</v>
      </c>
      <c r="D17" s="677"/>
      <c r="F17" s="673"/>
      <c r="G17" s="673"/>
    </row>
    <row r="18" spans="1:7">
      <c r="A18" s="342">
        <v>12</v>
      </c>
      <c r="B18" s="377" t="s">
        <v>423</v>
      </c>
      <c r="C18" s="670">
        <f>C7+C8+C9-C10</f>
        <v>86317926.617474154</v>
      </c>
      <c r="D18" s="677"/>
      <c r="F18" s="673"/>
      <c r="G18" s="673"/>
    </row>
    <row r="21" spans="1:7">
      <c r="B21" s="283"/>
    </row>
    <row r="22" spans="1:7">
      <c r="B22" s="283"/>
    </row>
    <row r="23" spans="1:7">
      <c r="B23" s="284"/>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52"/>
  <sheetViews>
    <sheetView showGridLines="0" zoomScale="80" zoomScaleNormal="80" workbookViewId="0"/>
  </sheetViews>
  <sheetFormatPr defaultColWidth="9.28515625" defaultRowHeight="12.75"/>
  <cols>
    <col min="1" max="1" width="11.7109375" style="364" bestFit="1" customWidth="1"/>
    <col min="2" max="2" width="63.85546875" style="364" customWidth="1"/>
    <col min="3" max="3" width="17.140625" style="364" bestFit="1" customWidth="1"/>
    <col min="4" max="18" width="22.28515625" style="364" customWidth="1"/>
    <col min="19" max="19" width="23.28515625" style="364" bestFit="1" customWidth="1"/>
    <col min="20" max="26" width="22.28515625" style="364" customWidth="1"/>
    <col min="27" max="27" width="23.28515625" style="364" bestFit="1" customWidth="1"/>
    <col min="28" max="28" width="20" style="364" customWidth="1"/>
    <col min="29" max="16384" width="9.28515625" style="364"/>
  </cols>
  <sheetData>
    <row r="1" spans="1:28" ht="13.5">
      <c r="A1" s="283" t="s">
        <v>30</v>
      </c>
      <c r="B1" s="351" t="str">
        <f>'Info '!C2</f>
        <v>JSC Cartu Bank</v>
      </c>
    </row>
    <row r="2" spans="1:28">
      <c r="A2" s="283" t="s">
        <v>31</v>
      </c>
      <c r="B2" s="350">
        <f>'1. key ratios '!B2</f>
        <v>46112</v>
      </c>
      <c r="C2" s="365"/>
    </row>
    <row r="3" spans="1:28">
      <c r="A3" s="284" t="s">
        <v>434</v>
      </c>
    </row>
    <row r="5" spans="1:28" ht="15" customHeight="1">
      <c r="A5" s="801" t="s">
        <v>649</v>
      </c>
      <c r="B5" s="802"/>
      <c r="C5" s="807" t="s">
        <v>435</v>
      </c>
      <c r="D5" s="808"/>
      <c r="E5" s="808"/>
      <c r="F5" s="808"/>
      <c r="G5" s="808"/>
      <c r="H5" s="808"/>
      <c r="I5" s="808"/>
      <c r="J5" s="808"/>
      <c r="K5" s="808"/>
      <c r="L5" s="808"/>
      <c r="M5" s="808"/>
      <c r="N5" s="808"/>
      <c r="O5" s="808"/>
      <c r="P5" s="808"/>
      <c r="Q5" s="808"/>
      <c r="R5" s="808"/>
      <c r="S5" s="808"/>
      <c r="T5" s="387"/>
      <c r="U5" s="387"/>
      <c r="V5" s="387"/>
      <c r="W5" s="387"/>
      <c r="X5" s="387"/>
      <c r="Y5" s="387"/>
      <c r="Z5" s="387"/>
      <c r="AA5" s="386"/>
      <c r="AB5" s="381"/>
    </row>
    <row r="6" spans="1:28" ht="12" customHeight="1">
      <c r="A6" s="803"/>
      <c r="B6" s="804"/>
      <c r="C6" s="809" t="s">
        <v>64</v>
      </c>
      <c r="D6" s="811" t="s">
        <v>648</v>
      </c>
      <c r="E6" s="811"/>
      <c r="F6" s="811"/>
      <c r="G6" s="811"/>
      <c r="H6" s="811" t="s">
        <v>647</v>
      </c>
      <c r="I6" s="811"/>
      <c r="J6" s="811"/>
      <c r="K6" s="811"/>
      <c r="L6" s="384"/>
      <c r="M6" s="812" t="s">
        <v>646</v>
      </c>
      <c r="N6" s="812"/>
      <c r="O6" s="812"/>
      <c r="P6" s="812"/>
      <c r="Q6" s="812"/>
      <c r="R6" s="812"/>
      <c r="S6" s="792"/>
      <c r="T6" s="385"/>
      <c r="U6" s="800" t="s">
        <v>645</v>
      </c>
      <c r="V6" s="800"/>
      <c r="W6" s="800"/>
      <c r="X6" s="800"/>
      <c r="Y6" s="800"/>
      <c r="Z6" s="800"/>
      <c r="AA6" s="793"/>
      <c r="AB6" s="384"/>
    </row>
    <row r="7" spans="1:28" ht="25.5">
      <c r="A7" s="805"/>
      <c r="B7" s="806"/>
      <c r="C7" s="810"/>
      <c r="D7" s="383"/>
      <c r="E7" s="361" t="s">
        <v>436</v>
      </c>
      <c r="F7" s="361" t="s">
        <v>643</v>
      </c>
      <c r="G7" s="363" t="s">
        <v>644</v>
      </c>
      <c r="H7" s="365"/>
      <c r="I7" s="361" t="s">
        <v>436</v>
      </c>
      <c r="J7" s="361" t="s">
        <v>643</v>
      </c>
      <c r="K7" s="363" t="s">
        <v>644</v>
      </c>
      <c r="L7" s="382"/>
      <c r="M7" s="361" t="s">
        <v>436</v>
      </c>
      <c r="N7" s="361" t="s">
        <v>643</v>
      </c>
      <c r="O7" s="361" t="s">
        <v>642</v>
      </c>
      <c r="P7" s="361" t="s">
        <v>641</v>
      </c>
      <c r="Q7" s="361" t="s">
        <v>640</v>
      </c>
      <c r="R7" s="361" t="s">
        <v>639</v>
      </c>
      <c r="S7" s="361" t="s">
        <v>638</v>
      </c>
      <c r="T7" s="382"/>
      <c r="U7" s="361" t="s">
        <v>436</v>
      </c>
      <c r="V7" s="361" t="s">
        <v>643</v>
      </c>
      <c r="W7" s="361" t="s">
        <v>642</v>
      </c>
      <c r="X7" s="361" t="s">
        <v>641</v>
      </c>
      <c r="Y7" s="361" t="s">
        <v>640</v>
      </c>
      <c r="Z7" s="361" t="s">
        <v>639</v>
      </c>
      <c r="AA7" s="361" t="s">
        <v>638</v>
      </c>
      <c r="AB7" s="381"/>
    </row>
    <row r="8" spans="1:28">
      <c r="A8" s="380">
        <v>1</v>
      </c>
      <c r="B8" s="357" t="s">
        <v>437</v>
      </c>
      <c r="C8" s="676">
        <v>1173337976.6898794</v>
      </c>
      <c r="D8" s="674">
        <v>972003934.9015646</v>
      </c>
      <c r="E8" s="674">
        <v>22873384.366733789</v>
      </c>
      <c r="F8" s="674">
        <v>0</v>
      </c>
      <c r="G8" s="674">
        <v>0</v>
      </c>
      <c r="H8" s="674">
        <v>115016115.17084023</v>
      </c>
      <c r="I8" s="674">
        <v>8280783.9242218928</v>
      </c>
      <c r="J8" s="674">
        <v>7573854.0375147639</v>
      </c>
      <c r="K8" s="674">
        <v>0</v>
      </c>
      <c r="L8" s="674">
        <v>85340543.000688076</v>
      </c>
      <c r="M8" s="674">
        <v>2552222.3078780002</v>
      </c>
      <c r="N8" s="674">
        <v>862433.92762799992</v>
      </c>
      <c r="O8" s="674">
        <v>6969067.7265751641</v>
      </c>
      <c r="P8" s="674">
        <v>13306719.941737864</v>
      </c>
      <c r="Q8" s="674">
        <v>1975664.269755166</v>
      </c>
      <c r="R8" s="674">
        <v>34822788.986622661</v>
      </c>
      <c r="S8" s="674">
        <v>11274203.072673999</v>
      </c>
      <c r="T8" s="674">
        <v>977383.61678599997</v>
      </c>
      <c r="U8" s="674">
        <v>0</v>
      </c>
      <c r="V8" s="674">
        <v>0</v>
      </c>
      <c r="W8" s="674">
        <v>0</v>
      </c>
      <c r="X8" s="674">
        <v>465439.145876</v>
      </c>
      <c r="Y8" s="674">
        <v>0</v>
      </c>
      <c r="Z8" s="674">
        <v>0</v>
      </c>
      <c r="AA8" s="674">
        <v>0</v>
      </c>
    </row>
    <row r="9" spans="1:28">
      <c r="A9" s="353">
        <v>1.1000000000000001</v>
      </c>
      <c r="B9" s="373" t="s">
        <v>438</v>
      </c>
      <c r="C9" s="679">
        <v>0</v>
      </c>
      <c r="D9" s="674">
        <v>0</v>
      </c>
      <c r="E9" s="674">
        <v>0</v>
      </c>
      <c r="F9" s="674">
        <v>0</v>
      </c>
      <c r="G9" s="674">
        <v>0</v>
      </c>
      <c r="H9" s="674">
        <v>0</v>
      </c>
      <c r="I9" s="674">
        <v>0</v>
      </c>
      <c r="J9" s="674">
        <v>0</v>
      </c>
      <c r="K9" s="674">
        <v>0</v>
      </c>
      <c r="L9" s="674">
        <v>0</v>
      </c>
      <c r="M9" s="674">
        <v>0</v>
      </c>
      <c r="N9" s="674">
        <v>0</v>
      </c>
      <c r="O9" s="674">
        <v>0</v>
      </c>
      <c r="P9" s="674">
        <v>0</v>
      </c>
      <c r="Q9" s="674">
        <v>0</v>
      </c>
      <c r="R9" s="674">
        <v>0</v>
      </c>
      <c r="S9" s="674">
        <v>0</v>
      </c>
      <c r="T9" s="674">
        <v>0</v>
      </c>
      <c r="U9" s="674">
        <v>0</v>
      </c>
      <c r="V9" s="674">
        <v>0</v>
      </c>
      <c r="W9" s="674">
        <v>0</v>
      </c>
      <c r="X9" s="674">
        <v>0</v>
      </c>
      <c r="Y9" s="674">
        <v>0</v>
      </c>
      <c r="Z9" s="674">
        <v>0</v>
      </c>
      <c r="AA9" s="674">
        <v>0</v>
      </c>
    </row>
    <row r="10" spans="1:28">
      <c r="A10" s="353">
        <v>1.2</v>
      </c>
      <c r="B10" s="373" t="s">
        <v>439</v>
      </c>
      <c r="C10" s="679">
        <v>0</v>
      </c>
      <c r="D10" s="674">
        <v>0</v>
      </c>
      <c r="E10" s="674">
        <v>0</v>
      </c>
      <c r="F10" s="674">
        <v>0</v>
      </c>
      <c r="G10" s="674">
        <v>0</v>
      </c>
      <c r="H10" s="674">
        <v>0</v>
      </c>
      <c r="I10" s="674">
        <v>0</v>
      </c>
      <c r="J10" s="674">
        <v>0</v>
      </c>
      <c r="K10" s="674">
        <v>0</v>
      </c>
      <c r="L10" s="674">
        <v>0</v>
      </c>
      <c r="M10" s="674">
        <v>0</v>
      </c>
      <c r="N10" s="674">
        <v>0</v>
      </c>
      <c r="O10" s="674">
        <v>0</v>
      </c>
      <c r="P10" s="674">
        <v>0</v>
      </c>
      <c r="Q10" s="674">
        <v>0</v>
      </c>
      <c r="R10" s="674">
        <v>0</v>
      </c>
      <c r="S10" s="674">
        <v>0</v>
      </c>
      <c r="T10" s="674">
        <v>0</v>
      </c>
      <c r="U10" s="674">
        <v>0</v>
      </c>
      <c r="V10" s="674">
        <v>0</v>
      </c>
      <c r="W10" s="674">
        <v>0</v>
      </c>
      <c r="X10" s="674">
        <v>0</v>
      </c>
      <c r="Y10" s="674">
        <v>0</v>
      </c>
      <c r="Z10" s="674">
        <v>0</v>
      </c>
      <c r="AA10" s="674">
        <v>0</v>
      </c>
    </row>
    <row r="11" spans="1:28">
      <c r="A11" s="353">
        <v>1.3</v>
      </c>
      <c r="B11" s="373" t="s">
        <v>440</v>
      </c>
      <c r="C11" s="679">
        <v>0</v>
      </c>
      <c r="D11" s="674">
        <v>0</v>
      </c>
      <c r="E11" s="674">
        <v>0</v>
      </c>
      <c r="F11" s="674">
        <v>0</v>
      </c>
      <c r="G11" s="674">
        <v>0</v>
      </c>
      <c r="H11" s="674">
        <v>0</v>
      </c>
      <c r="I11" s="674">
        <v>0</v>
      </c>
      <c r="J11" s="674">
        <v>0</v>
      </c>
      <c r="K11" s="674">
        <v>0</v>
      </c>
      <c r="L11" s="674">
        <v>0</v>
      </c>
      <c r="M11" s="674">
        <v>0</v>
      </c>
      <c r="N11" s="674">
        <v>0</v>
      </c>
      <c r="O11" s="674">
        <v>0</v>
      </c>
      <c r="P11" s="674">
        <v>0</v>
      </c>
      <c r="Q11" s="674">
        <v>0</v>
      </c>
      <c r="R11" s="674">
        <v>0</v>
      </c>
      <c r="S11" s="674">
        <v>0</v>
      </c>
      <c r="T11" s="674">
        <v>0</v>
      </c>
      <c r="U11" s="674">
        <v>0</v>
      </c>
      <c r="V11" s="674">
        <v>0</v>
      </c>
      <c r="W11" s="674">
        <v>0</v>
      </c>
      <c r="X11" s="674">
        <v>0</v>
      </c>
      <c r="Y11" s="674">
        <v>0</v>
      </c>
      <c r="Z11" s="674">
        <v>0</v>
      </c>
      <c r="AA11" s="674">
        <v>0</v>
      </c>
    </row>
    <row r="12" spans="1:28">
      <c r="A12" s="353">
        <v>1.4</v>
      </c>
      <c r="B12" s="373" t="s">
        <v>441</v>
      </c>
      <c r="C12" s="679">
        <v>12614453.430000002</v>
      </c>
      <c r="D12" s="674">
        <v>12614453.430000002</v>
      </c>
      <c r="E12" s="674">
        <v>0</v>
      </c>
      <c r="F12" s="674">
        <v>0</v>
      </c>
      <c r="G12" s="674">
        <v>0</v>
      </c>
      <c r="H12" s="674">
        <v>0</v>
      </c>
      <c r="I12" s="674">
        <v>0</v>
      </c>
      <c r="J12" s="674">
        <v>0</v>
      </c>
      <c r="K12" s="674">
        <v>0</v>
      </c>
      <c r="L12" s="674">
        <v>0</v>
      </c>
      <c r="M12" s="674">
        <v>0</v>
      </c>
      <c r="N12" s="674">
        <v>0</v>
      </c>
      <c r="O12" s="674">
        <v>0</v>
      </c>
      <c r="P12" s="674">
        <v>0</v>
      </c>
      <c r="Q12" s="674">
        <v>0</v>
      </c>
      <c r="R12" s="674">
        <v>0</v>
      </c>
      <c r="S12" s="674">
        <v>0</v>
      </c>
      <c r="T12" s="674">
        <v>0</v>
      </c>
      <c r="U12" s="674">
        <v>0</v>
      </c>
      <c r="V12" s="674">
        <v>0</v>
      </c>
      <c r="W12" s="674">
        <v>0</v>
      </c>
      <c r="X12" s="674">
        <v>0</v>
      </c>
      <c r="Y12" s="674">
        <v>0</v>
      </c>
      <c r="Z12" s="674">
        <v>0</v>
      </c>
      <c r="AA12" s="674">
        <v>0</v>
      </c>
    </row>
    <row r="13" spans="1:28">
      <c r="A13" s="353">
        <v>1.5</v>
      </c>
      <c r="B13" s="373" t="s">
        <v>442</v>
      </c>
      <c r="C13" s="679">
        <v>1037551494.319886</v>
      </c>
      <c r="D13" s="674">
        <v>845726695.13758373</v>
      </c>
      <c r="E13" s="674">
        <v>18874188.192799788</v>
      </c>
      <c r="F13" s="674">
        <v>0</v>
      </c>
      <c r="G13" s="674">
        <v>0</v>
      </c>
      <c r="H13" s="674">
        <v>112338962.37462337</v>
      </c>
      <c r="I13" s="674">
        <v>8280783.9242218928</v>
      </c>
      <c r="J13" s="674">
        <v>7573854.0375147639</v>
      </c>
      <c r="K13" s="674">
        <v>0</v>
      </c>
      <c r="L13" s="674">
        <v>78508453.190892428</v>
      </c>
      <c r="M13" s="674">
        <v>873160.5324660003</v>
      </c>
      <c r="N13" s="674">
        <v>784953.44415799994</v>
      </c>
      <c r="O13" s="674">
        <v>4486132.2959723584</v>
      </c>
      <c r="P13" s="674">
        <v>13194075.243137864</v>
      </c>
      <c r="Q13" s="674">
        <v>1810457.0852551661</v>
      </c>
      <c r="R13" s="674">
        <v>34194206.375618659</v>
      </c>
      <c r="S13" s="674">
        <v>10992648.142131999</v>
      </c>
      <c r="T13" s="674">
        <v>977383.61678599997</v>
      </c>
      <c r="U13" s="674">
        <v>0</v>
      </c>
      <c r="V13" s="674">
        <v>0</v>
      </c>
      <c r="W13" s="674">
        <v>0</v>
      </c>
      <c r="X13" s="674">
        <v>465439.145876</v>
      </c>
      <c r="Y13" s="674">
        <v>0</v>
      </c>
      <c r="Z13" s="674">
        <v>0</v>
      </c>
      <c r="AA13" s="674">
        <v>0</v>
      </c>
    </row>
    <row r="14" spans="1:28">
      <c r="A14" s="353">
        <v>1.6</v>
      </c>
      <c r="B14" s="373" t="s">
        <v>443</v>
      </c>
      <c r="C14" s="679">
        <v>123172028.93999353</v>
      </c>
      <c r="D14" s="674">
        <v>113662786.33398092</v>
      </c>
      <c r="E14" s="674">
        <v>3999196.1739339996</v>
      </c>
      <c r="F14" s="674">
        <v>0</v>
      </c>
      <c r="G14" s="674">
        <v>0</v>
      </c>
      <c r="H14" s="674">
        <v>2677152.7962168595</v>
      </c>
      <c r="I14" s="674">
        <v>0</v>
      </c>
      <c r="J14" s="674">
        <v>0</v>
      </c>
      <c r="K14" s="674">
        <v>0</v>
      </c>
      <c r="L14" s="674">
        <v>6832089.8097956479</v>
      </c>
      <c r="M14" s="674">
        <v>1679061.775412</v>
      </c>
      <c r="N14" s="674">
        <v>77480.483469999977</v>
      </c>
      <c r="O14" s="674">
        <v>2482935.4306028062</v>
      </c>
      <c r="P14" s="674">
        <v>112644.69859999993</v>
      </c>
      <c r="Q14" s="674">
        <v>165207.18449999997</v>
      </c>
      <c r="R14" s="674">
        <v>628582.61100399983</v>
      </c>
      <c r="S14" s="674">
        <v>281554.93054199993</v>
      </c>
      <c r="T14" s="674">
        <v>0</v>
      </c>
      <c r="U14" s="674">
        <v>0</v>
      </c>
      <c r="V14" s="674">
        <v>0</v>
      </c>
      <c r="W14" s="674">
        <v>0</v>
      </c>
      <c r="X14" s="674">
        <v>0</v>
      </c>
      <c r="Y14" s="674">
        <v>0</v>
      </c>
      <c r="Z14" s="674">
        <v>0</v>
      </c>
      <c r="AA14" s="674">
        <v>0</v>
      </c>
    </row>
    <row r="15" spans="1:28">
      <c r="A15" s="380">
        <v>2</v>
      </c>
      <c r="B15" s="357" t="s">
        <v>444</v>
      </c>
      <c r="C15" s="676">
        <v>76680918.230000004</v>
      </c>
      <c r="D15" s="674">
        <v>76680918.230000004</v>
      </c>
      <c r="E15" s="674">
        <v>0</v>
      </c>
      <c r="F15" s="674">
        <v>0</v>
      </c>
      <c r="G15" s="674">
        <v>0</v>
      </c>
      <c r="H15" s="674">
        <v>0</v>
      </c>
      <c r="I15" s="674">
        <v>0</v>
      </c>
      <c r="J15" s="674">
        <v>0</v>
      </c>
      <c r="K15" s="674">
        <v>0</v>
      </c>
      <c r="L15" s="674">
        <v>0</v>
      </c>
      <c r="M15" s="674">
        <v>0</v>
      </c>
      <c r="N15" s="674">
        <v>0</v>
      </c>
      <c r="O15" s="674">
        <v>0</v>
      </c>
      <c r="P15" s="674">
        <v>0</v>
      </c>
      <c r="Q15" s="674">
        <v>0</v>
      </c>
      <c r="R15" s="674">
        <v>0</v>
      </c>
      <c r="S15" s="674">
        <v>0</v>
      </c>
      <c r="T15" s="674">
        <v>0</v>
      </c>
      <c r="U15" s="674">
        <v>0</v>
      </c>
      <c r="V15" s="674">
        <v>0</v>
      </c>
      <c r="W15" s="674">
        <v>0</v>
      </c>
      <c r="X15" s="674">
        <v>0</v>
      </c>
      <c r="Y15" s="674">
        <v>0</v>
      </c>
      <c r="Z15" s="674">
        <v>0</v>
      </c>
      <c r="AA15" s="674">
        <v>0</v>
      </c>
    </row>
    <row r="16" spans="1:28">
      <c r="A16" s="353">
        <v>2.1</v>
      </c>
      <c r="B16" s="373" t="s">
        <v>438</v>
      </c>
      <c r="C16" s="679">
        <v>0</v>
      </c>
      <c r="D16" s="674">
        <v>0</v>
      </c>
      <c r="E16" s="674">
        <v>0</v>
      </c>
      <c r="F16" s="674">
        <v>0</v>
      </c>
      <c r="G16" s="674">
        <v>0</v>
      </c>
      <c r="H16" s="674">
        <v>0</v>
      </c>
      <c r="I16" s="674">
        <v>0</v>
      </c>
      <c r="J16" s="674">
        <v>0</v>
      </c>
      <c r="K16" s="674">
        <v>0</v>
      </c>
      <c r="L16" s="674">
        <v>0</v>
      </c>
      <c r="M16" s="674">
        <v>0</v>
      </c>
      <c r="N16" s="674">
        <v>0</v>
      </c>
      <c r="O16" s="674">
        <v>0</v>
      </c>
      <c r="P16" s="674">
        <v>0</v>
      </c>
      <c r="Q16" s="674">
        <v>0</v>
      </c>
      <c r="R16" s="674">
        <v>0</v>
      </c>
      <c r="S16" s="674">
        <v>0</v>
      </c>
      <c r="T16" s="674">
        <v>0</v>
      </c>
      <c r="U16" s="674">
        <v>0</v>
      </c>
      <c r="V16" s="674">
        <v>0</v>
      </c>
      <c r="W16" s="674">
        <v>0</v>
      </c>
      <c r="X16" s="674">
        <v>0</v>
      </c>
      <c r="Y16" s="674">
        <v>0</v>
      </c>
      <c r="Z16" s="674">
        <v>0</v>
      </c>
      <c r="AA16" s="674">
        <v>0</v>
      </c>
    </row>
    <row r="17" spans="1:27">
      <c r="A17" s="353">
        <v>2.2000000000000002</v>
      </c>
      <c r="B17" s="373" t="s">
        <v>439</v>
      </c>
      <c r="C17" s="679">
        <v>21445453.989999998</v>
      </c>
      <c r="D17" s="674">
        <v>21445453.989999998</v>
      </c>
      <c r="E17" s="674">
        <v>0</v>
      </c>
      <c r="F17" s="674">
        <v>0</v>
      </c>
      <c r="G17" s="674">
        <v>0</v>
      </c>
      <c r="H17" s="674">
        <v>0</v>
      </c>
      <c r="I17" s="674">
        <v>0</v>
      </c>
      <c r="J17" s="674">
        <v>0</v>
      </c>
      <c r="K17" s="674">
        <v>0</v>
      </c>
      <c r="L17" s="674">
        <v>0</v>
      </c>
      <c r="M17" s="674">
        <v>0</v>
      </c>
      <c r="N17" s="674">
        <v>0</v>
      </c>
      <c r="O17" s="674">
        <v>0</v>
      </c>
      <c r="P17" s="674">
        <v>0</v>
      </c>
      <c r="Q17" s="674">
        <v>0</v>
      </c>
      <c r="R17" s="674">
        <v>0</v>
      </c>
      <c r="S17" s="674">
        <v>0</v>
      </c>
      <c r="T17" s="674">
        <v>0</v>
      </c>
      <c r="U17" s="674">
        <v>0</v>
      </c>
      <c r="V17" s="674">
        <v>0</v>
      </c>
      <c r="W17" s="674">
        <v>0</v>
      </c>
      <c r="X17" s="674">
        <v>0</v>
      </c>
      <c r="Y17" s="674">
        <v>0</v>
      </c>
      <c r="Z17" s="674">
        <v>0</v>
      </c>
      <c r="AA17" s="674">
        <v>0</v>
      </c>
    </row>
    <row r="18" spans="1:27">
      <c r="A18" s="353">
        <v>2.2999999999999998</v>
      </c>
      <c r="B18" s="373" t="s">
        <v>440</v>
      </c>
      <c r="C18" s="679">
        <v>0</v>
      </c>
      <c r="D18" s="674">
        <v>0</v>
      </c>
      <c r="E18" s="674">
        <v>0</v>
      </c>
      <c r="F18" s="674">
        <v>0</v>
      </c>
      <c r="G18" s="674">
        <v>0</v>
      </c>
      <c r="H18" s="674">
        <v>0</v>
      </c>
      <c r="I18" s="674">
        <v>0</v>
      </c>
      <c r="J18" s="674">
        <v>0</v>
      </c>
      <c r="K18" s="674">
        <v>0</v>
      </c>
      <c r="L18" s="674">
        <v>0</v>
      </c>
      <c r="M18" s="674">
        <v>0</v>
      </c>
      <c r="N18" s="674">
        <v>0</v>
      </c>
      <c r="O18" s="674">
        <v>0</v>
      </c>
      <c r="P18" s="674">
        <v>0</v>
      </c>
      <c r="Q18" s="674">
        <v>0</v>
      </c>
      <c r="R18" s="674">
        <v>0</v>
      </c>
      <c r="S18" s="674">
        <v>0</v>
      </c>
      <c r="T18" s="674">
        <v>0</v>
      </c>
      <c r="U18" s="674">
        <v>0</v>
      </c>
      <c r="V18" s="674">
        <v>0</v>
      </c>
      <c r="W18" s="674">
        <v>0</v>
      </c>
      <c r="X18" s="674">
        <v>0</v>
      </c>
      <c r="Y18" s="674">
        <v>0</v>
      </c>
      <c r="Z18" s="674">
        <v>0</v>
      </c>
      <c r="AA18" s="674">
        <v>0</v>
      </c>
    </row>
    <row r="19" spans="1:27">
      <c r="A19" s="353">
        <v>2.4</v>
      </c>
      <c r="B19" s="373" t="s">
        <v>441</v>
      </c>
      <c r="C19" s="679">
        <v>27074888.18</v>
      </c>
      <c r="D19" s="674">
        <v>27074888.18</v>
      </c>
      <c r="E19" s="674">
        <v>0</v>
      </c>
      <c r="F19" s="674">
        <v>0</v>
      </c>
      <c r="G19" s="674">
        <v>0</v>
      </c>
      <c r="H19" s="674">
        <v>0</v>
      </c>
      <c r="I19" s="674">
        <v>0</v>
      </c>
      <c r="J19" s="674">
        <v>0</v>
      </c>
      <c r="K19" s="674">
        <v>0</v>
      </c>
      <c r="L19" s="674">
        <v>0</v>
      </c>
      <c r="M19" s="674">
        <v>0</v>
      </c>
      <c r="N19" s="674">
        <v>0</v>
      </c>
      <c r="O19" s="674">
        <v>0</v>
      </c>
      <c r="P19" s="674">
        <v>0</v>
      </c>
      <c r="Q19" s="674">
        <v>0</v>
      </c>
      <c r="R19" s="674">
        <v>0</v>
      </c>
      <c r="S19" s="674">
        <v>0</v>
      </c>
      <c r="T19" s="674">
        <v>0</v>
      </c>
      <c r="U19" s="674">
        <v>0</v>
      </c>
      <c r="V19" s="674">
        <v>0</v>
      </c>
      <c r="W19" s="674">
        <v>0</v>
      </c>
      <c r="X19" s="674">
        <v>0</v>
      </c>
      <c r="Y19" s="674">
        <v>0</v>
      </c>
      <c r="Z19" s="674">
        <v>0</v>
      </c>
      <c r="AA19" s="674">
        <v>0</v>
      </c>
    </row>
    <row r="20" spans="1:27">
      <c r="A20" s="353">
        <v>2.5</v>
      </c>
      <c r="B20" s="373" t="s">
        <v>442</v>
      </c>
      <c r="C20" s="679">
        <v>28160576.060000002</v>
      </c>
      <c r="D20" s="674">
        <v>28160576.060000002</v>
      </c>
      <c r="E20" s="674">
        <v>0</v>
      </c>
      <c r="F20" s="674">
        <v>0</v>
      </c>
      <c r="G20" s="674">
        <v>0</v>
      </c>
      <c r="H20" s="674">
        <v>0</v>
      </c>
      <c r="I20" s="674">
        <v>0</v>
      </c>
      <c r="J20" s="674">
        <v>0</v>
      </c>
      <c r="K20" s="674">
        <v>0</v>
      </c>
      <c r="L20" s="674">
        <v>0</v>
      </c>
      <c r="M20" s="674">
        <v>0</v>
      </c>
      <c r="N20" s="674">
        <v>0</v>
      </c>
      <c r="O20" s="674">
        <v>0</v>
      </c>
      <c r="P20" s="674">
        <v>0</v>
      </c>
      <c r="Q20" s="674">
        <v>0</v>
      </c>
      <c r="R20" s="674">
        <v>0</v>
      </c>
      <c r="S20" s="674">
        <v>0</v>
      </c>
      <c r="T20" s="674">
        <v>0</v>
      </c>
      <c r="U20" s="674">
        <v>0</v>
      </c>
      <c r="V20" s="674">
        <v>0</v>
      </c>
      <c r="W20" s="674">
        <v>0</v>
      </c>
      <c r="X20" s="674">
        <v>0</v>
      </c>
      <c r="Y20" s="674">
        <v>0</v>
      </c>
      <c r="Z20" s="674">
        <v>0</v>
      </c>
      <c r="AA20" s="674">
        <v>0</v>
      </c>
    </row>
    <row r="21" spans="1:27">
      <c r="A21" s="353">
        <v>2.6</v>
      </c>
      <c r="B21" s="373" t="s">
        <v>443</v>
      </c>
      <c r="C21" s="679">
        <v>0</v>
      </c>
      <c r="D21" s="674">
        <v>0</v>
      </c>
      <c r="E21" s="674">
        <v>0</v>
      </c>
      <c r="F21" s="674">
        <v>0</v>
      </c>
      <c r="G21" s="674">
        <v>0</v>
      </c>
      <c r="H21" s="674">
        <v>0</v>
      </c>
      <c r="I21" s="674">
        <v>0</v>
      </c>
      <c r="J21" s="674">
        <v>0</v>
      </c>
      <c r="K21" s="674">
        <v>0</v>
      </c>
      <c r="L21" s="674">
        <v>0</v>
      </c>
      <c r="M21" s="674">
        <v>0</v>
      </c>
      <c r="N21" s="674">
        <v>0</v>
      </c>
      <c r="O21" s="674">
        <v>0</v>
      </c>
      <c r="P21" s="674">
        <v>0</v>
      </c>
      <c r="Q21" s="674">
        <v>0</v>
      </c>
      <c r="R21" s="674">
        <v>0</v>
      </c>
      <c r="S21" s="674">
        <v>0</v>
      </c>
      <c r="T21" s="674">
        <v>0</v>
      </c>
      <c r="U21" s="674">
        <v>0</v>
      </c>
      <c r="V21" s="674">
        <v>0</v>
      </c>
      <c r="W21" s="674">
        <v>0</v>
      </c>
      <c r="X21" s="674">
        <v>0</v>
      </c>
      <c r="Y21" s="674">
        <v>0</v>
      </c>
      <c r="Z21" s="674">
        <v>0</v>
      </c>
      <c r="AA21" s="674">
        <v>0</v>
      </c>
    </row>
    <row r="22" spans="1:27" s="678" customFormat="1">
      <c r="A22" s="353">
        <v>3</v>
      </c>
      <c r="B22" s="676" t="s">
        <v>484</v>
      </c>
      <c r="C22" s="676">
        <v>207648084.23930004</v>
      </c>
      <c r="D22" s="676">
        <v>204654387.34360006</v>
      </c>
      <c r="E22" s="680"/>
      <c r="F22" s="680"/>
      <c r="G22" s="680"/>
      <c r="H22" s="676">
        <v>2991357.5243999995</v>
      </c>
      <c r="I22" s="680"/>
      <c r="J22" s="680"/>
      <c r="K22" s="680"/>
      <c r="L22" s="676">
        <v>2339.3713000000034</v>
      </c>
      <c r="M22" s="680"/>
      <c r="N22" s="680"/>
      <c r="O22" s="680"/>
      <c r="P22" s="680"/>
      <c r="Q22" s="680"/>
      <c r="R22" s="680"/>
      <c r="S22" s="680"/>
      <c r="T22" s="676">
        <v>0</v>
      </c>
      <c r="U22" s="680"/>
      <c r="V22" s="680"/>
      <c r="W22" s="680"/>
      <c r="X22" s="680"/>
      <c r="Y22" s="680"/>
      <c r="Z22" s="680"/>
      <c r="AA22" s="680"/>
    </row>
    <row r="23" spans="1:27" s="678" customFormat="1">
      <c r="A23" s="353">
        <v>3.1</v>
      </c>
      <c r="B23" s="679" t="s">
        <v>438</v>
      </c>
      <c r="C23" s="679">
        <v>0</v>
      </c>
      <c r="D23" s="676">
        <v>0</v>
      </c>
      <c r="E23" s="680"/>
      <c r="F23" s="680"/>
      <c r="G23" s="680"/>
      <c r="H23" s="676">
        <v>0</v>
      </c>
      <c r="I23" s="680"/>
      <c r="J23" s="680"/>
      <c r="K23" s="680"/>
      <c r="L23" s="676">
        <v>0</v>
      </c>
      <c r="M23" s="680"/>
      <c r="N23" s="680"/>
      <c r="O23" s="680"/>
      <c r="P23" s="680"/>
      <c r="Q23" s="680"/>
      <c r="R23" s="680"/>
      <c r="S23" s="680"/>
      <c r="T23" s="676">
        <v>0</v>
      </c>
      <c r="U23" s="680"/>
      <c r="V23" s="680"/>
      <c r="W23" s="680"/>
      <c r="X23" s="680"/>
      <c r="Y23" s="680"/>
      <c r="Z23" s="680"/>
      <c r="AA23" s="680"/>
    </row>
    <row r="24" spans="1:27" s="678" customFormat="1">
      <c r="A24" s="353">
        <v>3.2</v>
      </c>
      <c r="B24" s="679" t="s">
        <v>439</v>
      </c>
      <c r="C24" s="679">
        <v>0</v>
      </c>
      <c r="D24" s="676">
        <v>0</v>
      </c>
      <c r="E24" s="680"/>
      <c r="F24" s="680"/>
      <c r="G24" s="680"/>
      <c r="H24" s="676">
        <v>0</v>
      </c>
      <c r="I24" s="680"/>
      <c r="J24" s="680"/>
      <c r="K24" s="680"/>
      <c r="L24" s="676">
        <v>0</v>
      </c>
      <c r="M24" s="680"/>
      <c r="N24" s="680"/>
      <c r="O24" s="680"/>
      <c r="P24" s="680"/>
      <c r="Q24" s="680"/>
      <c r="R24" s="680"/>
      <c r="S24" s="680"/>
      <c r="T24" s="676">
        <v>0</v>
      </c>
      <c r="U24" s="680"/>
      <c r="V24" s="680"/>
      <c r="W24" s="680"/>
      <c r="X24" s="680"/>
      <c r="Y24" s="680"/>
      <c r="Z24" s="680"/>
      <c r="AA24" s="680"/>
    </row>
    <row r="25" spans="1:27" s="678" customFormat="1">
      <c r="A25" s="353">
        <v>3.3</v>
      </c>
      <c r="B25" s="679" t="s">
        <v>440</v>
      </c>
      <c r="C25" s="679">
        <v>0</v>
      </c>
      <c r="D25" s="676">
        <v>0</v>
      </c>
      <c r="E25" s="680"/>
      <c r="F25" s="680"/>
      <c r="G25" s="680"/>
      <c r="H25" s="676">
        <v>0</v>
      </c>
      <c r="I25" s="680"/>
      <c r="J25" s="680"/>
      <c r="K25" s="680"/>
      <c r="L25" s="676">
        <v>0</v>
      </c>
      <c r="M25" s="680"/>
      <c r="N25" s="680"/>
      <c r="O25" s="680"/>
      <c r="P25" s="680"/>
      <c r="Q25" s="680"/>
      <c r="R25" s="680"/>
      <c r="S25" s="680"/>
      <c r="T25" s="676">
        <v>0</v>
      </c>
      <c r="U25" s="680"/>
      <c r="V25" s="680"/>
      <c r="W25" s="680"/>
      <c r="X25" s="680"/>
      <c r="Y25" s="680"/>
      <c r="Z25" s="680"/>
      <c r="AA25" s="680"/>
    </row>
    <row r="26" spans="1:27" s="678" customFormat="1">
      <c r="A26" s="353">
        <v>3.4</v>
      </c>
      <c r="B26" s="679" t="s">
        <v>441</v>
      </c>
      <c r="C26" s="679">
        <v>2431836.54</v>
      </c>
      <c r="D26" s="674">
        <v>2431836.54</v>
      </c>
      <c r="E26" s="680"/>
      <c r="F26" s="680"/>
      <c r="G26" s="680"/>
      <c r="H26" s="674">
        <v>0</v>
      </c>
      <c r="I26" s="680"/>
      <c r="J26" s="680"/>
      <c r="K26" s="680"/>
      <c r="L26" s="674">
        <v>0</v>
      </c>
      <c r="M26" s="680"/>
      <c r="N26" s="680"/>
      <c r="O26" s="680"/>
      <c r="P26" s="680"/>
      <c r="Q26" s="680"/>
      <c r="R26" s="680"/>
      <c r="S26" s="680"/>
      <c r="T26" s="674">
        <v>0</v>
      </c>
      <c r="U26" s="680"/>
      <c r="V26" s="680"/>
      <c r="W26" s="680"/>
      <c r="X26" s="680"/>
      <c r="Y26" s="680"/>
      <c r="Z26" s="680"/>
      <c r="AA26" s="680"/>
    </row>
    <row r="27" spans="1:27" s="678" customFormat="1">
      <c r="A27" s="353">
        <v>3.5</v>
      </c>
      <c r="B27" s="679" t="s">
        <v>442</v>
      </c>
      <c r="C27" s="679">
        <v>201394820.24670005</v>
      </c>
      <c r="D27" s="674">
        <v>198403465.54120007</v>
      </c>
      <c r="E27" s="680"/>
      <c r="F27" s="680"/>
      <c r="G27" s="680"/>
      <c r="H27" s="674">
        <v>2991354.7041999996</v>
      </c>
      <c r="I27" s="680"/>
      <c r="J27" s="680"/>
      <c r="K27" s="680"/>
      <c r="L27" s="674">
        <v>1.3000000035390258E-3</v>
      </c>
      <c r="M27" s="680"/>
      <c r="N27" s="680"/>
      <c r="O27" s="680"/>
      <c r="P27" s="680"/>
      <c r="Q27" s="680"/>
      <c r="R27" s="680"/>
      <c r="S27" s="680"/>
      <c r="T27" s="674">
        <v>0</v>
      </c>
      <c r="U27" s="680"/>
      <c r="V27" s="680"/>
      <c r="W27" s="680"/>
      <c r="X27" s="680"/>
      <c r="Y27" s="680"/>
      <c r="Z27" s="680"/>
      <c r="AA27" s="680"/>
    </row>
    <row r="28" spans="1:27" s="678" customFormat="1">
      <c r="A28" s="353">
        <v>3.6</v>
      </c>
      <c r="B28" s="679" t="s">
        <v>443</v>
      </c>
      <c r="C28" s="679">
        <v>3821427.4525999995</v>
      </c>
      <c r="D28" s="674">
        <v>3819085.2623999994</v>
      </c>
      <c r="E28" s="680"/>
      <c r="F28" s="680"/>
      <c r="G28" s="680"/>
      <c r="H28" s="674">
        <v>2.8201999999895691</v>
      </c>
      <c r="I28" s="680"/>
      <c r="J28" s="680"/>
      <c r="K28" s="680"/>
      <c r="L28" s="674">
        <v>2339.37</v>
      </c>
      <c r="M28" s="680"/>
      <c r="N28" s="680"/>
      <c r="O28" s="680"/>
      <c r="P28" s="680"/>
      <c r="Q28" s="680"/>
      <c r="R28" s="680"/>
      <c r="S28" s="680"/>
      <c r="T28" s="674">
        <v>0</v>
      </c>
      <c r="U28" s="680"/>
      <c r="V28" s="680"/>
      <c r="W28" s="680"/>
      <c r="X28" s="680"/>
      <c r="Y28" s="680"/>
      <c r="Z28" s="680"/>
      <c r="AA28" s="680"/>
    </row>
    <row r="32" spans="1:27">
      <c r="C32" s="678"/>
      <c r="D32" s="678"/>
      <c r="E32" s="678"/>
      <c r="F32" s="678"/>
      <c r="G32" s="678"/>
      <c r="H32" s="678"/>
      <c r="I32" s="678"/>
      <c r="J32" s="678"/>
      <c r="K32" s="678"/>
      <c r="L32" s="678"/>
      <c r="M32" s="678"/>
      <c r="N32" s="678"/>
      <c r="O32" s="678"/>
      <c r="P32" s="678"/>
      <c r="Q32" s="678"/>
      <c r="R32" s="678"/>
      <c r="S32" s="678"/>
      <c r="T32" s="678"/>
      <c r="U32" s="678"/>
      <c r="V32" s="678"/>
      <c r="W32" s="678"/>
      <c r="X32" s="678"/>
      <c r="Y32" s="678"/>
      <c r="Z32" s="678"/>
      <c r="AA32" s="678"/>
    </row>
    <row r="33" spans="3:27">
      <c r="C33" s="678"/>
      <c r="D33" s="678"/>
      <c r="E33" s="678"/>
      <c r="F33" s="678"/>
      <c r="G33" s="678"/>
      <c r="H33" s="678"/>
      <c r="I33" s="678"/>
      <c r="J33" s="678"/>
      <c r="K33" s="678"/>
      <c r="L33" s="678"/>
      <c r="M33" s="678"/>
      <c r="N33" s="678"/>
      <c r="O33" s="678"/>
      <c r="P33" s="678"/>
      <c r="Q33" s="678"/>
      <c r="R33" s="678"/>
      <c r="S33" s="678"/>
      <c r="T33" s="678"/>
      <c r="U33" s="678"/>
      <c r="V33" s="678"/>
      <c r="W33" s="678"/>
      <c r="X33" s="678"/>
      <c r="Y33" s="678"/>
      <c r="Z33" s="678"/>
      <c r="AA33" s="678"/>
    </row>
    <row r="34" spans="3:27">
      <c r="C34" s="678"/>
      <c r="D34" s="678"/>
      <c r="E34" s="678"/>
      <c r="F34" s="678"/>
      <c r="G34" s="678"/>
      <c r="H34" s="678"/>
      <c r="I34" s="678"/>
      <c r="J34" s="678"/>
      <c r="K34" s="678"/>
      <c r="L34" s="678"/>
      <c r="M34" s="678"/>
      <c r="N34" s="678"/>
      <c r="O34" s="678"/>
      <c r="P34" s="678"/>
      <c r="Q34" s="678"/>
      <c r="R34" s="678"/>
      <c r="S34" s="678"/>
      <c r="T34" s="678"/>
      <c r="U34" s="678"/>
      <c r="V34" s="678"/>
      <c r="W34" s="678"/>
      <c r="X34" s="678"/>
      <c r="Y34" s="678"/>
      <c r="Z34" s="678"/>
      <c r="AA34" s="678"/>
    </row>
    <row r="35" spans="3:27">
      <c r="C35" s="678"/>
      <c r="D35" s="678"/>
      <c r="E35" s="678"/>
      <c r="F35" s="678"/>
      <c r="G35" s="678"/>
      <c r="H35" s="678"/>
      <c r="I35" s="678"/>
      <c r="J35" s="678"/>
      <c r="K35" s="678"/>
      <c r="L35" s="678"/>
      <c r="M35" s="678"/>
      <c r="N35" s="678"/>
      <c r="O35" s="678"/>
      <c r="P35" s="678"/>
      <c r="Q35" s="678"/>
      <c r="R35" s="678"/>
      <c r="S35" s="678"/>
      <c r="T35" s="678"/>
      <c r="U35" s="678"/>
      <c r="V35" s="678"/>
      <c r="W35" s="678"/>
      <c r="X35" s="678"/>
      <c r="Y35" s="678"/>
      <c r="Z35" s="678"/>
      <c r="AA35" s="678"/>
    </row>
    <row r="36" spans="3:27">
      <c r="C36" s="678"/>
      <c r="D36" s="678"/>
      <c r="E36" s="678"/>
      <c r="F36" s="678"/>
      <c r="G36" s="678"/>
      <c r="H36" s="678"/>
      <c r="I36" s="678"/>
      <c r="J36" s="678"/>
      <c r="K36" s="678"/>
      <c r="L36" s="678"/>
      <c r="M36" s="678"/>
      <c r="N36" s="678"/>
      <c r="O36" s="678"/>
      <c r="P36" s="678"/>
      <c r="Q36" s="678"/>
      <c r="R36" s="678"/>
      <c r="S36" s="678"/>
      <c r="T36" s="678"/>
      <c r="U36" s="678"/>
      <c r="V36" s="678"/>
      <c r="W36" s="678"/>
      <c r="X36" s="678"/>
      <c r="Y36" s="678"/>
      <c r="Z36" s="678"/>
      <c r="AA36" s="678"/>
    </row>
    <row r="37" spans="3:27">
      <c r="C37" s="678"/>
      <c r="D37" s="678"/>
      <c r="E37" s="678"/>
      <c r="F37" s="678"/>
      <c r="G37" s="678"/>
      <c r="H37" s="678"/>
      <c r="I37" s="678"/>
      <c r="J37" s="678"/>
      <c r="K37" s="678"/>
      <c r="L37" s="678"/>
      <c r="M37" s="678"/>
      <c r="N37" s="678"/>
      <c r="O37" s="678"/>
      <c r="P37" s="678"/>
      <c r="Q37" s="678"/>
      <c r="R37" s="678"/>
      <c r="S37" s="678"/>
      <c r="T37" s="678"/>
      <c r="U37" s="678"/>
      <c r="V37" s="678"/>
      <c r="W37" s="678"/>
      <c r="X37" s="678"/>
      <c r="Y37" s="678"/>
      <c r="Z37" s="678"/>
      <c r="AA37" s="678"/>
    </row>
    <row r="38" spans="3:27">
      <c r="C38" s="678"/>
      <c r="D38" s="678"/>
      <c r="E38" s="678"/>
      <c r="F38" s="678"/>
      <c r="G38" s="678"/>
      <c r="H38" s="678"/>
      <c r="I38" s="678"/>
      <c r="J38" s="678"/>
      <c r="K38" s="678"/>
      <c r="L38" s="678"/>
      <c r="M38" s="678"/>
      <c r="N38" s="678"/>
      <c r="O38" s="678"/>
      <c r="P38" s="678"/>
      <c r="Q38" s="678"/>
      <c r="R38" s="678"/>
      <c r="S38" s="678"/>
      <c r="T38" s="678"/>
      <c r="U38" s="678"/>
      <c r="V38" s="678"/>
      <c r="W38" s="678"/>
      <c r="X38" s="678"/>
      <c r="Y38" s="678"/>
      <c r="Z38" s="678"/>
      <c r="AA38" s="678"/>
    </row>
    <row r="39" spans="3:27">
      <c r="C39" s="678"/>
      <c r="D39" s="678"/>
      <c r="E39" s="678"/>
      <c r="F39" s="678"/>
      <c r="G39" s="678"/>
      <c r="H39" s="678"/>
      <c r="I39" s="678"/>
      <c r="J39" s="678"/>
      <c r="K39" s="678"/>
      <c r="L39" s="678"/>
      <c r="M39" s="678"/>
      <c r="N39" s="678"/>
      <c r="O39" s="678"/>
      <c r="P39" s="678"/>
      <c r="Q39" s="678"/>
      <c r="R39" s="678"/>
      <c r="S39" s="678"/>
      <c r="T39" s="678"/>
      <c r="U39" s="678"/>
      <c r="V39" s="678"/>
      <c r="W39" s="678"/>
      <c r="X39" s="678"/>
      <c r="Y39" s="678"/>
      <c r="Z39" s="678"/>
      <c r="AA39" s="678"/>
    </row>
    <row r="40" spans="3:27">
      <c r="C40" s="678"/>
      <c r="D40" s="678"/>
      <c r="E40" s="678"/>
      <c r="F40" s="678"/>
      <c r="G40" s="678"/>
      <c r="H40" s="678"/>
      <c r="I40" s="678"/>
      <c r="J40" s="678"/>
      <c r="K40" s="678"/>
      <c r="L40" s="678"/>
      <c r="M40" s="678"/>
      <c r="N40" s="678"/>
      <c r="O40" s="678"/>
      <c r="P40" s="678"/>
      <c r="Q40" s="678"/>
      <c r="R40" s="678"/>
      <c r="S40" s="678"/>
      <c r="T40" s="678"/>
      <c r="U40" s="678"/>
      <c r="V40" s="678"/>
      <c r="W40" s="678"/>
      <c r="X40" s="678"/>
      <c r="Y40" s="678"/>
      <c r="Z40" s="678"/>
      <c r="AA40" s="678"/>
    </row>
    <row r="41" spans="3:27">
      <c r="C41" s="678"/>
      <c r="D41" s="678"/>
      <c r="E41" s="678"/>
      <c r="F41" s="678"/>
      <c r="G41" s="678"/>
      <c r="H41" s="678"/>
      <c r="I41" s="678"/>
      <c r="J41" s="678"/>
      <c r="K41" s="678"/>
      <c r="L41" s="678"/>
      <c r="M41" s="678"/>
      <c r="N41" s="678"/>
      <c r="O41" s="678"/>
      <c r="P41" s="678"/>
      <c r="Q41" s="678"/>
      <c r="R41" s="678"/>
      <c r="S41" s="678"/>
      <c r="T41" s="678"/>
      <c r="U41" s="678"/>
      <c r="V41" s="678"/>
      <c r="W41" s="678"/>
      <c r="X41" s="678"/>
      <c r="Y41" s="678"/>
      <c r="Z41" s="678"/>
      <c r="AA41" s="678"/>
    </row>
    <row r="42" spans="3:27">
      <c r="C42" s="678"/>
      <c r="D42" s="678"/>
      <c r="E42" s="678"/>
      <c r="F42" s="678"/>
      <c r="G42" s="678"/>
      <c r="H42" s="678"/>
      <c r="I42" s="678"/>
      <c r="J42" s="678"/>
      <c r="K42" s="678"/>
      <c r="L42" s="678"/>
      <c r="M42" s="678"/>
      <c r="N42" s="678"/>
      <c r="O42" s="678"/>
      <c r="P42" s="678"/>
      <c r="Q42" s="678"/>
      <c r="R42" s="678"/>
      <c r="S42" s="678"/>
      <c r="T42" s="678"/>
      <c r="U42" s="678"/>
      <c r="V42" s="678"/>
      <c r="W42" s="678"/>
      <c r="X42" s="678"/>
      <c r="Y42" s="678"/>
      <c r="Z42" s="678"/>
      <c r="AA42" s="678"/>
    </row>
    <row r="43" spans="3:27">
      <c r="C43" s="678"/>
      <c r="D43" s="678"/>
      <c r="E43" s="678"/>
      <c r="F43" s="678"/>
      <c r="G43" s="678"/>
      <c r="H43" s="678"/>
      <c r="I43" s="678"/>
      <c r="J43" s="678"/>
      <c r="K43" s="678"/>
      <c r="L43" s="678"/>
      <c r="M43" s="678"/>
      <c r="N43" s="678"/>
      <c r="O43" s="678"/>
      <c r="P43" s="678"/>
      <c r="Q43" s="678"/>
      <c r="R43" s="678"/>
      <c r="S43" s="678"/>
      <c r="T43" s="678"/>
      <c r="U43" s="678"/>
      <c r="V43" s="678"/>
      <c r="W43" s="678"/>
      <c r="X43" s="678"/>
      <c r="Y43" s="678"/>
      <c r="Z43" s="678"/>
      <c r="AA43" s="678"/>
    </row>
    <row r="44" spans="3:27">
      <c r="C44" s="678"/>
      <c r="D44" s="678"/>
      <c r="E44" s="678"/>
      <c r="F44" s="678"/>
      <c r="G44" s="678"/>
      <c r="H44" s="678"/>
      <c r="I44" s="678"/>
      <c r="J44" s="678"/>
      <c r="K44" s="678"/>
      <c r="L44" s="678"/>
      <c r="M44" s="678"/>
      <c r="N44" s="678"/>
      <c r="O44" s="678"/>
      <c r="P44" s="678"/>
      <c r="Q44" s="678"/>
      <c r="R44" s="678"/>
      <c r="S44" s="678"/>
      <c r="T44" s="678"/>
      <c r="U44" s="678"/>
      <c r="V44" s="678"/>
      <c r="W44" s="678"/>
      <c r="X44" s="678"/>
      <c r="Y44" s="678"/>
      <c r="Z44" s="678"/>
      <c r="AA44" s="678"/>
    </row>
    <row r="45" spans="3:27">
      <c r="C45" s="678"/>
      <c r="D45" s="678"/>
      <c r="E45" s="678"/>
      <c r="F45" s="678"/>
      <c r="G45" s="678"/>
      <c r="H45" s="678"/>
      <c r="I45" s="678"/>
      <c r="J45" s="678"/>
      <c r="K45" s="678"/>
      <c r="L45" s="678"/>
      <c r="M45" s="678"/>
      <c r="N45" s="678"/>
      <c r="O45" s="678"/>
      <c r="P45" s="678"/>
      <c r="Q45" s="678"/>
      <c r="R45" s="678"/>
      <c r="S45" s="678"/>
      <c r="T45" s="678"/>
      <c r="U45" s="678"/>
      <c r="V45" s="678"/>
      <c r="W45" s="678"/>
      <c r="X45" s="678"/>
      <c r="Y45" s="678"/>
      <c r="Z45" s="678"/>
      <c r="AA45" s="678"/>
    </row>
    <row r="46" spans="3:27">
      <c r="C46" s="678"/>
      <c r="D46" s="678"/>
      <c r="E46" s="678"/>
      <c r="F46" s="678"/>
      <c r="G46" s="678"/>
      <c r="H46" s="678"/>
      <c r="I46" s="678"/>
      <c r="J46" s="678"/>
      <c r="K46" s="678"/>
      <c r="L46" s="678"/>
      <c r="M46" s="678"/>
      <c r="N46" s="678"/>
      <c r="O46" s="678"/>
      <c r="P46" s="678"/>
      <c r="Q46" s="678"/>
      <c r="R46" s="678"/>
      <c r="S46" s="678"/>
      <c r="T46" s="678"/>
      <c r="U46" s="678"/>
      <c r="V46" s="678"/>
      <c r="W46" s="678"/>
      <c r="X46" s="678"/>
      <c r="Y46" s="678"/>
      <c r="Z46" s="678"/>
      <c r="AA46" s="678"/>
    </row>
    <row r="47" spans="3:27">
      <c r="C47" s="678"/>
      <c r="D47" s="678"/>
      <c r="E47" s="678"/>
      <c r="F47" s="678"/>
      <c r="G47" s="678"/>
      <c r="H47" s="678"/>
      <c r="I47" s="678"/>
      <c r="J47" s="678"/>
      <c r="K47" s="678"/>
      <c r="L47" s="678"/>
      <c r="M47" s="678"/>
      <c r="N47" s="678"/>
      <c r="O47" s="678"/>
      <c r="P47" s="678"/>
      <c r="Q47" s="678"/>
      <c r="R47" s="678"/>
      <c r="S47" s="678"/>
      <c r="T47" s="678"/>
      <c r="U47" s="678"/>
      <c r="V47" s="678"/>
      <c r="W47" s="678"/>
      <c r="X47" s="678"/>
      <c r="Y47" s="678"/>
      <c r="Z47" s="678"/>
      <c r="AA47" s="678"/>
    </row>
    <row r="48" spans="3:27">
      <c r="C48" s="678"/>
      <c r="D48" s="678"/>
      <c r="E48" s="678"/>
      <c r="F48" s="678"/>
      <c r="G48" s="678"/>
      <c r="H48" s="678"/>
      <c r="I48" s="678"/>
      <c r="J48" s="678"/>
      <c r="K48" s="678"/>
      <c r="L48" s="678"/>
      <c r="M48" s="678"/>
      <c r="N48" s="678"/>
      <c r="O48" s="678"/>
      <c r="P48" s="678"/>
      <c r="Q48" s="678"/>
      <c r="R48" s="678"/>
      <c r="S48" s="678"/>
      <c r="T48" s="678"/>
      <c r="U48" s="678"/>
      <c r="V48" s="678"/>
      <c r="W48" s="678"/>
      <c r="X48" s="678"/>
      <c r="Y48" s="678"/>
      <c r="Z48" s="678"/>
      <c r="AA48" s="678"/>
    </row>
    <row r="49" spans="3:27">
      <c r="C49" s="678"/>
      <c r="D49" s="678"/>
      <c r="E49" s="678"/>
      <c r="F49" s="678"/>
      <c r="G49" s="678"/>
      <c r="H49" s="678"/>
      <c r="I49" s="678"/>
      <c r="J49" s="678"/>
      <c r="K49" s="678"/>
      <c r="L49" s="678"/>
      <c r="M49" s="678"/>
      <c r="N49" s="678"/>
      <c r="O49" s="678"/>
      <c r="P49" s="678"/>
      <c r="Q49" s="678"/>
      <c r="R49" s="678"/>
      <c r="S49" s="678"/>
      <c r="T49" s="678"/>
      <c r="U49" s="678"/>
      <c r="V49" s="678"/>
      <c r="W49" s="678"/>
      <c r="X49" s="678"/>
      <c r="Y49" s="678"/>
      <c r="Z49" s="678"/>
      <c r="AA49" s="678"/>
    </row>
    <row r="50" spans="3:27">
      <c r="C50" s="678"/>
      <c r="D50" s="678"/>
      <c r="E50" s="678"/>
      <c r="F50" s="678"/>
      <c r="G50" s="678"/>
      <c r="H50" s="678"/>
      <c r="I50" s="678"/>
      <c r="J50" s="678"/>
      <c r="K50" s="678"/>
      <c r="L50" s="678"/>
      <c r="M50" s="678"/>
      <c r="N50" s="678"/>
      <c r="O50" s="678"/>
      <c r="P50" s="678"/>
      <c r="Q50" s="678"/>
      <c r="R50" s="678"/>
      <c r="S50" s="678"/>
      <c r="T50" s="678"/>
      <c r="U50" s="678"/>
      <c r="V50" s="678"/>
      <c r="W50" s="678"/>
      <c r="X50" s="678"/>
      <c r="Y50" s="678"/>
      <c r="Z50" s="678"/>
      <c r="AA50" s="678"/>
    </row>
    <row r="51" spans="3:27">
      <c r="C51" s="678"/>
      <c r="D51" s="678"/>
      <c r="E51" s="678"/>
      <c r="F51" s="678"/>
      <c r="G51" s="678"/>
      <c r="H51" s="678"/>
      <c r="I51" s="678"/>
      <c r="J51" s="678"/>
      <c r="K51" s="678"/>
      <c r="L51" s="678"/>
      <c r="M51" s="678"/>
      <c r="N51" s="678"/>
      <c r="O51" s="678"/>
      <c r="P51" s="678"/>
      <c r="Q51" s="678"/>
      <c r="R51" s="678"/>
      <c r="S51" s="678"/>
      <c r="T51" s="678"/>
      <c r="U51" s="678"/>
      <c r="V51" s="678"/>
      <c r="W51" s="678"/>
      <c r="X51" s="678"/>
      <c r="Y51" s="678"/>
      <c r="Z51" s="678"/>
      <c r="AA51" s="678"/>
    </row>
    <row r="52" spans="3:27">
      <c r="C52" s="678"/>
      <c r="D52" s="678"/>
      <c r="E52" s="678"/>
      <c r="F52" s="678"/>
      <c r="G52" s="678"/>
      <c r="H52" s="678"/>
      <c r="I52" s="678"/>
      <c r="J52" s="678"/>
      <c r="K52" s="678"/>
      <c r="L52" s="678"/>
      <c r="M52" s="678"/>
      <c r="N52" s="678"/>
      <c r="O52" s="678"/>
      <c r="P52" s="678"/>
      <c r="Q52" s="678"/>
      <c r="R52" s="678"/>
      <c r="S52" s="678"/>
      <c r="T52" s="678"/>
      <c r="U52" s="678"/>
      <c r="V52" s="678"/>
      <c r="W52" s="678"/>
      <c r="X52" s="678"/>
      <c r="Y52" s="678"/>
      <c r="Z52" s="678"/>
      <c r="AA52" s="6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38"/>
  <sheetViews>
    <sheetView showGridLines="0" zoomScale="80" zoomScaleNormal="80" workbookViewId="0"/>
  </sheetViews>
  <sheetFormatPr defaultColWidth="9.28515625" defaultRowHeight="12.75"/>
  <cols>
    <col min="1" max="1" width="11.7109375" style="364" bestFit="1" customWidth="1"/>
    <col min="2" max="2" width="90.28515625" style="364" bestFit="1" customWidth="1"/>
    <col min="3" max="3" width="20.28515625" style="364" customWidth="1"/>
    <col min="4" max="4" width="22.28515625" style="364" customWidth="1"/>
    <col min="5" max="7" width="17.140625" style="364" customWidth="1"/>
    <col min="8" max="8" width="22.28515625" style="364" customWidth="1"/>
    <col min="9" max="10" width="17.140625" style="364" customWidth="1"/>
    <col min="11" max="27" width="22.28515625" style="364" customWidth="1"/>
    <col min="28" max="16384" width="9.28515625" style="364"/>
  </cols>
  <sheetData>
    <row r="1" spans="1:27" ht="13.5">
      <c r="A1" s="283" t="s">
        <v>30</v>
      </c>
      <c r="B1" s="351" t="str">
        <f>'Info '!C2</f>
        <v>JSC Cartu Bank</v>
      </c>
    </row>
    <row r="2" spans="1:27">
      <c r="A2" s="283" t="s">
        <v>31</v>
      </c>
      <c r="B2" s="350">
        <f>'1. key ratios '!B2</f>
        <v>46112</v>
      </c>
    </row>
    <row r="3" spans="1:27">
      <c r="A3" s="284" t="s">
        <v>446</v>
      </c>
      <c r="C3" s="366"/>
    </row>
    <row r="4" spans="1:27" ht="13.5" thickBot="1">
      <c r="A4" s="284"/>
      <c r="B4" s="366"/>
      <c r="C4" s="366"/>
    </row>
    <row r="5" spans="1:27" ht="13.5" customHeight="1">
      <c r="A5" s="813" t="s">
        <v>652</v>
      </c>
      <c r="B5" s="814"/>
      <c r="C5" s="822" t="s">
        <v>651</v>
      </c>
      <c r="D5" s="823"/>
      <c r="E5" s="823"/>
      <c r="F5" s="823"/>
      <c r="G5" s="823"/>
      <c r="H5" s="823"/>
      <c r="I5" s="823"/>
      <c r="J5" s="823"/>
      <c r="K5" s="823"/>
      <c r="L5" s="823"/>
      <c r="M5" s="823"/>
      <c r="N5" s="823"/>
      <c r="O5" s="823"/>
      <c r="P5" s="823"/>
      <c r="Q5" s="823"/>
      <c r="R5" s="823"/>
      <c r="S5" s="824"/>
      <c r="T5" s="387"/>
      <c r="U5" s="387"/>
      <c r="V5" s="387"/>
      <c r="W5" s="387"/>
      <c r="X5" s="387"/>
      <c r="Y5" s="387"/>
      <c r="Z5" s="387"/>
      <c r="AA5" s="386"/>
    </row>
    <row r="6" spans="1:27" ht="12" customHeight="1">
      <c r="A6" s="815"/>
      <c r="B6" s="816"/>
      <c r="C6" s="819" t="s">
        <v>64</v>
      </c>
      <c r="D6" s="811" t="s">
        <v>648</v>
      </c>
      <c r="E6" s="811"/>
      <c r="F6" s="811"/>
      <c r="G6" s="811"/>
      <c r="H6" s="811" t="s">
        <v>647</v>
      </c>
      <c r="I6" s="811"/>
      <c r="J6" s="811"/>
      <c r="K6" s="811"/>
      <c r="L6" s="384"/>
      <c r="M6" s="812" t="s">
        <v>646</v>
      </c>
      <c r="N6" s="812"/>
      <c r="O6" s="812"/>
      <c r="P6" s="812"/>
      <c r="Q6" s="812"/>
      <c r="R6" s="812"/>
      <c r="S6" s="821"/>
      <c r="T6" s="387"/>
      <c r="U6" s="800" t="s">
        <v>645</v>
      </c>
      <c r="V6" s="800"/>
      <c r="W6" s="800"/>
      <c r="X6" s="800"/>
      <c r="Y6" s="800"/>
      <c r="Z6" s="800"/>
      <c r="AA6" s="793"/>
    </row>
    <row r="7" spans="1:27" ht="25.5">
      <c r="A7" s="817"/>
      <c r="B7" s="818"/>
      <c r="C7" s="820"/>
      <c r="D7" s="383"/>
      <c r="E7" s="361" t="s">
        <v>436</v>
      </c>
      <c r="F7" s="361" t="s">
        <v>643</v>
      </c>
      <c r="G7" s="363" t="s">
        <v>644</v>
      </c>
      <c r="H7" s="365"/>
      <c r="I7" s="361" t="s">
        <v>436</v>
      </c>
      <c r="J7" s="361" t="s">
        <v>643</v>
      </c>
      <c r="K7" s="363" t="s">
        <v>644</v>
      </c>
      <c r="L7" s="382"/>
      <c r="M7" s="361" t="s">
        <v>436</v>
      </c>
      <c r="N7" s="361" t="s">
        <v>643</v>
      </c>
      <c r="O7" s="361" t="s">
        <v>642</v>
      </c>
      <c r="P7" s="361" t="s">
        <v>641</v>
      </c>
      <c r="Q7" s="361" t="s">
        <v>640</v>
      </c>
      <c r="R7" s="361" t="s">
        <v>639</v>
      </c>
      <c r="S7" s="408" t="s">
        <v>638</v>
      </c>
      <c r="T7" s="407"/>
      <c r="U7" s="361" t="s">
        <v>436</v>
      </c>
      <c r="V7" s="361" t="s">
        <v>643</v>
      </c>
      <c r="W7" s="361" t="s">
        <v>642</v>
      </c>
      <c r="X7" s="361" t="s">
        <v>641</v>
      </c>
      <c r="Y7" s="361" t="s">
        <v>640</v>
      </c>
      <c r="Z7" s="361" t="s">
        <v>639</v>
      </c>
      <c r="AA7" s="361" t="s">
        <v>638</v>
      </c>
    </row>
    <row r="8" spans="1:27">
      <c r="A8" s="406">
        <v>1</v>
      </c>
      <c r="B8" s="405" t="s">
        <v>437</v>
      </c>
      <c r="C8" s="681">
        <v>1173337976.6898811</v>
      </c>
      <c r="D8" s="674">
        <v>972003934.90156412</v>
      </c>
      <c r="E8" s="674">
        <v>22873384.366733789</v>
      </c>
      <c r="F8" s="674">
        <v>0</v>
      </c>
      <c r="G8" s="674">
        <v>0</v>
      </c>
      <c r="H8" s="674">
        <v>115016115.17084022</v>
      </c>
      <c r="I8" s="674">
        <v>8280783.9242218928</v>
      </c>
      <c r="J8" s="674">
        <v>7573854.0375147639</v>
      </c>
      <c r="K8" s="674">
        <v>0</v>
      </c>
      <c r="L8" s="674">
        <v>85340543.000688165</v>
      </c>
      <c r="M8" s="674">
        <v>2552222.3078780002</v>
      </c>
      <c r="N8" s="674">
        <v>862433.92762799992</v>
      </c>
      <c r="O8" s="674">
        <v>6969067.7265751585</v>
      </c>
      <c r="P8" s="674">
        <v>13306719.941737847</v>
      </c>
      <c r="Q8" s="674">
        <v>1975664.2697551656</v>
      </c>
      <c r="R8" s="674">
        <v>34822788.986622699</v>
      </c>
      <c r="S8" s="682">
        <v>11274203.072674006</v>
      </c>
      <c r="T8" s="683">
        <v>977383.61678599997</v>
      </c>
      <c r="U8" s="674">
        <v>0</v>
      </c>
      <c r="V8" s="674">
        <v>0</v>
      </c>
      <c r="W8" s="674">
        <v>0</v>
      </c>
      <c r="X8" s="674">
        <v>465439.145876</v>
      </c>
      <c r="Y8" s="674">
        <v>0</v>
      </c>
      <c r="Z8" s="674">
        <v>0</v>
      </c>
      <c r="AA8" s="682">
        <v>0</v>
      </c>
    </row>
    <row r="9" spans="1:27">
      <c r="A9" s="398">
        <v>1.1000000000000001</v>
      </c>
      <c r="B9" s="404" t="s">
        <v>447</v>
      </c>
      <c r="C9" s="684">
        <v>1146288700.0246372</v>
      </c>
      <c r="D9" s="674">
        <v>945659797.26792037</v>
      </c>
      <c r="E9" s="674">
        <v>22873384.366733789</v>
      </c>
      <c r="F9" s="674">
        <v>0</v>
      </c>
      <c r="G9" s="674">
        <v>0</v>
      </c>
      <c r="H9" s="674">
        <v>114731685.24084021</v>
      </c>
      <c r="I9" s="674">
        <v>8280783.9242218928</v>
      </c>
      <c r="J9" s="674">
        <v>7345100.1475147642</v>
      </c>
      <c r="K9" s="674">
        <v>0</v>
      </c>
      <c r="L9" s="674">
        <v>84919833.89908807</v>
      </c>
      <c r="M9" s="674">
        <v>2552222.3078780002</v>
      </c>
      <c r="N9" s="674">
        <v>776371.61692799989</v>
      </c>
      <c r="O9" s="674">
        <v>6968724.3565751631</v>
      </c>
      <c r="P9" s="674">
        <v>13301981.663137864</v>
      </c>
      <c r="Q9" s="674">
        <v>1873698.6452551659</v>
      </c>
      <c r="R9" s="674">
        <v>34715357.073822662</v>
      </c>
      <c r="S9" s="682">
        <v>11190094.717774004</v>
      </c>
      <c r="T9" s="683">
        <v>977383.61678599997</v>
      </c>
      <c r="U9" s="674">
        <v>0</v>
      </c>
      <c r="V9" s="674">
        <v>0</v>
      </c>
      <c r="W9" s="674">
        <v>0</v>
      </c>
      <c r="X9" s="674">
        <v>465439.145876</v>
      </c>
      <c r="Y9" s="674">
        <v>0</v>
      </c>
      <c r="Z9" s="674">
        <v>0</v>
      </c>
      <c r="AA9" s="682">
        <v>0</v>
      </c>
    </row>
    <row r="10" spans="1:27">
      <c r="A10" s="402" t="s">
        <v>14</v>
      </c>
      <c r="B10" s="403" t="s">
        <v>448</v>
      </c>
      <c r="C10" s="685">
        <v>1020387343.1334614</v>
      </c>
      <c r="D10" s="674">
        <v>824693771.3495121</v>
      </c>
      <c r="E10" s="674">
        <v>22873384.366733789</v>
      </c>
      <c r="F10" s="674">
        <v>0</v>
      </c>
      <c r="G10" s="674">
        <v>0</v>
      </c>
      <c r="H10" s="674">
        <v>114731685.24084021</v>
      </c>
      <c r="I10" s="674">
        <v>8280783.9242218928</v>
      </c>
      <c r="J10" s="674">
        <v>7345100.1475147642</v>
      </c>
      <c r="K10" s="674">
        <v>0</v>
      </c>
      <c r="L10" s="674">
        <v>79984502.926322758</v>
      </c>
      <c r="M10" s="674">
        <v>2552222.3078780002</v>
      </c>
      <c r="N10" s="674">
        <v>776371.61692799989</v>
      </c>
      <c r="O10" s="674">
        <v>6968724.3565751631</v>
      </c>
      <c r="P10" s="674">
        <v>13194075.243137864</v>
      </c>
      <c r="Q10" s="674">
        <v>905550.3970211657</v>
      </c>
      <c r="R10" s="674">
        <v>33877770.343822666</v>
      </c>
      <c r="S10" s="682">
        <v>10883907.807774004</v>
      </c>
      <c r="T10" s="683">
        <v>977383.61678599997</v>
      </c>
      <c r="U10" s="674">
        <v>0</v>
      </c>
      <c r="V10" s="674">
        <v>0</v>
      </c>
      <c r="W10" s="674">
        <v>0</v>
      </c>
      <c r="X10" s="674">
        <v>465439.145876</v>
      </c>
      <c r="Y10" s="674">
        <v>0</v>
      </c>
      <c r="Z10" s="674">
        <v>0</v>
      </c>
      <c r="AA10" s="682">
        <v>0</v>
      </c>
    </row>
    <row r="11" spans="1:27">
      <c r="A11" s="400" t="s">
        <v>449</v>
      </c>
      <c r="B11" s="401" t="s">
        <v>450</v>
      </c>
      <c r="C11" s="686">
        <v>333577905.78229547</v>
      </c>
      <c r="D11" s="674">
        <v>271994630.65891278</v>
      </c>
      <c r="E11" s="674">
        <v>19262360.262799788</v>
      </c>
      <c r="F11" s="674">
        <v>0</v>
      </c>
      <c r="G11" s="674">
        <v>0</v>
      </c>
      <c r="H11" s="674">
        <v>18266721.493290562</v>
      </c>
      <c r="I11" s="674">
        <v>0</v>
      </c>
      <c r="J11" s="674">
        <v>6907858.3851927649</v>
      </c>
      <c r="K11" s="674">
        <v>0</v>
      </c>
      <c r="L11" s="674">
        <v>42339170.013306141</v>
      </c>
      <c r="M11" s="674">
        <v>2130371.0524660004</v>
      </c>
      <c r="N11" s="674">
        <v>776371.61692799989</v>
      </c>
      <c r="O11" s="674">
        <v>4532553.8261763584</v>
      </c>
      <c r="P11" s="674">
        <v>13194075.243137864</v>
      </c>
      <c r="Q11" s="674">
        <v>153485.845978</v>
      </c>
      <c r="R11" s="674">
        <v>851098.770104</v>
      </c>
      <c r="S11" s="682">
        <v>9875332.8053300008</v>
      </c>
      <c r="T11" s="683">
        <v>977383.61678599997</v>
      </c>
      <c r="U11" s="674">
        <v>0</v>
      </c>
      <c r="V11" s="674">
        <v>0</v>
      </c>
      <c r="W11" s="674">
        <v>0</v>
      </c>
      <c r="X11" s="674">
        <v>465439.145876</v>
      </c>
      <c r="Y11" s="674">
        <v>0</v>
      </c>
      <c r="Z11" s="674">
        <v>0</v>
      </c>
      <c r="AA11" s="682">
        <v>0</v>
      </c>
    </row>
    <row r="12" spans="1:27">
      <c r="A12" s="400" t="s">
        <v>451</v>
      </c>
      <c r="B12" s="401" t="s">
        <v>452</v>
      </c>
      <c r="C12" s="686">
        <v>159045872.60002807</v>
      </c>
      <c r="D12" s="674">
        <v>154292183.61725691</v>
      </c>
      <c r="E12" s="674">
        <v>0</v>
      </c>
      <c r="F12" s="674">
        <v>0</v>
      </c>
      <c r="G12" s="674">
        <v>0</v>
      </c>
      <c r="H12" s="674">
        <v>697309.55999999994</v>
      </c>
      <c r="I12" s="674">
        <v>0</v>
      </c>
      <c r="J12" s="674">
        <v>0</v>
      </c>
      <c r="K12" s="674">
        <v>0</v>
      </c>
      <c r="L12" s="674">
        <v>4056379.4227711661</v>
      </c>
      <c r="M12" s="674">
        <v>421851.25541200006</v>
      </c>
      <c r="N12" s="674">
        <v>0</v>
      </c>
      <c r="O12" s="674">
        <v>598935.26</v>
      </c>
      <c r="P12" s="674">
        <v>0</v>
      </c>
      <c r="Q12" s="674">
        <v>752064.55104316573</v>
      </c>
      <c r="R12" s="674">
        <v>1768524.7963159999</v>
      </c>
      <c r="S12" s="682">
        <v>515003.56</v>
      </c>
      <c r="T12" s="683">
        <v>0</v>
      </c>
      <c r="U12" s="674">
        <v>0</v>
      </c>
      <c r="V12" s="674">
        <v>0</v>
      </c>
      <c r="W12" s="674">
        <v>0</v>
      </c>
      <c r="X12" s="674">
        <v>0</v>
      </c>
      <c r="Y12" s="674">
        <v>0</v>
      </c>
      <c r="Z12" s="674">
        <v>0</v>
      </c>
      <c r="AA12" s="682">
        <v>0</v>
      </c>
    </row>
    <row r="13" spans="1:27">
      <c r="A13" s="400" t="s">
        <v>453</v>
      </c>
      <c r="B13" s="401" t="s">
        <v>454</v>
      </c>
      <c r="C13" s="686">
        <v>57553859.386157289</v>
      </c>
      <c r="D13" s="674">
        <v>49691845.295758478</v>
      </c>
      <c r="E13" s="674">
        <v>0</v>
      </c>
      <c r="F13" s="674">
        <v>0</v>
      </c>
      <c r="G13" s="674">
        <v>0</v>
      </c>
      <c r="H13" s="674">
        <v>6024778.8200000003</v>
      </c>
      <c r="I13" s="674">
        <v>0</v>
      </c>
      <c r="J13" s="674">
        <v>0</v>
      </c>
      <c r="K13" s="674">
        <v>0</v>
      </c>
      <c r="L13" s="674">
        <v>1837235.2703988054</v>
      </c>
      <c r="M13" s="674">
        <v>0</v>
      </c>
      <c r="N13" s="674">
        <v>0</v>
      </c>
      <c r="O13" s="674">
        <v>1837235.2703988054</v>
      </c>
      <c r="P13" s="674">
        <v>0</v>
      </c>
      <c r="Q13" s="674">
        <v>0</v>
      </c>
      <c r="R13" s="674">
        <v>0</v>
      </c>
      <c r="S13" s="682">
        <v>0</v>
      </c>
      <c r="T13" s="683">
        <v>0</v>
      </c>
      <c r="U13" s="674">
        <v>0</v>
      </c>
      <c r="V13" s="674">
        <v>0</v>
      </c>
      <c r="W13" s="674">
        <v>0</v>
      </c>
      <c r="X13" s="674">
        <v>0</v>
      </c>
      <c r="Y13" s="674">
        <v>0</v>
      </c>
      <c r="Z13" s="674">
        <v>0</v>
      </c>
      <c r="AA13" s="682">
        <v>0</v>
      </c>
    </row>
    <row r="14" spans="1:27">
      <c r="A14" s="400" t="s">
        <v>455</v>
      </c>
      <c r="B14" s="401" t="s">
        <v>456</v>
      </c>
      <c r="C14" s="686">
        <v>470209705.36498076</v>
      </c>
      <c r="D14" s="674">
        <v>348715111.77758467</v>
      </c>
      <c r="E14" s="674">
        <v>3611024.1039339998</v>
      </c>
      <c r="F14" s="674">
        <v>0</v>
      </c>
      <c r="G14" s="674">
        <v>0</v>
      </c>
      <c r="H14" s="674">
        <v>89742875.367549613</v>
      </c>
      <c r="I14" s="674">
        <v>8280783.9242218928</v>
      </c>
      <c r="J14" s="674">
        <v>437241.762322</v>
      </c>
      <c r="K14" s="674">
        <v>0</v>
      </c>
      <c r="L14" s="674">
        <v>31751718.219846662</v>
      </c>
      <c r="M14" s="674">
        <v>0</v>
      </c>
      <c r="N14" s="674">
        <v>0</v>
      </c>
      <c r="O14" s="674">
        <v>0</v>
      </c>
      <c r="P14" s="674">
        <v>0</v>
      </c>
      <c r="Q14" s="674">
        <v>0</v>
      </c>
      <c r="R14" s="674">
        <v>31258146.777402662</v>
      </c>
      <c r="S14" s="682">
        <v>493571.44244399999</v>
      </c>
      <c r="T14" s="683">
        <v>0</v>
      </c>
      <c r="U14" s="674">
        <v>0</v>
      </c>
      <c r="V14" s="674">
        <v>0</v>
      </c>
      <c r="W14" s="674">
        <v>0</v>
      </c>
      <c r="X14" s="674">
        <v>0</v>
      </c>
      <c r="Y14" s="674">
        <v>0</v>
      </c>
      <c r="Z14" s="674">
        <v>0</v>
      </c>
      <c r="AA14" s="682">
        <v>0</v>
      </c>
    </row>
    <row r="15" spans="1:27">
      <c r="A15" s="399">
        <v>1.2</v>
      </c>
      <c r="B15" s="397" t="s">
        <v>650</v>
      </c>
      <c r="C15" s="684">
        <v>33485430.808709152</v>
      </c>
      <c r="D15" s="674">
        <v>4982170.6331926798</v>
      </c>
      <c r="E15" s="674">
        <v>29709.305974430277</v>
      </c>
      <c r="F15" s="674">
        <v>0</v>
      </c>
      <c r="G15" s="674">
        <v>0</v>
      </c>
      <c r="H15" s="674">
        <v>10848375.57632144</v>
      </c>
      <c r="I15" s="674">
        <v>1450897.2318968372</v>
      </c>
      <c r="J15" s="674">
        <v>40213.107984995513</v>
      </c>
      <c r="K15" s="674">
        <v>0</v>
      </c>
      <c r="L15" s="674">
        <v>17651465.086361695</v>
      </c>
      <c r="M15" s="674">
        <v>24037.995804191905</v>
      </c>
      <c r="N15" s="674">
        <v>27105.9486747919</v>
      </c>
      <c r="O15" s="674">
        <v>124571.30582736612</v>
      </c>
      <c r="P15" s="674">
        <v>66509.908318990972</v>
      </c>
      <c r="Q15" s="674">
        <v>1066959.1516574337</v>
      </c>
      <c r="R15" s="674">
        <v>15084716.934889976</v>
      </c>
      <c r="S15" s="682">
        <v>856128.85938227596</v>
      </c>
      <c r="T15" s="683">
        <v>3419.5128333703497</v>
      </c>
      <c r="U15" s="674">
        <v>0</v>
      </c>
      <c r="V15" s="674">
        <v>0</v>
      </c>
      <c r="W15" s="674">
        <v>0</v>
      </c>
      <c r="X15" s="674">
        <v>2327.1957293800001</v>
      </c>
      <c r="Y15" s="674">
        <v>0</v>
      </c>
      <c r="Z15" s="674">
        <v>0</v>
      </c>
      <c r="AA15" s="682">
        <v>0</v>
      </c>
    </row>
    <row r="16" spans="1:27">
      <c r="A16" s="398">
        <v>1.3</v>
      </c>
      <c r="B16" s="397" t="s">
        <v>495</v>
      </c>
      <c r="C16" s="687"/>
      <c r="D16" s="688"/>
      <c r="E16" s="688"/>
      <c r="F16" s="688"/>
      <c r="G16" s="688"/>
      <c r="H16" s="688"/>
      <c r="I16" s="688"/>
      <c r="J16" s="688"/>
      <c r="K16" s="688"/>
      <c r="L16" s="688"/>
      <c r="M16" s="688"/>
      <c r="N16" s="688"/>
      <c r="O16" s="688"/>
      <c r="P16" s="688"/>
      <c r="Q16" s="688"/>
      <c r="R16" s="688"/>
      <c r="S16" s="689"/>
      <c r="T16" s="690"/>
      <c r="U16" s="688"/>
      <c r="V16" s="688"/>
      <c r="W16" s="688"/>
      <c r="X16" s="688"/>
      <c r="Y16" s="688"/>
      <c r="Z16" s="688"/>
      <c r="AA16" s="689"/>
    </row>
    <row r="17" spans="1:27">
      <c r="A17" s="394" t="s">
        <v>457</v>
      </c>
      <c r="B17" s="396" t="s">
        <v>458</v>
      </c>
      <c r="C17" s="691">
        <v>1123868915.1554844</v>
      </c>
      <c r="D17" s="674">
        <v>926556932.64714658</v>
      </c>
      <c r="E17" s="674">
        <v>22299406.049983349</v>
      </c>
      <c r="F17" s="674">
        <v>0</v>
      </c>
      <c r="G17" s="674">
        <v>0</v>
      </c>
      <c r="H17" s="674">
        <v>114731685.24084021</v>
      </c>
      <c r="I17" s="674">
        <v>8280783.9242218928</v>
      </c>
      <c r="J17" s="674">
        <v>7345100.1475147642</v>
      </c>
      <c r="K17" s="674">
        <v>0</v>
      </c>
      <c r="L17" s="674">
        <v>81602913.650709376</v>
      </c>
      <c r="M17" s="674">
        <v>2552222.3078780002</v>
      </c>
      <c r="N17" s="674">
        <v>776371.61692799989</v>
      </c>
      <c r="O17" s="674">
        <v>6968724.3565751631</v>
      </c>
      <c r="P17" s="674">
        <v>13301981.663137864</v>
      </c>
      <c r="Q17" s="674">
        <v>1085383.0985073508</v>
      </c>
      <c r="R17" s="674">
        <v>32258899.229018465</v>
      </c>
      <c r="S17" s="682">
        <v>11143610.155330002</v>
      </c>
      <c r="T17" s="683">
        <v>977383.61678599997</v>
      </c>
      <c r="U17" s="674">
        <v>0</v>
      </c>
      <c r="V17" s="674">
        <v>0</v>
      </c>
      <c r="W17" s="674">
        <v>0</v>
      </c>
      <c r="X17" s="674">
        <v>465439.145876</v>
      </c>
      <c r="Y17" s="674">
        <v>0</v>
      </c>
      <c r="Z17" s="674">
        <v>0</v>
      </c>
      <c r="AA17" s="682">
        <v>0</v>
      </c>
    </row>
    <row r="18" spans="1:27">
      <c r="A18" s="392" t="s">
        <v>459</v>
      </c>
      <c r="B18" s="393" t="s">
        <v>460</v>
      </c>
      <c r="C18" s="692">
        <v>842722861.72127306</v>
      </c>
      <c r="D18" s="674">
        <v>681996786.3578068</v>
      </c>
      <c r="E18" s="674">
        <v>22299406.049983349</v>
      </c>
      <c r="F18" s="674">
        <v>0</v>
      </c>
      <c r="G18" s="674">
        <v>0</v>
      </c>
      <c r="H18" s="674">
        <v>87829362.610816911</v>
      </c>
      <c r="I18" s="674">
        <v>6598661.256370239</v>
      </c>
      <c r="J18" s="674">
        <v>7302460.245922002</v>
      </c>
      <c r="K18" s="674">
        <v>0</v>
      </c>
      <c r="L18" s="674">
        <v>71919329.135862842</v>
      </c>
      <c r="M18" s="674">
        <v>2552222.3078780002</v>
      </c>
      <c r="N18" s="674">
        <v>776371.61692799989</v>
      </c>
      <c r="O18" s="674">
        <v>6968724.3565751631</v>
      </c>
      <c r="P18" s="674">
        <v>13194075.243137864</v>
      </c>
      <c r="Q18" s="674">
        <v>905550.3970211657</v>
      </c>
      <c r="R18" s="674">
        <v>25859081.115806729</v>
      </c>
      <c r="S18" s="682">
        <v>10837423.245330002</v>
      </c>
      <c r="T18" s="683">
        <v>977383.61678599997</v>
      </c>
      <c r="U18" s="674">
        <v>0</v>
      </c>
      <c r="V18" s="674">
        <v>0</v>
      </c>
      <c r="W18" s="674">
        <v>0</v>
      </c>
      <c r="X18" s="674">
        <v>465439.145876</v>
      </c>
      <c r="Y18" s="674">
        <v>0</v>
      </c>
      <c r="Z18" s="674">
        <v>0</v>
      </c>
      <c r="AA18" s="682">
        <v>0</v>
      </c>
    </row>
    <row r="19" spans="1:27">
      <c r="A19" s="394" t="s">
        <v>461</v>
      </c>
      <c r="B19" s="395" t="s">
        <v>462</v>
      </c>
      <c r="C19" s="693">
        <v>1973545817.2082164</v>
      </c>
      <c r="D19" s="674">
        <v>1760328988.4600434</v>
      </c>
      <c r="E19" s="674">
        <v>24827939.006187167</v>
      </c>
      <c r="F19" s="674">
        <v>0</v>
      </c>
      <c r="G19" s="674">
        <v>0</v>
      </c>
      <c r="H19" s="674">
        <v>119564353.58013234</v>
      </c>
      <c r="I19" s="674">
        <v>3291611.2319592214</v>
      </c>
      <c r="J19" s="674">
        <v>7951625.802527871</v>
      </c>
      <c r="K19" s="674">
        <v>0</v>
      </c>
      <c r="L19" s="674">
        <v>80519354.08482638</v>
      </c>
      <c r="M19" s="674">
        <v>3866437.8418549728</v>
      </c>
      <c r="N19" s="674">
        <v>2138194.3479178846</v>
      </c>
      <c r="O19" s="674">
        <v>11562207.426865555</v>
      </c>
      <c r="P19" s="674">
        <v>21111324.516328983</v>
      </c>
      <c r="Q19" s="674">
        <v>4910803.3942532176</v>
      </c>
      <c r="R19" s="674">
        <v>8988433.7879866511</v>
      </c>
      <c r="S19" s="682">
        <v>12520032.894954016</v>
      </c>
      <c r="T19" s="683">
        <v>13133121.083214002</v>
      </c>
      <c r="U19" s="674">
        <v>0</v>
      </c>
      <c r="V19" s="674">
        <v>0</v>
      </c>
      <c r="W19" s="674">
        <v>0</v>
      </c>
      <c r="X19" s="674">
        <v>1635005.2541240004</v>
      </c>
      <c r="Y19" s="674">
        <v>0</v>
      </c>
      <c r="Z19" s="674">
        <v>0</v>
      </c>
      <c r="AA19" s="682">
        <v>0</v>
      </c>
    </row>
    <row r="20" spans="1:27">
      <c r="A20" s="392" t="s">
        <v>463</v>
      </c>
      <c r="B20" s="393" t="s">
        <v>460</v>
      </c>
      <c r="C20" s="692">
        <v>757799667.56749284</v>
      </c>
      <c r="D20" s="674">
        <v>648148546.21069765</v>
      </c>
      <c r="E20" s="674">
        <v>11695508.838425035</v>
      </c>
      <c r="F20" s="674">
        <v>0</v>
      </c>
      <c r="G20" s="674">
        <v>0</v>
      </c>
      <c r="H20" s="674">
        <v>28697869.61690031</v>
      </c>
      <c r="I20" s="674">
        <v>0</v>
      </c>
      <c r="J20" s="674">
        <v>5217675.0606072368</v>
      </c>
      <c r="K20" s="674">
        <v>0</v>
      </c>
      <c r="L20" s="674">
        <v>67820130.656681493</v>
      </c>
      <c r="M20" s="674">
        <v>3856334.5601172098</v>
      </c>
      <c r="N20" s="674">
        <v>2107206.0521634012</v>
      </c>
      <c r="O20" s="674">
        <v>8350028.5818146039</v>
      </c>
      <c r="P20" s="674">
        <v>20838829.116328984</v>
      </c>
      <c r="Q20" s="674">
        <v>4512263.6375063881</v>
      </c>
      <c r="R20" s="674">
        <v>1896519.1329171166</v>
      </c>
      <c r="S20" s="682">
        <v>11072732.984081773</v>
      </c>
      <c r="T20" s="683">
        <v>13133121.083214002</v>
      </c>
      <c r="U20" s="674">
        <v>0</v>
      </c>
      <c r="V20" s="674">
        <v>0</v>
      </c>
      <c r="W20" s="674">
        <v>0</v>
      </c>
      <c r="X20" s="674">
        <v>1635005.2541240004</v>
      </c>
      <c r="Y20" s="674">
        <v>0</v>
      </c>
      <c r="Z20" s="674">
        <v>0</v>
      </c>
      <c r="AA20" s="682">
        <v>0</v>
      </c>
    </row>
    <row r="21" spans="1:27">
      <c r="A21" s="391">
        <v>1.4</v>
      </c>
      <c r="B21" s="390" t="s">
        <v>464</v>
      </c>
      <c r="C21" s="694">
        <v>3991758.6669999999</v>
      </c>
      <c r="D21" s="674">
        <v>1991720.0690000001</v>
      </c>
      <c r="E21" s="674">
        <v>0</v>
      </c>
      <c r="F21" s="674">
        <v>0</v>
      </c>
      <c r="G21" s="674">
        <v>0</v>
      </c>
      <c r="H21" s="674">
        <v>1693851.6880000001</v>
      </c>
      <c r="I21" s="674">
        <v>1693851.6880000001</v>
      </c>
      <c r="J21" s="674">
        <v>0</v>
      </c>
      <c r="K21" s="674">
        <v>0</v>
      </c>
      <c r="L21" s="674">
        <v>306186.90999999997</v>
      </c>
      <c r="M21" s="674">
        <v>0</v>
      </c>
      <c r="N21" s="674">
        <v>0</v>
      </c>
      <c r="O21" s="674">
        <v>0</v>
      </c>
      <c r="P21" s="674">
        <v>0</v>
      </c>
      <c r="Q21" s="674">
        <v>0</v>
      </c>
      <c r="R21" s="674">
        <v>0</v>
      </c>
      <c r="S21" s="682">
        <v>306186.90999999997</v>
      </c>
      <c r="T21" s="683">
        <v>0</v>
      </c>
      <c r="U21" s="674">
        <v>0</v>
      </c>
      <c r="V21" s="674">
        <v>0</v>
      </c>
      <c r="W21" s="674">
        <v>0</v>
      </c>
      <c r="X21" s="674">
        <v>0</v>
      </c>
      <c r="Y21" s="674">
        <v>0</v>
      </c>
      <c r="Z21" s="674">
        <v>0</v>
      </c>
      <c r="AA21" s="682">
        <v>0</v>
      </c>
    </row>
    <row r="22" spans="1:27" ht="13.5" thickBot="1">
      <c r="A22" s="389">
        <v>1.5</v>
      </c>
      <c r="B22" s="388" t="s">
        <v>465</v>
      </c>
      <c r="C22" s="695">
        <v>0</v>
      </c>
      <c r="D22" s="696">
        <v>0</v>
      </c>
      <c r="E22" s="696">
        <v>0</v>
      </c>
      <c r="F22" s="696">
        <v>0</v>
      </c>
      <c r="G22" s="696">
        <v>0</v>
      </c>
      <c r="H22" s="696">
        <v>0</v>
      </c>
      <c r="I22" s="696">
        <v>0</v>
      </c>
      <c r="J22" s="696">
        <v>0</v>
      </c>
      <c r="K22" s="696">
        <v>0</v>
      </c>
      <c r="L22" s="696">
        <v>0</v>
      </c>
      <c r="M22" s="696">
        <v>0</v>
      </c>
      <c r="N22" s="696">
        <v>0</v>
      </c>
      <c r="O22" s="696">
        <v>0</v>
      </c>
      <c r="P22" s="696">
        <v>0</v>
      </c>
      <c r="Q22" s="696">
        <v>0</v>
      </c>
      <c r="R22" s="696">
        <v>0</v>
      </c>
      <c r="S22" s="697">
        <v>0</v>
      </c>
      <c r="T22" s="698">
        <v>0</v>
      </c>
      <c r="U22" s="696">
        <v>0</v>
      </c>
      <c r="V22" s="696">
        <v>0</v>
      </c>
      <c r="W22" s="696">
        <v>0</v>
      </c>
      <c r="X22" s="696">
        <v>0</v>
      </c>
      <c r="Y22" s="696">
        <v>0</v>
      </c>
      <c r="Z22" s="696">
        <v>0</v>
      </c>
      <c r="AA22" s="697">
        <v>0</v>
      </c>
    </row>
    <row r="24" spans="1:27">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row>
    <row r="25" spans="1:27">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699"/>
      <c r="AA25" s="699"/>
    </row>
    <row r="26" spans="1:27">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row>
    <row r="27" spans="1:27">
      <c r="C27" s="699"/>
      <c r="D27" s="699"/>
      <c r="E27" s="699"/>
      <c r="F27" s="699"/>
      <c r="G27" s="699"/>
      <c r="H27" s="699"/>
      <c r="I27" s="699"/>
      <c r="J27" s="699"/>
      <c r="K27" s="699"/>
      <c r="L27" s="699"/>
      <c r="M27" s="699"/>
      <c r="N27" s="699"/>
      <c r="O27" s="699"/>
      <c r="P27" s="699"/>
      <c r="Q27" s="699"/>
      <c r="R27" s="699"/>
      <c r="S27" s="699"/>
      <c r="T27" s="699"/>
      <c r="U27" s="699"/>
      <c r="V27" s="699"/>
      <c r="W27" s="699"/>
      <c r="X27" s="699"/>
      <c r="Y27" s="699"/>
      <c r="Z27" s="699"/>
      <c r="AA27" s="699"/>
    </row>
    <row r="28" spans="1:27">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row>
    <row r="29" spans="1:27">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row>
    <row r="30" spans="1:27">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row>
    <row r="31" spans="1:27">
      <c r="C31" s="699"/>
      <c r="D31" s="699"/>
      <c r="E31" s="699"/>
      <c r="F31" s="699"/>
      <c r="G31" s="699"/>
      <c r="H31" s="699"/>
      <c r="I31" s="699"/>
      <c r="J31" s="699"/>
      <c r="K31" s="699"/>
      <c r="L31" s="699"/>
      <c r="M31" s="699"/>
      <c r="N31" s="699"/>
      <c r="O31" s="699"/>
      <c r="P31" s="699"/>
      <c r="Q31" s="699"/>
      <c r="R31" s="699"/>
      <c r="S31" s="699"/>
      <c r="T31" s="699"/>
      <c r="U31" s="699"/>
      <c r="V31" s="699"/>
      <c r="W31" s="699"/>
      <c r="X31" s="699"/>
      <c r="Y31" s="699"/>
      <c r="Z31" s="699"/>
      <c r="AA31" s="699"/>
    </row>
    <row r="32" spans="1:27">
      <c r="C32" s="699"/>
      <c r="D32" s="699"/>
      <c r="E32" s="699"/>
      <c r="F32" s="699"/>
      <c r="G32" s="699"/>
      <c r="H32" s="699"/>
      <c r="I32" s="699"/>
      <c r="J32" s="699"/>
      <c r="K32" s="699"/>
      <c r="L32" s="699"/>
      <c r="M32" s="699"/>
      <c r="N32" s="699"/>
      <c r="O32" s="699"/>
      <c r="P32" s="699"/>
      <c r="Q32" s="699"/>
      <c r="R32" s="699"/>
      <c r="S32" s="699"/>
      <c r="T32" s="699"/>
      <c r="U32" s="699"/>
      <c r="V32" s="699"/>
      <c r="W32" s="699"/>
      <c r="X32" s="699"/>
      <c r="Y32" s="699"/>
      <c r="Z32" s="699"/>
      <c r="AA32" s="699"/>
    </row>
    <row r="33" spans="3:27">
      <c r="C33" s="699"/>
      <c r="D33" s="699"/>
      <c r="E33" s="699"/>
      <c r="F33" s="699"/>
      <c r="G33" s="699"/>
      <c r="H33" s="699"/>
      <c r="I33" s="699"/>
      <c r="J33" s="699"/>
      <c r="K33" s="699"/>
      <c r="L33" s="699"/>
      <c r="M33" s="699"/>
      <c r="N33" s="699"/>
      <c r="O33" s="699"/>
      <c r="P33" s="699"/>
      <c r="Q33" s="699"/>
      <c r="R33" s="699"/>
      <c r="S33" s="699"/>
      <c r="T33" s="699"/>
      <c r="U33" s="699"/>
      <c r="V33" s="699"/>
      <c r="W33" s="699"/>
      <c r="X33" s="699"/>
      <c r="Y33" s="699"/>
      <c r="Z33" s="699"/>
      <c r="AA33" s="699"/>
    </row>
    <row r="34" spans="3:27">
      <c r="C34" s="699"/>
      <c r="D34" s="699"/>
      <c r="E34" s="699"/>
      <c r="F34" s="699"/>
      <c r="G34" s="699"/>
      <c r="H34" s="699"/>
      <c r="I34" s="699"/>
      <c r="J34" s="699"/>
      <c r="K34" s="699"/>
      <c r="L34" s="699"/>
      <c r="M34" s="699"/>
      <c r="N34" s="699"/>
      <c r="O34" s="699"/>
      <c r="P34" s="699"/>
      <c r="Q34" s="699"/>
      <c r="R34" s="699"/>
      <c r="S34" s="699"/>
      <c r="T34" s="699"/>
      <c r="U34" s="699"/>
      <c r="V34" s="699"/>
      <c r="W34" s="699"/>
      <c r="X34" s="699"/>
      <c r="Y34" s="699"/>
      <c r="Z34" s="699"/>
      <c r="AA34" s="699"/>
    </row>
    <row r="35" spans="3:27">
      <c r="C35" s="699"/>
      <c r="D35" s="699"/>
      <c r="E35" s="699"/>
      <c r="F35" s="699"/>
      <c r="G35" s="699"/>
      <c r="H35" s="699"/>
      <c r="I35" s="699"/>
      <c r="J35" s="699"/>
      <c r="K35" s="699"/>
      <c r="L35" s="699"/>
      <c r="M35" s="699"/>
      <c r="N35" s="699"/>
      <c r="O35" s="699"/>
      <c r="P35" s="699"/>
      <c r="Q35" s="699"/>
      <c r="R35" s="699"/>
      <c r="S35" s="699"/>
      <c r="T35" s="699"/>
      <c r="U35" s="699"/>
      <c r="V35" s="699"/>
      <c r="W35" s="699"/>
      <c r="X35" s="699"/>
      <c r="Y35" s="699"/>
      <c r="Z35" s="699"/>
      <c r="AA35" s="699"/>
    </row>
    <row r="36" spans="3:27">
      <c r="C36" s="699"/>
      <c r="D36" s="699"/>
      <c r="E36" s="699"/>
      <c r="F36" s="699"/>
      <c r="G36" s="699"/>
      <c r="H36" s="699"/>
      <c r="I36" s="699"/>
      <c r="J36" s="699"/>
      <c r="K36" s="699"/>
      <c r="L36" s="699"/>
      <c r="M36" s="699"/>
      <c r="N36" s="699"/>
      <c r="O36" s="699"/>
      <c r="P36" s="699"/>
      <c r="Q36" s="699"/>
      <c r="R36" s="699"/>
      <c r="S36" s="699"/>
      <c r="T36" s="699"/>
      <c r="U36" s="699"/>
      <c r="V36" s="699"/>
      <c r="W36" s="699"/>
      <c r="X36" s="699"/>
      <c r="Y36" s="699"/>
      <c r="Z36" s="699"/>
      <c r="AA36" s="699"/>
    </row>
    <row r="37" spans="3:27">
      <c r="C37" s="699"/>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row>
    <row r="38" spans="3:27">
      <c r="C38" s="699"/>
      <c r="D38" s="699"/>
      <c r="E38" s="699"/>
      <c r="F38" s="699"/>
      <c r="G38" s="699"/>
      <c r="H38" s="699"/>
      <c r="I38" s="699"/>
      <c r="J38" s="699"/>
      <c r="K38" s="699"/>
      <c r="L38" s="699"/>
      <c r="M38" s="699"/>
      <c r="N38" s="699"/>
      <c r="O38" s="699"/>
      <c r="P38" s="699"/>
      <c r="Q38" s="699"/>
      <c r="R38" s="699"/>
      <c r="S38" s="699"/>
      <c r="T38" s="699"/>
      <c r="U38" s="699"/>
      <c r="V38" s="699"/>
      <c r="W38" s="699"/>
      <c r="X38" s="699"/>
      <c r="Y38" s="699"/>
      <c r="Z38" s="699"/>
      <c r="AA38" s="699"/>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P72"/>
  <sheetViews>
    <sheetView zoomScale="80" zoomScaleNormal="80" workbookViewId="0"/>
  </sheetViews>
  <sheetFormatPr defaultColWidth="8.7109375" defaultRowHeight="15"/>
  <cols>
    <col min="1" max="1" width="8.7109375" style="496"/>
    <col min="2" max="2" width="69.28515625" style="497" customWidth="1"/>
    <col min="3" max="3" width="13.7109375" style="465" customWidth="1"/>
    <col min="4" max="5" width="15.140625" style="465" bestFit="1" customWidth="1"/>
    <col min="6" max="6" width="13.28515625" style="465" customWidth="1"/>
    <col min="7" max="8" width="15.140625" style="465" bestFit="1" customWidth="1"/>
    <col min="9" max="12" width="8.7109375" style="465"/>
    <col min="13" max="13" width="13" style="465" bestFit="1" customWidth="1"/>
    <col min="14" max="16384" width="8.7109375" style="465"/>
  </cols>
  <sheetData>
    <row r="1" spans="1:16">
      <c r="A1" s="123" t="s">
        <v>30</v>
      </c>
      <c r="B1" s="464" t="str">
        <f>'Info '!C2</f>
        <v>JSC Cartu Bank</v>
      </c>
      <c r="C1" s="464"/>
    </row>
    <row r="2" spans="1:16">
      <c r="A2" s="123" t="s">
        <v>31</v>
      </c>
      <c r="B2" s="466">
        <f>'1. key ratios '!B2</f>
        <v>46112</v>
      </c>
      <c r="C2" s="464"/>
    </row>
    <row r="3" spans="1:16">
      <c r="A3" s="123"/>
      <c r="B3" s="464"/>
      <c r="C3" s="464"/>
    </row>
    <row r="4" spans="1:16" ht="21" customHeight="1">
      <c r="A4" s="717" t="s">
        <v>6</v>
      </c>
      <c r="B4" s="718" t="s">
        <v>521</v>
      </c>
      <c r="C4" s="720" t="s">
        <v>522</v>
      </c>
      <c r="D4" s="720"/>
      <c r="E4" s="720"/>
      <c r="F4" s="720" t="s">
        <v>523</v>
      </c>
      <c r="G4" s="720"/>
      <c r="H4" s="721"/>
    </row>
    <row r="5" spans="1:16" ht="21" customHeight="1">
      <c r="A5" s="717"/>
      <c r="B5" s="719"/>
      <c r="C5" s="467" t="s">
        <v>32</v>
      </c>
      <c r="D5" s="467" t="s">
        <v>33</v>
      </c>
      <c r="E5" s="467" t="s">
        <v>34</v>
      </c>
      <c r="F5" s="467" t="s">
        <v>32</v>
      </c>
      <c r="G5" s="467" t="s">
        <v>33</v>
      </c>
      <c r="H5" s="467" t="s">
        <v>34</v>
      </c>
    </row>
    <row r="6" spans="1:16" ht="26.65" customHeight="1">
      <c r="A6" s="717"/>
      <c r="B6" s="468" t="s">
        <v>524</v>
      </c>
      <c r="C6" s="722"/>
      <c r="D6" s="723"/>
      <c r="E6" s="723"/>
      <c r="F6" s="723"/>
      <c r="G6" s="723"/>
      <c r="H6" s="724"/>
    </row>
    <row r="7" spans="1:16" ht="22.9" customHeight="1">
      <c r="A7" s="469">
        <v>1</v>
      </c>
      <c r="B7" s="470" t="s">
        <v>525</v>
      </c>
      <c r="C7" s="566">
        <f>SUM(C8:C10)</f>
        <v>96099447.29706496</v>
      </c>
      <c r="D7" s="566">
        <f>SUM(D8:D10)</f>
        <v>515018431.25864398</v>
      </c>
      <c r="E7" s="567">
        <f>C7+D7</f>
        <v>611117878.55570889</v>
      </c>
      <c r="F7" s="566">
        <f>SUM(F8:F10)</f>
        <v>51863463.016558528</v>
      </c>
      <c r="G7" s="566">
        <f>SUM(G8:G10)</f>
        <v>563022059.79377699</v>
      </c>
      <c r="H7" s="567">
        <f>F7+G7</f>
        <v>614885522.81033552</v>
      </c>
      <c r="J7" s="572"/>
      <c r="K7" s="572"/>
      <c r="L7" s="572"/>
      <c r="M7" s="572"/>
      <c r="N7" s="572"/>
      <c r="O7" s="572"/>
      <c r="P7" s="572"/>
    </row>
    <row r="8" spans="1:16">
      <c r="A8" s="469">
        <v>1.1000000000000001</v>
      </c>
      <c r="B8" s="471" t="s">
        <v>526</v>
      </c>
      <c r="C8" s="566">
        <v>9384358.3000000007</v>
      </c>
      <c r="D8" s="566">
        <v>27572278.384</v>
      </c>
      <c r="E8" s="567">
        <f t="shared" ref="E8:E36" si="0">C8+D8</f>
        <v>36956636.684</v>
      </c>
      <c r="F8" s="566">
        <v>9187744.8000000007</v>
      </c>
      <c r="G8" s="566">
        <v>37109287.526199996</v>
      </c>
      <c r="H8" s="567">
        <f t="shared" ref="H8:H36" si="1">F8+G8</f>
        <v>46297032.326199993</v>
      </c>
      <c r="J8" s="572"/>
      <c r="K8" s="572"/>
      <c r="L8" s="572"/>
      <c r="M8" s="572"/>
      <c r="N8" s="572"/>
      <c r="O8" s="572"/>
    </row>
    <row r="9" spans="1:16">
      <c r="A9" s="469">
        <v>1.2</v>
      </c>
      <c r="B9" s="471" t="s">
        <v>527</v>
      </c>
      <c r="C9" s="566">
        <v>11142280.380000001</v>
      </c>
      <c r="D9" s="566">
        <v>256543829.52480268</v>
      </c>
      <c r="E9" s="567">
        <f t="shared" si="0"/>
        <v>267686109.90480268</v>
      </c>
      <c r="F9" s="566">
        <v>14712469.630000001</v>
      </c>
      <c r="G9" s="566">
        <v>270092167.60051972</v>
      </c>
      <c r="H9" s="567">
        <f t="shared" si="1"/>
        <v>284804637.23051971</v>
      </c>
      <c r="J9" s="572"/>
      <c r="K9" s="572"/>
      <c r="L9" s="572"/>
      <c r="M9" s="572"/>
      <c r="N9" s="572"/>
      <c r="O9" s="572"/>
    </row>
    <row r="10" spans="1:16">
      <c r="A10" s="469">
        <v>1.3</v>
      </c>
      <c r="B10" s="471" t="s">
        <v>528</v>
      </c>
      <c r="C10" s="566">
        <v>75572808.617064968</v>
      </c>
      <c r="D10" s="566">
        <v>230902323.3498413</v>
      </c>
      <c r="E10" s="567">
        <f t="shared" si="0"/>
        <v>306475131.96690625</v>
      </c>
      <c r="F10" s="566">
        <v>27963248.586558525</v>
      </c>
      <c r="G10" s="566">
        <v>255820604.66705734</v>
      </c>
      <c r="H10" s="567">
        <f t="shared" si="1"/>
        <v>283783853.25361586</v>
      </c>
      <c r="J10" s="572"/>
      <c r="K10" s="572"/>
      <c r="L10" s="572"/>
      <c r="M10" s="572"/>
      <c r="N10" s="572"/>
      <c r="O10" s="572"/>
    </row>
    <row r="11" spans="1:16">
      <c r="A11" s="469">
        <v>2</v>
      </c>
      <c r="B11" s="472" t="s">
        <v>529</v>
      </c>
      <c r="C11" s="566">
        <v>0</v>
      </c>
      <c r="D11" s="566">
        <v>0</v>
      </c>
      <c r="E11" s="567">
        <f t="shared" si="0"/>
        <v>0</v>
      </c>
      <c r="F11" s="566">
        <v>0</v>
      </c>
      <c r="G11" s="566">
        <v>0</v>
      </c>
      <c r="H11" s="567">
        <f t="shared" si="1"/>
        <v>0</v>
      </c>
      <c r="J11" s="572"/>
      <c r="K11" s="572"/>
      <c r="L11" s="572"/>
      <c r="M11" s="572"/>
      <c r="N11" s="572"/>
      <c r="O11" s="572"/>
    </row>
    <row r="12" spans="1:16">
      <c r="A12" s="469">
        <v>2.1</v>
      </c>
      <c r="B12" s="473" t="s">
        <v>530</v>
      </c>
      <c r="C12" s="566">
        <v>0</v>
      </c>
      <c r="D12" s="566">
        <v>0</v>
      </c>
      <c r="E12" s="567">
        <f t="shared" si="0"/>
        <v>0</v>
      </c>
      <c r="F12" s="566">
        <v>0</v>
      </c>
      <c r="G12" s="566">
        <v>0</v>
      </c>
      <c r="H12" s="567">
        <f t="shared" si="1"/>
        <v>0</v>
      </c>
      <c r="J12" s="572"/>
      <c r="K12" s="572"/>
      <c r="L12" s="572"/>
      <c r="M12" s="572"/>
      <c r="N12" s="572"/>
      <c r="O12" s="572"/>
    </row>
    <row r="13" spans="1:16" ht="26.65" customHeight="1">
      <c r="A13" s="469">
        <v>3</v>
      </c>
      <c r="B13" s="474" t="s">
        <v>531</v>
      </c>
      <c r="C13" s="566">
        <v>0</v>
      </c>
      <c r="D13" s="566">
        <v>0</v>
      </c>
      <c r="E13" s="567">
        <f t="shared" si="0"/>
        <v>0</v>
      </c>
      <c r="F13" s="566">
        <v>0</v>
      </c>
      <c r="G13" s="566">
        <v>0</v>
      </c>
      <c r="H13" s="567">
        <f t="shared" si="1"/>
        <v>0</v>
      </c>
      <c r="J13" s="572"/>
      <c r="K13" s="572"/>
      <c r="L13" s="572"/>
      <c r="M13" s="572"/>
      <c r="N13" s="572"/>
      <c r="O13" s="572"/>
    </row>
    <row r="14" spans="1:16" ht="26.65" customHeight="1">
      <c r="A14" s="469">
        <v>4</v>
      </c>
      <c r="B14" s="475" t="s">
        <v>532</v>
      </c>
      <c r="C14" s="566">
        <v>0</v>
      </c>
      <c r="D14" s="566">
        <v>0</v>
      </c>
      <c r="E14" s="567">
        <f t="shared" si="0"/>
        <v>0</v>
      </c>
      <c r="F14" s="566">
        <v>0</v>
      </c>
      <c r="G14" s="566">
        <v>0</v>
      </c>
      <c r="H14" s="567">
        <f t="shared" si="1"/>
        <v>0</v>
      </c>
      <c r="J14" s="572"/>
      <c r="K14" s="572"/>
      <c r="L14" s="572"/>
      <c r="M14" s="572"/>
      <c r="N14" s="572"/>
      <c r="O14" s="572"/>
    </row>
    <row r="15" spans="1:16" ht="24.4" customHeight="1">
      <c r="A15" s="469">
        <v>5</v>
      </c>
      <c r="B15" s="476" t="s">
        <v>533</v>
      </c>
      <c r="C15" s="568">
        <f>SUM(C16:C18)</f>
        <v>175637.53</v>
      </c>
      <c r="D15" s="568">
        <f>SUM(D16:D18)</f>
        <v>0</v>
      </c>
      <c r="E15" s="569">
        <f t="shared" si="0"/>
        <v>175637.53</v>
      </c>
      <c r="F15" s="568">
        <f>SUM(F16:F18)</f>
        <v>7408054.2999999998</v>
      </c>
      <c r="G15" s="568">
        <f>SUM(G16:G18)</f>
        <v>0</v>
      </c>
      <c r="H15" s="569">
        <f t="shared" si="1"/>
        <v>7408054.2999999998</v>
      </c>
      <c r="J15" s="572"/>
      <c r="K15" s="572"/>
      <c r="L15" s="572"/>
      <c r="M15" s="572"/>
      <c r="N15" s="572"/>
      <c r="O15" s="572"/>
    </row>
    <row r="16" spans="1:16">
      <c r="A16" s="469">
        <v>5.0999999999999996</v>
      </c>
      <c r="B16" s="477" t="s">
        <v>534</v>
      </c>
      <c r="C16" s="566">
        <v>175637.53</v>
      </c>
      <c r="D16" s="566">
        <v>0</v>
      </c>
      <c r="E16" s="567">
        <f t="shared" si="0"/>
        <v>175637.53</v>
      </c>
      <c r="F16" s="566">
        <v>175637.53</v>
      </c>
      <c r="G16" s="566">
        <v>0</v>
      </c>
      <c r="H16" s="567">
        <f t="shared" si="1"/>
        <v>175637.53</v>
      </c>
      <c r="J16" s="572"/>
      <c r="K16" s="572"/>
      <c r="L16" s="572"/>
      <c r="M16" s="572"/>
      <c r="N16" s="572"/>
      <c r="O16" s="572"/>
    </row>
    <row r="17" spans="1:15">
      <c r="A17" s="469">
        <v>5.2</v>
      </c>
      <c r="B17" s="477" t="s">
        <v>535</v>
      </c>
      <c r="C17" s="566">
        <v>0</v>
      </c>
      <c r="D17" s="566">
        <v>0</v>
      </c>
      <c r="E17" s="567">
        <f t="shared" si="0"/>
        <v>0</v>
      </c>
      <c r="F17" s="566">
        <v>7232416.7699999996</v>
      </c>
      <c r="G17" s="566">
        <v>0</v>
      </c>
      <c r="H17" s="567">
        <f t="shared" si="1"/>
        <v>7232416.7699999996</v>
      </c>
      <c r="J17" s="572"/>
      <c r="K17" s="572"/>
      <c r="L17" s="572"/>
      <c r="M17" s="572"/>
      <c r="N17" s="572"/>
      <c r="O17" s="572"/>
    </row>
    <row r="18" spans="1:15">
      <c r="A18" s="469">
        <v>5.3</v>
      </c>
      <c r="B18" s="478" t="s">
        <v>536</v>
      </c>
      <c r="C18" s="566">
        <v>0</v>
      </c>
      <c r="D18" s="566">
        <v>0</v>
      </c>
      <c r="E18" s="567">
        <f t="shared" si="0"/>
        <v>0</v>
      </c>
      <c r="F18" s="566">
        <v>0</v>
      </c>
      <c r="G18" s="566">
        <v>0</v>
      </c>
      <c r="H18" s="567">
        <f t="shared" si="1"/>
        <v>0</v>
      </c>
      <c r="J18" s="572"/>
      <c r="K18" s="572"/>
      <c r="L18" s="572"/>
      <c r="M18" s="572"/>
      <c r="N18" s="572"/>
      <c r="O18" s="572"/>
    </row>
    <row r="19" spans="1:15">
      <c r="A19" s="469">
        <v>6</v>
      </c>
      <c r="B19" s="474" t="s">
        <v>537</v>
      </c>
      <c r="C19" s="566">
        <f>SUM(C20:C21)</f>
        <v>613593567.75066447</v>
      </c>
      <c r="D19" s="566">
        <f>SUM(D20:D21)</f>
        <v>603374391.21774948</v>
      </c>
      <c r="E19" s="567">
        <f t="shared" si="0"/>
        <v>1216967958.9684138</v>
      </c>
      <c r="F19" s="566">
        <f>SUM(F20:F21)</f>
        <v>491083040.81970608</v>
      </c>
      <c r="G19" s="566">
        <f>SUM(G20:G21)</f>
        <v>609331053.35363483</v>
      </c>
      <c r="H19" s="567">
        <f t="shared" si="1"/>
        <v>1100414094.1733408</v>
      </c>
      <c r="J19" s="572"/>
      <c r="K19" s="572"/>
      <c r="L19" s="572"/>
      <c r="M19" s="572"/>
      <c r="N19" s="572"/>
      <c r="O19" s="572"/>
    </row>
    <row r="20" spans="1:15">
      <c r="A20" s="469">
        <v>6.1</v>
      </c>
      <c r="B20" s="477" t="s">
        <v>535</v>
      </c>
      <c r="C20" s="566">
        <v>75889429.706043974</v>
      </c>
      <c r="D20" s="566">
        <v>0</v>
      </c>
      <c r="E20" s="567">
        <f t="shared" si="0"/>
        <v>75889429.706043974</v>
      </c>
      <c r="F20" s="566">
        <v>60336411.374246351</v>
      </c>
      <c r="G20" s="566">
        <v>0</v>
      </c>
      <c r="H20" s="567">
        <f t="shared" si="1"/>
        <v>60336411.374246351</v>
      </c>
      <c r="J20" s="572"/>
      <c r="K20" s="572"/>
      <c r="L20" s="572"/>
      <c r="M20" s="572"/>
      <c r="N20" s="572"/>
      <c r="O20" s="572"/>
    </row>
    <row r="21" spans="1:15">
      <c r="A21" s="469">
        <v>6.2</v>
      </c>
      <c r="B21" s="478" t="s">
        <v>536</v>
      </c>
      <c r="C21" s="566">
        <v>537704138.04462051</v>
      </c>
      <c r="D21" s="566">
        <v>603374391.21774948</v>
      </c>
      <c r="E21" s="567">
        <f t="shared" si="0"/>
        <v>1141078529.2623701</v>
      </c>
      <c r="F21" s="566">
        <v>430746629.44545972</v>
      </c>
      <c r="G21" s="566">
        <v>609331053.35363483</v>
      </c>
      <c r="H21" s="567">
        <f t="shared" si="1"/>
        <v>1040077682.7990946</v>
      </c>
      <c r="J21" s="572"/>
      <c r="K21" s="572"/>
      <c r="L21" s="572"/>
      <c r="M21" s="572"/>
      <c r="N21" s="572"/>
      <c r="O21" s="572"/>
    </row>
    <row r="22" spans="1:15">
      <c r="A22" s="469">
        <v>7</v>
      </c>
      <c r="B22" s="472" t="s">
        <v>538</v>
      </c>
      <c r="C22" s="566">
        <v>9527300</v>
      </c>
      <c r="D22" s="566">
        <v>0</v>
      </c>
      <c r="E22" s="567">
        <f t="shared" si="0"/>
        <v>9527300</v>
      </c>
      <c r="F22" s="566">
        <v>9522300</v>
      </c>
      <c r="G22" s="566">
        <v>0</v>
      </c>
      <c r="H22" s="567">
        <f t="shared" si="1"/>
        <v>9522300</v>
      </c>
      <c r="J22" s="572"/>
      <c r="K22" s="572"/>
      <c r="L22" s="572"/>
      <c r="M22" s="572"/>
      <c r="N22" s="572"/>
      <c r="O22" s="572"/>
    </row>
    <row r="23" spans="1:15">
      <c r="A23" s="469">
        <v>8</v>
      </c>
      <c r="B23" s="479" t="s">
        <v>539</v>
      </c>
      <c r="C23" s="566">
        <v>0</v>
      </c>
      <c r="D23" s="566">
        <v>0</v>
      </c>
      <c r="E23" s="567">
        <f t="shared" si="0"/>
        <v>0</v>
      </c>
      <c r="F23" s="566">
        <v>0</v>
      </c>
      <c r="G23" s="566">
        <v>0</v>
      </c>
      <c r="H23" s="567">
        <f t="shared" si="1"/>
        <v>0</v>
      </c>
      <c r="J23" s="572"/>
      <c r="K23" s="572"/>
      <c r="L23" s="572"/>
      <c r="M23" s="572"/>
      <c r="N23" s="572"/>
      <c r="O23" s="572"/>
    </row>
    <row r="24" spans="1:15">
      <c r="A24" s="469">
        <v>9</v>
      </c>
      <c r="B24" s="475" t="s">
        <v>540</v>
      </c>
      <c r="C24" s="566">
        <f>SUM(C25:C26)</f>
        <v>24285653.962592997</v>
      </c>
      <c r="D24" s="566">
        <f>SUM(D25:D26)</f>
        <v>0</v>
      </c>
      <c r="E24" s="567">
        <f t="shared" si="0"/>
        <v>24285653.962592997</v>
      </c>
      <c r="F24" s="566">
        <f>SUM(F25:F26)</f>
        <v>22057337.192990594</v>
      </c>
      <c r="G24" s="566">
        <f>SUM(G25:G26)</f>
        <v>0</v>
      </c>
      <c r="H24" s="567">
        <f t="shared" si="1"/>
        <v>22057337.192990594</v>
      </c>
      <c r="J24" s="572"/>
      <c r="K24" s="572"/>
      <c r="L24" s="572"/>
      <c r="M24" s="572"/>
      <c r="N24" s="572"/>
      <c r="O24" s="572"/>
    </row>
    <row r="25" spans="1:15">
      <c r="A25" s="469">
        <v>9.1</v>
      </c>
      <c r="B25" s="477" t="s">
        <v>541</v>
      </c>
      <c r="C25" s="566">
        <v>24285653.962592997</v>
      </c>
      <c r="D25" s="566">
        <v>0</v>
      </c>
      <c r="E25" s="567">
        <f t="shared" si="0"/>
        <v>24285653.962592997</v>
      </c>
      <c r="F25" s="566">
        <v>22057337.192990594</v>
      </c>
      <c r="G25" s="566">
        <v>0</v>
      </c>
      <c r="H25" s="567">
        <f t="shared" si="1"/>
        <v>22057337.192990594</v>
      </c>
      <c r="J25" s="572"/>
      <c r="K25" s="572"/>
      <c r="L25" s="572"/>
      <c r="M25" s="572"/>
      <c r="N25" s="572"/>
      <c r="O25" s="572"/>
    </row>
    <row r="26" spans="1:15">
      <c r="A26" s="469">
        <v>9.1999999999999993</v>
      </c>
      <c r="B26" s="477" t="s">
        <v>542</v>
      </c>
      <c r="C26" s="566">
        <v>0</v>
      </c>
      <c r="D26" s="566">
        <v>0</v>
      </c>
      <c r="E26" s="567">
        <f t="shared" si="0"/>
        <v>0</v>
      </c>
      <c r="F26" s="566">
        <v>0</v>
      </c>
      <c r="G26" s="566">
        <v>0</v>
      </c>
      <c r="H26" s="567">
        <f t="shared" si="1"/>
        <v>0</v>
      </c>
      <c r="J26" s="572"/>
      <c r="K26" s="572"/>
      <c r="L26" s="572"/>
      <c r="M26" s="572"/>
      <c r="N26" s="572"/>
      <c r="O26" s="572"/>
    </row>
    <row r="27" spans="1:15">
      <c r="A27" s="469">
        <v>10</v>
      </c>
      <c r="B27" s="475" t="s">
        <v>543</v>
      </c>
      <c r="C27" s="566">
        <f>SUM(C28:C29)</f>
        <v>14370701.440000001</v>
      </c>
      <c r="D27" s="566">
        <f>SUM(D28:D29)</f>
        <v>1254368.2199999997</v>
      </c>
      <c r="E27" s="567">
        <f t="shared" si="0"/>
        <v>15625069.66</v>
      </c>
      <c r="F27" s="566">
        <f>SUM(F28:F29)</f>
        <v>10633827.230000002</v>
      </c>
      <c r="G27" s="566">
        <f>SUM(G28:G29)</f>
        <v>1716587.12</v>
      </c>
      <c r="H27" s="567">
        <f t="shared" si="1"/>
        <v>12350414.350000001</v>
      </c>
      <c r="J27" s="572"/>
      <c r="K27" s="572"/>
      <c r="L27" s="572"/>
      <c r="M27" s="572"/>
      <c r="N27" s="572"/>
      <c r="O27" s="572"/>
    </row>
    <row r="28" spans="1:15">
      <c r="A28" s="469">
        <v>10.1</v>
      </c>
      <c r="B28" s="477" t="s">
        <v>544</v>
      </c>
      <c r="C28" s="566">
        <v>0</v>
      </c>
      <c r="D28" s="566">
        <v>0</v>
      </c>
      <c r="E28" s="567">
        <f t="shared" si="0"/>
        <v>0</v>
      </c>
      <c r="F28" s="566">
        <v>0</v>
      </c>
      <c r="G28" s="566">
        <v>0</v>
      </c>
      <c r="H28" s="567">
        <f t="shared" si="1"/>
        <v>0</v>
      </c>
      <c r="J28" s="572"/>
      <c r="K28" s="572"/>
      <c r="L28" s="572"/>
      <c r="M28" s="572"/>
      <c r="N28" s="572"/>
      <c r="O28" s="572"/>
    </row>
    <row r="29" spans="1:15">
      <c r="A29" s="469">
        <v>10.199999999999999</v>
      </c>
      <c r="B29" s="477" t="s">
        <v>545</v>
      </c>
      <c r="C29" s="566">
        <v>14370701.440000001</v>
      </c>
      <c r="D29" s="566">
        <v>1254368.2199999997</v>
      </c>
      <c r="E29" s="567">
        <f t="shared" si="0"/>
        <v>15625069.66</v>
      </c>
      <c r="F29" s="566">
        <v>10633827.230000002</v>
      </c>
      <c r="G29" s="566">
        <v>1716587.12</v>
      </c>
      <c r="H29" s="567">
        <f t="shared" si="1"/>
        <v>12350414.350000001</v>
      </c>
      <c r="J29" s="572"/>
      <c r="K29" s="572"/>
      <c r="L29" s="572"/>
      <c r="M29" s="572"/>
      <c r="N29" s="572"/>
      <c r="O29" s="572"/>
    </row>
    <row r="30" spans="1:15">
      <c r="A30" s="469">
        <v>11</v>
      </c>
      <c r="B30" s="475" t="s">
        <v>546</v>
      </c>
      <c r="C30" s="566">
        <f>SUM(C31:C32)</f>
        <v>4209254.1011789702</v>
      </c>
      <c r="D30" s="566">
        <f>SUM(D31:D32)</f>
        <v>0</v>
      </c>
      <c r="E30" s="567">
        <f t="shared" si="0"/>
        <v>4209254.1011789702</v>
      </c>
      <c r="F30" s="566">
        <f>SUM(F31:F32)</f>
        <v>8513796.4670122191</v>
      </c>
      <c r="G30" s="566">
        <f>SUM(G31:G32)</f>
        <v>0</v>
      </c>
      <c r="H30" s="567">
        <f t="shared" si="1"/>
        <v>8513796.4670122191</v>
      </c>
      <c r="J30" s="572"/>
      <c r="K30" s="572"/>
      <c r="L30" s="572"/>
      <c r="M30" s="572"/>
      <c r="N30" s="572"/>
      <c r="O30" s="572"/>
    </row>
    <row r="31" spans="1:15">
      <c r="A31" s="469">
        <v>11.1</v>
      </c>
      <c r="B31" s="477" t="s">
        <v>547</v>
      </c>
      <c r="C31" s="566">
        <v>4209254.1011789702</v>
      </c>
      <c r="D31" s="566">
        <v>0</v>
      </c>
      <c r="E31" s="567">
        <f t="shared" si="0"/>
        <v>4209254.1011789702</v>
      </c>
      <c r="F31" s="566">
        <v>8513796.4670122191</v>
      </c>
      <c r="G31" s="566">
        <v>0</v>
      </c>
      <c r="H31" s="567">
        <f t="shared" si="1"/>
        <v>8513796.4670122191</v>
      </c>
      <c r="J31" s="572"/>
      <c r="K31" s="572"/>
      <c r="L31" s="572"/>
      <c r="M31" s="572"/>
      <c r="N31" s="572"/>
      <c r="O31" s="572"/>
    </row>
    <row r="32" spans="1:15">
      <c r="A32" s="469">
        <v>11.2</v>
      </c>
      <c r="B32" s="477" t="s">
        <v>548</v>
      </c>
      <c r="C32" s="566">
        <v>0</v>
      </c>
      <c r="D32" s="566">
        <v>0</v>
      </c>
      <c r="E32" s="567">
        <f t="shared" si="0"/>
        <v>0</v>
      </c>
      <c r="F32" s="566">
        <v>0</v>
      </c>
      <c r="G32" s="566">
        <v>0</v>
      </c>
      <c r="H32" s="567">
        <f t="shared" si="1"/>
        <v>0</v>
      </c>
      <c r="J32" s="572"/>
      <c r="K32" s="572"/>
      <c r="L32" s="572"/>
      <c r="M32" s="572"/>
      <c r="N32" s="572"/>
      <c r="O32" s="572"/>
    </row>
    <row r="33" spans="1:15">
      <c r="A33" s="469">
        <v>13</v>
      </c>
      <c r="B33" s="475" t="s">
        <v>549</v>
      </c>
      <c r="C33" s="566">
        <v>51419553.528850861</v>
      </c>
      <c r="D33" s="566">
        <v>566311.12829999998</v>
      </c>
      <c r="E33" s="567">
        <f t="shared" si="0"/>
        <v>51985864.657150865</v>
      </c>
      <c r="F33" s="566">
        <v>46428749.233766109</v>
      </c>
      <c r="G33" s="566">
        <v>459858.44920000003</v>
      </c>
      <c r="H33" s="567">
        <f t="shared" si="1"/>
        <v>46888607.682966106</v>
      </c>
      <c r="J33" s="572"/>
      <c r="K33" s="572"/>
      <c r="L33" s="572"/>
      <c r="M33" s="572"/>
      <c r="N33" s="572"/>
      <c r="O33" s="572"/>
    </row>
    <row r="34" spans="1:15">
      <c r="A34" s="469">
        <v>13.1</v>
      </c>
      <c r="B34" s="480" t="s">
        <v>550</v>
      </c>
      <c r="C34" s="566">
        <v>49317427.608850867</v>
      </c>
      <c r="D34" s="566">
        <v>0</v>
      </c>
      <c r="E34" s="567">
        <f t="shared" si="0"/>
        <v>49317427.608850867</v>
      </c>
      <c r="F34" s="566">
        <v>45010351.173766114</v>
      </c>
      <c r="G34" s="566">
        <v>0</v>
      </c>
      <c r="H34" s="567">
        <f t="shared" si="1"/>
        <v>45010351.173766114</v>
      </c>
      <c r="J34" s="572"/>
      <c r="K34" s="572"/>
      <c r="L34" s="572"/>
      <c r="M34" s="572"/>
      <c r="N34" s="572"/>
      <c r="O34" s="572"/>
    </row>
    <row r="35" spans="1:15">
      <c r="A35" s="469">
        <v>13.2</v>
      </c>
      <c r="B35" s="480" t="s">
        <v>551</v>
      </c>
      <c r="C35" s="566">
        <v>0</v>
      </c>
      <c r="D35" s="566">
        <v>0</v>
      </c>
      <c r="E35" s="567">
        <f t="shared" si="0"/>
        <v>0</v>
      </c>
      <c r="F35" s="566">
        <v>0</v>
      </c>
      <c r="G35" s="566">
        <v>0</v>
      </c>
      <c r="H35" s="567">
        <f t="shared" si="1"/>
        <v>0</v>
      </c>
      <c r="J35" s="572"/>
      <c r="K35" s="572"/>
      <c r="L35" s="572"/>
      <c r="M35" s="572"/>
      <c r="N35" s="572"/>
      <c r="O35" s="572"/>
    </row>
    <row r="36" spans="1:15">
      <c r="A36" s="469">
        <v>14</v>
      </c>
      <c r="B36" s="481" t="s">
        <v>552</v>
      </c>
      <c r="C36" s="566">
        <f>SUM(C7,C11,C13,C14,C15,C19,C22,C23,C24,C27,C30,C33)</f>
        <v>813681115.6103524</v>
      </c>
      <c r="D36" s="566">
        <f>SUM(D7,D11,D13,D14,D15,D19,D22,D23,D24,D27,D30,D33)</f>
        <v>1120213501.8246934</v>
      </c>
      <c r="E36" s="567">
        <f t="shared" si="0"/>
        <v>1933894617.4350457</v>
      </c>
      <c r="F36" s="566">
        <f>SUM(F7,F11,F13,F14,F15,F19,F22,F23,F24,F27,F30,F33)</f>
        <v>647510568.26003337</v>
      </c>
      <c r="G36" s="566">
        <f>SUM(G7,G11,G13,G14,G15,G19,G22,G23,G24,G27,G30,G33)</f>
        <v>1174529558.7166116</v>
      </c>
      <c r="H36" s="567">
        <f t="shared" si="1"/>
        <v>1822040126.976645</v>
      </c>
      <c r="J36" s="572"/>
      <c r="K36" s="572"/>
      <c r="L36" s="572"/>
      <c r="M36" s="572"/>
      <c r="N36" s="572"/>
      <c r="O36" s="572"/>
    </row>
    <row r="37" spans="1:15" ht="22.5" customHeight="1">
      <c r="A37" s="469"/>
      <c r="B37" s="482" t="s">
        <v>553</v>
      </c>
      <c r="C37" s="725"/>
      <c r="D37" s="726"/>
      <c r="E37" s="726"/>
      <c r="F37" s="726"/>
      <c r="G37" s="726"/>
      <c r="H37" s="727"/>
      <c r="J37" s="572"/>
      <c r="K37" s="572"/>
      <c r="L37" s="572"/>
      <c r="M37" s="572"/>
      <c r="N37" s="572"/>
      <c r="O37" s="572"/>
    </row>
    <row r="38" spans="1:15">
      <c r="A38" s="469">
        <v>15</v>
      </c>
      <c r="B38" s="483" t="s">
        <v>554</v>
      </c>
      <c r="C38" s="570">
        <v>0</v>
      </c>
      <c r="D38" s="570">
        <v>0</v>
      </c>
      <c r="E38" s="571">
        <f>C38+D38</f>
        <v>0</v>
      </c>
      <c r="F38" s="570">
        <v>0</v>
      </c>
      <c r="G38" s="570">
        <v>0</v>
      </c>
      <c r="H38" s="571">
        <f>F38+G38</f>
        <v>0</v>
      </c>
      <c r="J38" s="572"/>
      <c r="K38" s="572"/>
      <c r="L38" s="572"/>
      <c r="M38" s="572"/>
      <c r="N38" s="572"/>
      <c r="O38" s="572"/>
    </row>
    <row r="39" spans="1:15">
      <c r="A39" s="484">
        <v>15.1</v>
      </c>
      <c r="B39" s="485" t="s">
        <v>530</v>
      </c>
      <c r="C39" s="570">
        <v>0</v>
      </c>
      <c r="D39" s="570">
        <v>0</v>
      </c>
      <c r="E39" s="571">
        <f t="shared" ref="E39:E53" si="2">C39+D39</f>
        <v>0</v>
      </c>
      <c r="F39" s="570">
        <v>0</v>
      </c>
      <c r="G39" s="570">
        <v>0</v>
      </c>
      <c r="H39" s="571">
        <f t="shared" ref="H39:H53" si="3">F39+G39</f>
        <v>0</v>
      </c>
      <c r="J39" s="572"/>
      <c r="K39" s="572"/>
      <c r="L39" s="572"/>
      <c r="M39" s="572"/>
      <c r="N39" s="572"/>
      <c r="O39" s="572"/>
    </row>
    <row r="40" spans="1:15" ht="24" customHeight="1">
      <c r="A40" s="484">
        <v>16</v>
      </c>
      <c r="B40" s="472" t="s">
        <v>555</v>
      </c>
      <c r="C40" s="570">
        <v>0</v>
      </c>
      <c r="D40" s="570">
        <v>0</v>
      </c>
      <c r="E40" s="571">
        <f t="shared" si="2"/>
        <v>0</v>
      </c>
      <c r="F40" s="570">
        <v>0</v>
      </c>
      <c r="G40" s="570">
        <v>0</v>
      </c>
      <c r="H40" s="571">
        <f t="shared" si="3"/>
        <v>0</v>
      </c>
      <c r="J40" s="572"/>
      <c r="K40" s="572"/>
      <c r="L40" s="572"/>
      <c r="M40" s="572"/>
      <c r="N40" s="572"/>
      <c r="O40" s="572"/>
    </row>
    <row r="41" spans="1:15">
      <c r="A41" s="484">
        <v>17</v>
      </c>
      <c r="B41" s="472" t="s">
        <v>556</v>
      </c>
      <c r="C41" s="570">
        <f>SUM(C42:C45)</f>
        <v>351275132.02993637</v>
      </c>
      <c r="D41" s="570">
        <f>SUM(D42:D45)</f>
        <v>1000635338.1144273</v>
      </c>
      <c r="E41" s="571">
        <f t="shared" si="2"/>
        <v>1351910470.1443636</v>
      </c>
      <c r="F41" s="570">
        <f>SUM(F42:F45)</f>
        <v>226401271.06821939</v>
      </c>
      <c r="G41" s="570">
        <f>SUM(G42:G45)</f>
        <v>1052550766.2345077</v>
      </c>
      <c r="H41" s="571">
        <f t="shared" si="3"/>
        <v>1278952037.302727</v>
      </c>
      <c r="J41" s="572"/>
      <c r="K41" s="572"/>
      <c r="L41" s="572"/>
      <c r="M41" s="572"/>
      <c r="N41" s="572"/>
      <c r="O41" s="572"/>
    </row>
    <row r="42" spans="1:15">
      <c r="A42" s="484">
        <v>17.100000000000001</v>
      </c>
      <c r="B42" s="486" t="s">
        <v>557</v>
      </c>
      <c r="C42" s="570">
        <v>344760868.31</v>
      </c>
      <c r="D42" s="570">
        <v>996791877.22170019</v>
      </c>
      <c r="E42" s="571">
        <f t="shared" si="2"/>
        <v>1341552745.5317001</v>
      </c>
      <c r="F42" s="570">
        <v>219587972.82999998</v>
      </c>
      <c r="G42" s="570">
        <v>1049727396.6086001</v>
      </c>
      <c r="H42" s="571">
        <f t="shared" si="3"/>
        <v>1269315369.4386001</v>
      </c>
      <c r="J42" s="572"/>
      <c r="K42" s="572"/>
      <c r="L42" s="572"/>
      <c r="M42" s="572"/>
      <c r="N42" s="572"/>
      <c r="O42" s="572"/>
    </row>
    <row r="43" spans="1:15">
      <c r="A43" s="484">
        <v>17.2</v>
      </c>
      <c r="B43" s="487" t="s">
        <v>558</v>
      </c>
      <c r="C43" s="570">
        <v>0</v>
      </c>
      <c r="D43" s="570">
        <v>0</v>
      </c>
      <c r="E43" s="571">
        <f t="shared" si="2"/>
        <v>0</v>
      </c>
      <c r="F43" s="570">
        <v>0</v>
      </c>
      <c r="G43" s="570">
        <v>0</v>
      </c>
      <c r="H43" s="571">
        <f t="shared" si="3"/>
        <v>0</v>
      </c>
      <c r="J43" s="572"/>
      <c r="K43" s="572"/>
      <c r="L43" s="572"/>
      <c r="M43" s="572"/>
      <c r="N43" s="572"/>
      <c r="O43" s="572"/>
    </row>
    <row r="44" spans="1:15">
      <c r="A44" s="484">
        <v>17.3</v>
      </c>
      <c r="B44" s="486" t="s">
        <v>559</v>
      </c>
      <c r="C44" s="570">
        <v>0</v>
      </c>
      <c r="D44" s="570">
        <v>0</v>
      </c>
      <c r="E44" s="571">
        <f t="shared" si="2"/>
        <v>0</v>
      </c>
      <c r="F44" s="570">
        <v>0</v>
      </c>
      <c r="G44" s="570">
        <v>0</v>
      </c>
      <c r="H44" s="571">
        <f t="shared" si="3"/>
        <v>0</v>
      </c>
      <c r="J44" s="572"/>
      <c r="K44" s="572"/>
      <c r="L44" s="572"/>
      <c r="M44" s="572"/>
      <c r="N44" s="572"/>
      <c r="O44" s="572"/>
    </row>
    <row r="45" spans="1:15">
      <c r="A45" s="484">
        <v>17.399999999999999</v>
      </c>
      <c r="B45" s="486" t="s">
        <v>560</v>
      </c>
      <c r="C45" s="570">
        <v>6514263.7199363504</v>
      </c>
      <c r="D45" s="570">
        <v>3843460.8927271492</v>
      </c>
      <c r="E45" s="571">
        <f t="shared" si="2"/>
        <v>10357724.6126635</v>
      </c>
      <c r="F45" s="570">
        <v>6813298.2382194204</v>
      </c>
      <c r="G45" s="570">
        <v>2823369.6259075846</v>
      </c>
      <c r="H45" s="571">
        <f t="shared" si="3"/>
        <v>9636667.8641270045</v>
      </c>
      <c r="J45" s="572"/>
      <c r="K45" s="572"/>
      <c r="L45" s="572"/>
      <c r="M45" s="572"/>
      <c r="N45" s="572"/>
      <c r="O45" s="572"/>
    </row>
    <row r="46" spans="1:15">
      <c r="A46" s="484">
        <v>18</v>
      </c>
      <c r="B46" s="475" t="s">
        <v>561</v>
      </c>
      <c r="C46" s="570">
        <v>240057.87152097476</v>
      </c>
      <c r="D46" s="570">
        <v>320495.23368782131</v>
      </c>
      <c r="E46" s="571">
        <f t="shared" si="2"/>
        <v>560553.1052087961</v>
      </c>
      <c r="F46" s="570">
        <v>191321.08267089719</v>
      </c>
      <c r="G46" s="570">
        <v>303482.48818640597</v>
      </c>
      <c r="H46" s="571">
        <f t="shared" si="3"/>
        <v>494803.57085730316</v>
      </c>
      <c r="J46" s="572"/>
      <c r="K46" s="572"/>
      <c r="L46" s="572"/>
      <c r="M46" s="572"/>
      <c r="N46" s="572"/>
      <c r="O46" s="572"/>
    </row>
    <row r="47" spans="1:15">
      <c r="A47" s="484">
        <v>19</v>
      </c>
      <c r="B47" s="475" t="s">
        <v>562</v>
      </c>
      <c r="C47" s="570">
        <f>SUM(C48:C49)</f>
        <v>3011254.0238896543</v>
      </c>
      <c r="D47" s="570">
        <f>SUM(D48:D49)</f>
        <v>0</v>
      </c>
      <c r="E47" s="571">
        <f t="shared" si="2"/>
        <v>3011254.0238896543</v>
      </c>
      <c r="F47" s="570">
        <f>SUM(F48:F49)</f>
        <v>2580677.1735710576</v>
      </c>
      <c r="G47" s="570">
        <f>SUM(G48:G49)</f>
        <v>0</v>
      </c>
      <c r="H47" s="571">
        <f t="shared" si="3"/>
        <v>2580677.1735710576</v>
      </c>
      <c r="J47" s="572"/>
      <c r="K47" s="572"/>
      <c r="L47" s="572"/>
      <c r="M47" s="572"/>
      <c r="N47" s="572"/>
      <c r="O47" s="572"/>
    </row>
    <row r="48" spans="1:15">
      <c r="A48" s="484">
        <v>19.100000000000001</v>
      </c>
      <c r="B48" s="488" t="s">
        <v>563</v>
      </c>
      <c r="C48" s="570">
        <v>0</v>
      </c>
      <c r="D48" s="570">
        <v>0</v>
      </c>
      <c r="E48" s="571">
        <f t="shared" si="2"/>
        <v>0</v>
      </c>
      <c r="F48" s="570">
        <v>0</v>
      </c>
      <c r="G48" s="570">
        <v>0</v>
      </c>
      <c r="H48" s="571">
        <f t="shared" si="3"/>
        <v>0</v>
      </c>
      <c r="J48" s="572"/>
      <c r="K48" s="572"/>
      <c r="L48" s="572"/>
      <c r="M48" s="572"/>
      <c r="N48" s="572"/>
      <c r="O48" s="572"/>
    </row>
    <row r="49" spans="1:15">
      <c r="A49" s="484">
        <v>19.2</v>
      </c>
      <c r="B49" s="489" t="s">
        <v>564</v>
      </c>
      <c r="C49" s="570">
        <v>3011254.0238896543</v>
      </c>
      <c r="D49" s="570">
        <v>0</v>
      </c>
      <c r="E49" s="571">
        <f t="shared" si="2"/>
        <v>3011254.0238896543</v>
      </c>
      <c r="F49" s="570">
        <v>2580677.1735710576</v>
      </c>
      <c r="G49" s="570">
        <v>0</v>
      </c>
      <c r="H49" s="571">
        <f t="shared" si="3"/>
        <v>2580677.1735710576</v>
      </c>
      <c r="J49" s="572"/>
      <c r="K49" s="572"/>
      <c r="L49" s="572"/>
      <c r="M49" s="572"/>
      <c r="N49" s="572"/>
      <c r="O49" s="572"/>
    </row>
    <row r="50" spans="1:15">
      <c r="A50" s="484">
        <v>20</v>
      </c>
      <c r="B50" s="490" t="s">
        <v>565</v>
      </c>
      <c r="C50" s="570">
        <v>0</v>
      </c>
      <c r="D50" s="570">
        <v>81463938.573199779</v>
      </c>
      <c r="E50" s="571">
        <f t="shared" si="2"/>
        <v>81463938.573199779</v>
      </c>
      <c r="F50" s="570">
        <v>0</v>
      </c>
      <c r="G50" s="570">
        <v>84096865.765199766</v>
      </c>
      <c r="H50" s="571">
        <f t="shared" si="3"/>
        <v>84096865.765199766</v>
      </c>
      <c r="J50" s="572"/>
      <c r="K50" s="572"/>
      <c r="L50" s="572"/>
      <c r="M50" s="572"/>
      <c r="N50" s="572"/>
      <c r="O50" s="572"/>
    </row>
    <row r="51" spans="1:15">
      <c r="A51" s="484">
        <v>21</v>
      </c>
      <c r="B51" s="479" t="s">
        <v>566</v>
      </c>
      <c r="C51" s="570">
        <v>5996042.6200000001</v>
      </c>
      <c r="D51" s="570">
        <v>5845.8069000000833</v>
      </c>
      <c r="E51" s="571">
        <f t="shared" si="2"/>
        <v>6001888.4269000003</v>
      </c>
      <c r="F51" s="570">
        <v>676079.59959999972</v>
      </c>
      <c r="G51" s="570">
        <v>702376.9770999999</v>
      </c>
      <c r="H51" s="571">
        <f t="shared" si="3"/>
        <v>1378456.5766999996</v>
      </c>
      <c r="J51" s="572"/>
      <c r="K51" s="572"/>
      <c r="L51" s="572"/>
      <c r="M51" s="572"/>
      <c r="N51" s="572"/>
      <c r="O51" s="572"/>
    </row>
    <row r="52" spans="1:15">
      <c r="A52" s="484">
        <v>21.1</v>
      </c>
      <c r="B52" s="487" t="s">
        <v>567</v>
      </c>
      <c r="C52" s="570">
        <v>0</v>
      </c>
      <c r="D52" s="570">
        <v>0</v>
      </c>
      <c r="E52" s="571">
        <f t="shared" si="2"/>
        <v>0</v>
      </c>
      <c r="F52" s="570">
        <v>0</v>
      </c>
      <c r="G52" s="570">
        <v>0</v>
      </c>
      <c r="H52" s="571">
        <f t="shared" si="3"/>
        <v>0</v>
      </c>
      <c r="J52" s="572"/>
      <c r="K52" s="572"/>
      <c r="L52" s="572"/>
      <c r="M52" s="572"/>
      <c r="N52" s="572"/>
      <c r="O52" s="572"/>
    </row>
    <row r="53" spans="1:15">
      <c r="A53" s="484">
        <v>22</v>
      </c>
      <c r="B53" s="491" t="s">
        <v>568</v>
      </c>
      <c r="C53" s="570">
        <f>SUM(C38,C40,C41,C46,C47,C50,C51)</f>
        <v>360522486.54534703</v>
      </c>
      <c r="D53" s="570">
        <f>SUM(D38,D40,D41,D46,D47,D50,D51)</f>
        <v>1082425617.728215</v>
      </c>
      <c r="E53" s="571">
        <f t="shared" si="2"/>
        <v>1442948104.273562</v>
      </c>
      <c r="F53" s="570">
        <f>SUM(F38,F40,F41,F46,F47,F50,F51)</f>
        <v>229849348.92406133</v>
      </c>
      <c r="G53" s="570">
        <f>SUM(G38,G40,G41,G46,G47,G50,G51)</f>
        <v>1137653491.4649937</v>
      </c>
      <c r="H53" s="571">
        <f t="shared" si="3"/>
        <v>1367502840.389055</v>
      </c>
      <c r="J53" s="572"/>
      <c r="K53" s="572"/>
      <c r="L53" s="572"/>
      <c r="M53" s="572"/>
      <c r="N53" s="572"/>
      <c r="O53" s="572"/>
    </row>
    <row r="54" spans="1:15" ht="24" customHeight="1">
      <c r="A54" s="484"/>
      <c r="B54" s="492" t="s">
        <v>569</v>
      </c>
      <c r="C54" s="714"/>
      <c r="D54" s="715"/>
      <c r="E54" s="715"/>
      <c r="F54" s="715"/>
      <c r="G54" s="715"/>
      <c r="H54" s="716"/>
      <c r="J54" s="572"/>
      <c r="K54" s="572"/>
      <c r="L54" s="572"/>
      <c r="M54" s="572"/>
      <c r="N54" s="572"/>
      <c r="O54" s="572"/>
    </row>
    <row r="55" spans="1:15">
      <c r="A55" s="484">
        <v>23</v>
      </c>
      <c r="B55" s="500" t="s">
        <v>710</v>
      </c>
      <c r="C55" s="570">
        <v>114430000</v>
      </c>
      <c r="D55" s="570">
        <v>0</v>
      </c>
      <c r="E55" s="571">
        <f>C55+D55</f>
        <v>114430000</v>
      </c>
      <c r="F55" s="570">
        <v>114430000</v>
      </c>
      <c r="G55" s="570">
        <v>0</v>
      </c>
      <c r="H55" s="571">
        <f>F55+G55</f>
        <v>114430000</v>
      </c>
      <c r="J55" s="572"/>
      <c r="K55" s="572"/>
      <c r="L55" s="572"/>
      <c r="M55" s="572"/>
      <c r="N55" s="572"/>
      <c r="O55" s="572"/>
    </row>
    <row r="56" spans="1:15">
      <c r="A56" s="484">
        <v>24</v>
      </c>
      <c r="B56" s="490" t="s">
        <v>571</v>
      </c>
      <c r="C56" s="570">
        <v>0</v>
      </c>
      <c r="D56" s="570">
        <v>0</v>
      </c>
      <c r="E56" s="571">
        <f t="shared" ref="E56:E69" si="4">C56+D56</f>
        <v>0</v>
      </c>
      <c r="F56" s="570">
        <v>0</v>
      </c>
      <c r="G56" s="570">
        <v>0</v>
      </c>
      <c r="H56" s="571">
        <f t="shared" ref="H56:H69" si="5">F56+G56</f>
        <v>0</v>
      </c>
      <c r="J56" s="572"/>
      <c r="K56" s="572"/>
      <c r="L56" s="572"/>
      <c r="M56" s="572"/>
      <c r="N56" s="572"/>
      <c r="O56" s="572"/>
    </row>
    <row r="57" spans="1:15">
      <c r="A57" s="484">
        <v>25</v>
      </c>
      <c r="B57" s="475" t="s">
        <v>572</v>
      </c>
      <c r="C57" s="570">
        <v>0</v>
      </c>
      <c r="D57" s="570">
        <v>0</v>
      </c>
      <c r="E57" s="571">
        <f t="shared" si="4"/>
        <v>0</v>
      </c>
      <c r="F57" s="570">
        <v>0</v>
      </c>
      <c r="G57" s="570">
        <v>0</v>
      </c>
      <c r="H57" s="571">
        <f t="shared" si="5"/>
        <v>0</v>
      </c>
      <c r="J57" s="572"/>
      <c r="K57" s="572"/>
      <c r="L57" s="572"/>
      <c r="M57" s="572"/>
      <c r="N57" s="572"/>
      <c r="O57" s="572"/>
    </row>
    <row r="58" spans="1:15">
      <c r="A58" s="484">
        <v>26</v>
      </c>
      <c r="B58" s="475" t="s">
        <v>573</v>
      </c>
      <c r="C58" s="570">
        <v>0</v>
      </c>
      <c r="D58" s="570">
        <v>0</v>
      </c>
      <c r="E58" s="571">
        <f t="shared" si="4"/>
        <v>0</v>
      </c>
      <c r="F58" s="570">
        <v>0</v>
      </c>
      <c r="G58" s="570">
        <v>0</v>
      </c>
      <c r="H58" s="571">
        <f t="shared" si="5"/>
        <v>0</v>
      </c>
      <c r="J58" s="572"/>
      <c r="K58" s="572"/>
      <c r="L58" s="572"/>
      <c r="M58" s="572"/>
      <c r="N58" s="572"/>
      <c r="O58" s="572"/>
    </row>
    <row r="59" spans="1:15">
      <c r="A59" s="484">
        <v>27</v>
      </c>
      <c r="B59" s="475" t="s">
        <v>574</v>
      </c>
      <c r="C59" s="570">
        <f>SUM(C60:C61)</f>
        <v>23845347.84</v>
      </c>
      <c r="D59" s="570">
        <f>SUM(D60:D61)</f>
        <v>0</v>
      </c>
      <c r="E59" s="571">
        <f t="shared" si="4"/>
        <v>23845347.84</v>
      </c>
      <c r="F59" s="570">
        <f>SUM(F60:F61)</f>
        <v>23845347.84</v>
      </c>
      <c r="G59" s="570">
        <f>SUM(G60:G61)</f>
        <v>0</v>
      </c>
      <c r="H59" s="571">
        <f t="shared" si="5"/>
        <v>23845347.84</v>
      </c>
      <c r="J59" s="572"/>
      <c r="K59" s="572"/>
      <c r="L59" s="572"/>
      <c r="M59" s="572"/>
      <c r="N59" s="572"/>
      <c r="O59" s="572"/>
    </row>
    <row r="60" spans="1:15">
      <c r="A60" s="484">
        <v>27.1</v>
      </c>
      <c r="B60" s="486" t="s">
        <v>575</v>
      </c>
      <c r="C60" s="570">
        <v>23845347.84</v>
      </c>
      <c r="D60" s="570">
        <v>0</v>
      </c>
      <c r="E60" s="571">
        <f t="shared" si="4"/>
        <v>23845347.84</v>
      </c>
      <c r="F60" s="570">
        <v>23845347.84</v>
      </c>
      <c r="G60" s="570">
        <v>0</v>
      </c>
      <c r="H60" s="571">
        <f t="shared" si="5"/>
        <v>23845347.84</v>
      </c>
      <c r="J60" s="572"/>
      <c r="K60" s="572"/>
      <c r="L60" s="572"/>
      <c r="M60" s="572"/>
      <c r="N60" s="572"/>
      <c r="O60" s="572"/>
    </row>
    <row r="61" spans="1:15">
      <c r="A61" s="484">
        <v>27.2</v>
      </c>
      <c r="B61" s="486" t="s">
        <v>576</v>
      </c>
      <c r="C61" s="570">
        <v>0</v>
      </c>
      <c r="D61" s="570">
        <v>0</v>
      </c>
      <c r="E61" s="571">
        <f t="shared" si="4"/>
        <v>0</v>
      </c>
      <c r="F61" s="570">
        <v>0</v>
      </c>
      <c r="G61" s="570">
        <v>0</v>
      </c>
      <c r="H61" s="571">
        <f t="shared" si="5"/>
        <v>0</v>
      </c>
      <c r="J61" s="572"/>
      <c r="K61" s="572"/>
      <c r="L61" s="572"/>
      <c r="M61" s="572"/>
      <c r="N61" s="572"/>
      <c r="O61" s="572"/>
    </row>
    <row r="62" spans="1:15">
      <c r="A62" s="484">
        <v>28</v>
      </c>
      <c r="B62" s="493" t="s">
        <v>577</v>
      </c>
      <c r="C62" s="570">
        <v>0</v>
      </c>
      <c r="D62" s="570">
        <v>0</v>
      </c>
      <c r="E62" s="571">
        <f t="shared" si="4"/>
        <v>0</v>
      </c>
      <c r="F62" s="570">
        <v>0</v>
      </c>
      <c r="G62" s="570">
        <v>0</v>
      </c>
      <c r="H62" s="571">
        <f t="shared" si="5"/>
        <v>0</v>
      </c>
      <c r="J62" s="572"/>
      <c r="K62" s="572"/>
      <c r="L62" s="572"/>
      <c r="M62" s="572"/>
      <c r="N62" s="572"/>
      <c r="O62" s="572"/>
    </row>
    <row r="63" spans="1:15">
      <c r="A63" s="484">
        <v>29</v>
      </c>
      <c r="B63" s="475" t="s">
        <v>578</v>
      </c>
      <c r="C63" s="570">
        <f>SUM(C64:C66)</f>
        <v>0</v>
      </c>
      <c r="D63" s="570">
        <f>SUM(D64:D66)</f>
        <v>0</v>
      </c>
      <c r="E63" s="571">
        <f t="shared" si="4"/>
        <v>0</v>
      </c>
      <c r="F63" s="570">
        <f>SUM(F64:F66)</f>
        <v>21959.87840556982</v>
      </c>
      <c r="G63" s="570">
        <f>SUM(G64:G66)</f>
        <v>0</v>
      </c>
      <c r="H63" s="571">
        <f t="shared" si="5"/>
        <v>21959.87840556982</v>
      </c>
      <c r="J63" s="572"/>
      <c r="K63" s="572"/>
      <c r="L63" s="572"/>
      <c r="M63" s="572"/>
      <c r="N63" s="572"/>
      <c r="O63" s="572"/>
    </row>
    <row r="64" spans="1:15">
      <c r="A64" s="484">
        <v>29.1</v>
      </c>
      <c r="B64" s="478" t="s">
        <v>579</v>
      </c>
      <c r="C64" s="570">
        <v>0</v>
      </c>
      <c r="D64" s="570">
        <v>0</v>
      </c>
      <c r="E64" s="571">
        <f t="shared" si="4"/>
        <v>0</v>
      </c>
      <c r="F64" s="570">
        <v>0</v>
      </c>
      <c r="G64" s="570">
        <v>0</v>
      </c>
      <c r="H64" s="571">
        <f t="shared" si="5"/>
        <v>0</v>
      </c>
      <c r="J64" s="572"/>
      <c r="K64" s="572"/>
      <c r="L64" s="572"/>
      <c r="M64" s="572"/>
      <c r="N64" s="572"/>
      <c r="O64" s="572"/>
    </row>
    <row r="65" spans="1:15" ht="25.15" customHeight="1">
      <c r="A65" s="484">
        <v>29.2</v>
      </c>
      <c r="B65" s="488" t="s">
        <v>580</v>
      </c>
      <c r="C65" s="570">
        <v>0</v>
      </c>
      <c r="D65" s="570">
        <v>0</v>
      </c>
      <c r="E65" s="571">
        <f t="shared" si="4"/>
        <v>0</v>
      </c>
      <c r="F65" s="570">
        <v>0</v>
      </c>
      <c r="G65" s="570">
        <v>0</v>
      </c>
      <c r="H65" s="571">
        <f t="shared" si="5"/>
        <v>0</v>
      </c>
      <c r="J65" s="572"/>
      <c r="K65" s="572"/>
      <c r="L65" s="572"/>
      <c r="M65" s="572"/>
      <c r="N65" s="572"/>
      <c r="O65" s="572"/>
    </row>
    <row r="66" spans="1:15" ht="22.5" customHeight="1">
      <c r="A66" s="484">
        <v>29.3</v>
      </c>
      <c r="B66" s="488" t="s">
        <v>581</v>
      </c>
      <c r="C66" s="570">
        <v>0</v>
      </c>
      <c r="D66" s="570">
        <v>0</v>
      </c>
      <c r="E66" s="571">
        <f t="shared" si="4"/>
        <v>0</v>
      </c>
      <c r="F66" s="570">
        <v>21959.87840556982</v>
      </c>
      <c r="G66" s="570">
        <v>0</v>
      </c>
      <c r="H66" s="571">
        <f t="shared" si="5"/>
        <v>21959.87840556982</v>
      </c>
      <c r="J66" s="572"/>
      <c r="K66" s="572"/>
      <c r="L66" s="572"/>
      <c r="M66" s="572"/>
      <c r="N66" s="572"/>
      <c r="O66" s="572"/>
    </row>
    <row r="67" spans="1:15">
      <c r="A67" s="484">
        <v>30</v>
      </c>
      <c r="B67" s="475" t="s">
        <v>582</v>
      </c>
      <c r="C67" s="570">
        <v>352671172.36398411</v>
      </c>
      <c r="D67" s="570">
        <v>0</v>
      </c>
      <c r="E67" s="571">
        <f t="shared" si="4"/>
        <v>352671172.36398411</v>
      </c>
      <c r="F67" s="570">
        <v>316239985.23888457</v>
      </c>
      <c r="G67" s="570">
        <v>0</v>
      </c>
      <c r="H67" s="571">
        <f t="shared" si="5"/>
        <v>316239985.23888457</v>
      </c>
      <c r="J67" s="572"/>
      <c r="K67" s="572"/>
      <c r="L67" s="572"/>
      <c r="M67" s="572"/>
      <c r="N67" s="572"/>
      <c r="O67" s="572"/>
    </row>
    <row r="68" spans="1:15">
      <c r="A68" s="484">
        <v>31</v>
      </c>
      <c r="B68" s="494" t="s">
        <v>752</v>
      </c>
      <c r="C68" s="570">
        <f>SUM(C55,C56,C57,C58,C59,C62,C63,C67)</f>
        <v>490946520.20398414</v>
      </c>
      <c r="D68" s="570">
        <f>SUM(D55,D56,D57,D58,D59,D62,D63,D67)</f>
        <v>0</v>
      </c>
      <c r="E68" s="571">
        <f t="shared" si="4"/>
        <v>490946520.20398414</v>
      </c>
      <c r="F68" s="570">
        <f>SUM(F55,F56,F57,F58,F59,F62,F63,F67)</f>
        <v>454537292.95729017</v>
      </c>
      <c r="G68" s="570">
        <f>SUM(G55,G56,G57,G58,G59,G62,G63,G67)</f>
        <v>0</v>
      </c>
      <c r="H68" s="571">
        <f t="shared" si="5"/>
        <v>454537292.95729017</v>
      </c>
      <c r="J68" s="572"/>
      <c r="K68" s="572"/>
      <c r="L68" s="572"/>
      <c r="M68" s="572"/>
      <c r="N68" s="572"/>
      <c r="O68" s="572"/>
    </row>
    <row r="69" spans="1:15">
      <c r="A69" s="484">
        <v>32</v>
      </c>
      <c r="B69" s="495" t="s">
        <v>584</v>
      </c>
      <c r="C69" s="570">
        <f>SUM(C53,C68)</f>
        <v>851469006.74933124</v>
      </c>
      <c r="D69" s="570">
        <f>SUM(D53,D68)</f>
        <v>1082425617.728215</v>
      </c>
      <c r="E69" s="571">
        <f t="shared" si="4"/>
        <v>1933894624.4775462</v>
      </c>
      <c r="F69" s="570">
        <f>SUM(F53,F68)</f>
        <v>684386641.88135147</v>
      </c>
      <c r="G69" s="570">
        <f>SUM(G53,G68)</f>
        <v>1137653491.4649937</v>
      </c>
      <c r="H69" s="571">
        <f t="shared" si="5"/>
        <v>1822040133.3463452</v>
      </c>
      <c r="J69" s="572"/>
      <c r="K69" s="572"/>
      <c r="L69" s="572"/>
      <c r="M69" s="572"/>
      <c r="N69" s="572"/>
      <c r="O69" s="572"/>
    </row>
    <row r="72" spans="1:15">
      <c r="B72" s="547" t="s">
        <v>753</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W35"/>
  <sheetViews>
    <sheetView showGridLines="0" zoomScale="80" zoomScaleNormal="80" workbookViewId="0"/>
  </sheetViews>
  <sheetFormatPr defaultColWidth="9.28515625" defaultRowHeight="12.75"/>
  <cols>
    <col min="1" max="1" width="11.7109375" style="364" bestFit="1" customWidth="1"/>
    <col min="2" max="2" width="93.42578125" style="364" customWidth="1"/>
    <col min="3" max="3" width="16.7109375" style="364" bestFit="1" customWidth="1"/>
    <col min="4" max="5" width="16.140625" style="364" customWidth="1"/>
    <col min="6" max="6" width="16.140625" style="381" customWidth="1"/>
    <col min="7" max="7" width="25.28515625" style="381" customWidth="1"/>
    <col min="8" max="8" width="16.140625" style="364" customWidth="1"/>
    <col min="9" max="11" width="16.140625" style="381" customWidth="1"/>
    <col min="12" max="12" width="26.28515625" style="381" customWidth="1"/>
    <col min="13" max="16384" width="9.28515625" style="364"/>
  </cols>
  <sheetData>
    <row r="1" spans="1:23" ht="13.5">
      <c r="A1" s="283" t="s">
        <v>30</v>
      </c>
      <c r="B1" s="351" t="str">
        <f>'Info '!C2</f>
        <v>JSC Cartu Bank</v>
      </c>
      <c r="F1" s="364"/>
      <c r="G1" s="364"/>
      <c r="I1" s="364"/>
      <c r="J1" s="364"/>
      <c r="K1" s="364"/>
      <c r="L1" s="364"/>
    </row>
    <row r="2" spans="1:23">
      <c r="A2" s="283" t="s">
        <v>31</v>
      </c>
      <c r="B2" s="350">
        <f>'1. key ratios '!B2</f>
        <v>46112</v>
      </c>
      <c r="F2" s="364"/>
      <c r="G2" s="364"/>
      <c r="I2" s="364"/>
      <c r="J2" s="364"/>
      <c r="K2" s="364"/>
      <c r="L2" s="364"/>
    </row>
    <row r="3" spans="1:23">
      <c r="A3" s="284" t="s">
        <v>466</v>
      </c>
      <c r="F3" s="364"/>
      <c r="G3" s="364"/>
      <c r="I3" s="364"/>
      <c r="J3" s="364"/>
      <c r="K3" s="364"/>
      <c r="L3" s="364"/>
    </row>
    <row r="4" spans="1:23">
      <c r="F4" s="364"/>
      <c r="G4" s="364"/>
      <c r="I4" s="364"/>
      <c r="J4" s="364"/>
      <c r="K4" s="364"/>
      <c r="L4" s="364"/>
    </row>
    <row r="5" spans="1:23" ht="37.5" customHeight="1">
      <c r="A5" s="779" t="s">
        <v>483</v>
      </c>
      <c r="B5" s="780"/>
      <c r="C5" s="825" t="s">
        <v>467</v>
      </c>
      <c r="D5" s="826"/>
      <c r="E5" s="826"/>
      <c r="F5" s="826"/>
      <c r="G5" s="826"/>
      <c r="H5" s="825" t="s">
        <v>627</v>
      </c>
      <c r="I5" s="827"/>
      <c r="J5" s="827"/>
      <c r="K5" s="827"/>
      <c r="L5" s="828"/>
    </row>
    <row r="6" spans="1:23" ht="39.4" customHeight="1">
      <c r="A6" s="783"/>
      <c r="B6" s="784"/>
      <c r="C6" s="286"/>
      <c r="D6" s="362" t="s">
        <v>648</v>
      </c>
      <c r="E6" s="362" t="s">
        <v>647</v>
      </c>
      <c r="F6" s="362" t="s">
        <v>646</v>
      </c>
      <c r="G6" s="362" t="s">
        <v>645</v>
      </c>
      <c r="H6" s="382"/>
      <c r="I6" s="362" t="s">
        <v>648</v>
      </c>
      <c r="J6" s="362" t="s">
        <v>647</v>
      </c>
      <c r="K6" s="362" t="s">
        <v>646</v>
      </c>
      <c r="L6" s="362" t="s">
        <v>645</v>
      </c>
    </row>
    <row r="7" spans="1:23">
      <c r="A7" s="353">
        <v>1</v>
      </c>
      <c r="B7" s="368" t="s">
        <v>486</v>
      </c>
      <c r="C7" s="700">
        <v>7687991.2704183254</v>
      </c>
      <c r="D7" s="700">
        <v>7013255.5992696509</v>
      </c>
      <c r="E7" s="700">
        <v>210593.940428</v>
      </c>
      <c r="F7" s="700">
        <v>464141.73072067485</v>
      </c>
      <c r="G7" s="700">
        <v>0</v>
      </c>
      <c r="H7" s="700">
        <v>192907.16563328149</v>
      </c>
      <c r="I7" s="700">
        <v>136573.05226778099</v>
      </c>
      <c r="J7" s="700">
        <v>3225.3301428272798</v>
      </c>
      <c r="K7" s="700">
        <v>53108.783222673228</v>
      </c>
      <c r="L7" s="700">
        <v>0</v>
      </c>
      <c r="N7" s="699"/>
      <c r="O7" s="699"/>
      <c r="P7" s="699"/>
      <c r="Q7" s="699"/>
      <c r="R7" s="699"/>
      <c r="S7" s="699"/>
      <c r="T7" s="699"/>
      <c r="U7" s="699"/>
      <c r="V7" s="699"/>
      <c r="W7" s="699"/>
    </row>
    <row r="8" spans="1:23">
      <c r="A8" s="353">
        <v>2</v>
      </c>
      <c r="B8" s="368" t="s">
        <v>399</v>
      </c>
      <c r="C8" s="700">
        <v>16706783.769514091</v>
      </c>
      <c r="D8" s="674">
        <v>16548893.962244092</v>
      </c>
      <c r="E8" s="674">
        <v>0</v>
      </c>
      <c r="F8" s="701">
        <v>157889.80726999999</v>
      </c>
      <c r="G8" s="701">
        <v>0</v>
      </c>
      <c r="H8" s="674">
        <v>114279.60197735119</v>
      </c>
      <c r="I8" s="701">
        <v>85250.425800849305</v>
      </c>
      <c r="J8" s="701">
        <v>0</v>
      </c>
      <c r="K8" s="701">
        <v>29029.176176501907</v>
      </c>
      <c r="L8" s="701">
        <v>0</v>
      </c>
      <c r="N8" s="699"/>
      <c r="O8" s="699"/>
      <c r="P8" s="699"/>
      <c r="Q8" s="699"/>
      <c r="R8" s="699"/>
      <c r="S8" s="699"/>
      <c r="T8" s="699"/>
      <c r="U8" s="699"/>
      <c r="V8" s="699"/>
      <c r="W8" s="699"/>
    </row>
    <row r="9" spans="1:23">
      <c r="A9" s="353">
        <v>3</v>
      </c>
      <c r="B9" s="368" t="s">
        <v>400</v>
      </c>
      <c r="C9" s="700">
        <v>0</v>
      </c>
      <c r="D9" s="674">
        <v>0</v>
      </c>
      <c r="E9" s="674">
        <v>0</v>
      </c>
      <c r="F9" s="702">
        <v>0</v>
      </c>
      <c r="G9" s="702">
        <v>0</v>
      </c>
      <c r="H9" s="674">
        <v>0</v>
      </c>
      <c r="I9" s="702">
        <v>0</v>
      </c>
      <c r="J9" s="702">
        <v>0</v>
      </c>
      <c r="K9" s="702">
        <v>0</v>
      </c>
      <c r="L9" s="702">
        <v>0</v>
      </c>
      <c r="N9" s="699"/>
      <c r="O9" s="699"/>
      <c r="P9" s="699"/>
      <c r="Q9" s="699"/>
      <c r="R9" s="699"/>
      <c r="S9" s="699"/>
      <c r="T9" s="699"/>
      <c r="U9" s="699"/>
      <c r="V9" s="699"/>
      <c r="W9" s="699"/>
    </row>
    <row r="10" spans="1:23">
      <c r="A10" s="353">
        <v>4</v>
      </c>
      <c r="B10" s="368" t="s">
        <v>487</v>
      </c>
      <c r="C10" s="700">
        <v>103667631.05603456</v>
      </c>
      <c r="D10" s="674">
        <v>83949554.140020758</v>
      </c>
      <c r="E10" s="674">
        <v>4892438.8674253821</v>
      </c>
      <c r="F10" s="702">
        <v>14825638.048588419</v>
      </c>
      <c r="G10" s="702">
        <v>0</v>
      </c>
      <c r="H10" s="674">
        <v>709789.10827832785</v>
      </c>
      <c r="I10" s="702">
        <v>571339.33474292629</v>
      </c>
      <c r="J10" s="702">
        <v>23326.346540000002</v>
      </c>
      <c r="K10" s="702">
        <v>115123.42699540162</v>
      </c>
      <c r="L10" s="702">
        <v>0</v>
      </c>
      <c r="N10" s="699"/>
      <c r="O10" s="699"/>
      <c r="P10" s="699"/>
      <c r="Q10" s="699"/>
      <c r="R10" s="699"/>
      <c r="S10" s="699"/>
      <c r="T10" s="699"/>
      <c r="U10" s="699"/>
      <c r="V10" s="699"/>
      <c r="W10" s="699"/>
    </row>
    <row r="11" spans="1:23">
      <c r="A11" s="353">
        <v>5</v>
      </c>
      <c r="B11" s="368" t="s">
        <v>401</v>
      </c>
      <c r="C11" s="700">
        <v>90024468.897759467</v>
      </c>
      <c r="D11" s="674">
        <v>81336046.142414302</v>
      </c>
      <c r="E11" s="674">
        <v>7577471.6369331768</v>
      </c>
      <c r="F11" s="702">
        <v>1110951.1184120001</v>
      </c>
      <c r="G11" s="702">
        <v>0</v>
      </c>
      <c r="H11" s="674">
        <v>1336868.1201085241</v>
      </c>
      <c r="I11" s="702">
        <v>201114.82912794547</v>
      </c>
      <c r="J11" s="702">
        <v>1070962.5698993898</v>
      </c>
      <c r="K11" s="702">
        <v>64790.721081188931</v>
      </c>
      <c r="L11" s="702">
        <v>0</v>
      </c>
      <c r="N11" s="699"/>
      <c r="O11" s="699"/>
      <c r="P11" s="699"/>
      <c r="Q11" s="699"/>
      <c r="R11" s="699"/>
      <c r="S11" s="699"/>
      <c r="T11" s="699"/>
      <c r="U11" s="699"/>
      <c r="V11" s="699"/>
      <c r="W11" s="699"/>
    </row>
    <row r="12" spans="1:23">
      <c r="A12" s="353">
        <v>6</v>
      </c>
      <c r="B12" s="368" t="s">
        <v>402</v>
      </c>
      <c r="C12" s="700">
        <v>24119911.082972933</v>
      </c>
      <c r="D12" s="674">
        <v>23178695.387843397</v>
      </c>
      <c r="E12" s="674">
        <v>941207.81512953539</v>
      </c>
      <c r="F12" s="702">
        <v>7.88</v>
      </c>
      <c r="G12" s="702">
        <v>0</v>
      </c>
      <c r="H12" s="674">
        <v>100013.22841482006</v>
      </c>
      <c r="I12" s="702">
        <v>95299.309334820049</v>
      </c>
      <c r="J12" s="702">
        <v>4706.0390799999996</v>
      </c>
      <c r="K12" s="702">
        <v>7.88</v>
      </c>
      <c r="L12" s="702">
        <v>0</v>
      </c>
      <c r="N12" s="699"/>
      <c r="O12" s="699"/>
      <c r="P12" s="699"/>
      <c r="Q12" s="699"/>
      <c r="R12" s="699"/>
      <c r="S12" s="699"/>
      <c r="T12" s="699"/>
      <c r="U12" s="699"/>
      <c r="V12" s="699"/>
      <c r="W12" s="699"/>
    </row>
    <row r="13" spans="1:23">
      <c r="A13" s="353">
        <v>7</v>
      </c>
      <c r="B13" s="368" t="s">
        <v>403</v>
      </c>
      <c r="C13" s="700">
        <v>16759617.101520792</v>
      </c>
      <c r="D13" s="674">
        <v>11628762.558291586</v>
      </c>
      <c r="E13" s="674">
        <v>3270239.55412</v>
      </c>
      <c r="F13" s="702">
        <v>1860614.989109206</v>
      </c>
      <c r="G13" s="702">
        <v>0</v>
      </c>
      <c r="H13" s="674">
        <v>72047.309966618021</v>
      </c>
      <c r="I13" s="702">
        <v>31475.10652267437</v>
      </c>
      <c r="J13" s="702">
        <v>13045.17843</v>
      </c>
      <c r="K13" s="702">
        <v>27527.025013943654</v>
      </c>
      <c r="L13" s="702">
        <v>0</v>
      </c>
      <c r="N13" s="699"/>
      <c r="O13" s="699"/>
      <c r="P13" s="699"/>
      <c r="Q13" s="699"/>
      <c r="R13" s="699"/>
      <c r="S13" s="699"/>
      <c r="T13" s="699"/>
      <c r="U13" s="699"/>
      <c r="V13" s="699"/>
      <c r="W13" s="699"/>
    </row>
    <row r="14" spans="1:23">
      <c r="A14" s="353">
        <v>8</v>
      </c>
      <c r="B14" s="368" t="s">
        <v>404</v>
      </c>
      <c r="C14" s="700">
        <v>6645618.4728156831</v>
      </c>
      <c r="D14" s="674">
        <v>5793717.3902376825</v>
      </c>
      <c r="E14" s="674">
        <v>555817.97724799998</v>
      </c>
      <c r="F14" s="702">
        <v>296083.10533000005</v>
      </c>
      <c r="G14" s="702">
        <v>0</v>
      </c>
      <c r="H14" s="674">
        <v>140323.04379710439</v>
      </c>
      <c r="I14" s="702">
        <v>8329.2162209346443</v>
      </c>
      <c r="J14" s="702">
        <v>2288.362244440028</v>
      </c>
      <c r="K14" s="702">
        <v>129705.46533172972</v>
      </c>
      <c r="L14" s="702">
        <v>0</v>
      </c>
      <c r="N14" s="699"/>
      <c r="O14" s="699"/>
      <c r="P14" s="699"/>
      <c r="Q14" s="699"/>
      <c r="R14" s="699"/>
      <c r="S14" s="699"/>
      <c r="T14" s="699"/>
      <c r="U14" s="699"/>
      <c r="V14" s="699"/>
      <c r="W14" s="699"/>
    </row>
    <row r="15" spans="1:23">
      <c r="A15" s="353">
        <v>9</v>
      </c>
      <c r="B15" s="368" t="s">
        <v>405</v>
      </c>
      <c r="C15" s="700">
        <v>228323871.05666882</v>
      </c>
      <c r="D15" s="674">
        <v>225254245.74140543</v>
      </c>
      <c r="E15" s="674">
        <v>0</v>
      </c>
      <c r="F15" s="702">
        <v>3069625.3152633957</v>
      </c>
      <c r="G15" s="702">
        <v>0</v>
      </c>
      <c r="H15" s="674">
        <v>2243400.4315505675</v>
      </c>
      <c r="I15" s="702">
        <v>1510709.701024611</v>
      </c>
      <c r="J15" s="702">
        <v>0</v>
      </c>
      <c r="K15" s="702">
        <v>732690.73052595695</v>
      </c>
      <c r="L15" s="702">
        <v>0</v>
      </c>
      <c r="N15" s="699"/>
      <c r="O15" s="699"/>
      <c r="P15" s="699"/>
      <c r="Q15" s="699"/>
      <c r="R15" s="699"/>
      <c r="S15" s="699"/>
      <c r="T15" s="699"/>
      <c r="U15" s="699"/>
      <c r="V15" s="699"/>
      <c r="W15" s="699"/>
    </row>
    <row r="16" spans="1:23">
      <c r="A16" s="353">
        <v>10</v>
      </c>
      <c r="B16" s="368" t="s">
        <v>406</v>
      </c>
      <c r="C16" s="700">
        <v>6060341.6547799166</v>
      </c>
      <c r="D16" s="674">
        <v>6060341.6547799166</v>
      </c>
      <c r="E16" s="674">
        <v>0</v>
      </c>
      <c r="F16" s="702">
        <v>0</v>
      </c>
      <c r="G16" s="702">
        <v>0</v>
      </c>
      <c r="H16" s="674">
        <v>19947.299933803919</v>
      </c>
      <c r="I16" s="702">
        <v>19947.299933803919</v>
      </c>
      <c r="J16" s="702">
        <v>0</v>
      </c>
      <c r="K16" s="702">
        <v>0</v>
      </c>
      <c r="L16" s="702">
        <v>0</v>
      </c>
      <c r="N16" s="699"/>
      <c r="O16" s="699"/>
      <c r="P16" s="699"/>
      <c r="Q16" s="699"/>
      <c r="R16" s="699"/>
      <c r="S16" s="699"/>
      <c r="T16" s="699"/>
      <c r="U16" s="699"/>
      <c r="V16" s="699"/>
      <c r="W16" s="699"/>
    </row>
    <row r="17" spans="1:23">
      <c r="A17" s="353">
        <v>11</v>
      </c>
      <c r="B17" s="368" t="s">
        <v>407</v>
      </c>
      <c r="C17" s="700">
        <v>542419.97</v>
      </c>
      <c r="D17" s="674">
        <v>542419.97</v>
      </c>
      <c r="E17" s="674">
        <v>0</v>
      </c>
      <c r="F17" s="702">
        <v>0</v>
      </c>
      <c r="G17" s="702">
        <v>0</v>
      </c>
      <c r="H17" s="674">
        <v>66.274917900089008</v>
      </c>
      <c r="I17" s="702">
        <v>66.274917900089008</v>
      </c>
      <c r="J17" s="702">
        <v>0</v>
      </c>
      <c r="K17" s="702">
        <v>0</v>
      </c>
      <c r="L17" s="702">
        <v>0</v>
      </c>
      <c r="N17" s="699"/>
      <c r="O17" s="699"/>
      <c r="P17" s="699"/>
      <c r="Q17" s="699"/>
      <c r="R17" s="699"/>
      <c r="S17" s="699"/>
      <c r="T17" s="699"/>
      <c r="U17" s="699"/>
      <c r="V17" s="699"/>
      <c r="W17" s="699"/>
    </row>
    <row r="18" spans="1:23">
      <c r="A18" s="353">
        <v>12</v>
      </c>
      <c r="B18" s="368" t="s">
        <v>408</v>
      </c>
      <c r="C18" s="700">
        <v>50618363.312524468</v>
      </c>
      <c r="D18" s="674">
        <v>24243283.054782484</v>
      </c>
      <c r="E18" s="674">
        <v>0</v>
      </c>
      <c r="F18" s="702">
        <v>26375080.257742003</v>
      </c>
      <c r="G18" s="702">
        <v>0</v>
      </c>
      <c r="H18" s="674">
        <v>11468868.396960588</v>
      </c>
      <c r="I18" s="702">
        <v>120724.95237825123</v>
      </c>
      <c r="J18" s="702">
        <v>0</v>
      </c>
      <c r="K18" s="702">
        <v>11348143.444582338</v>
      </c>
      <c r="L18" s="702">
        <v>0</v>
      </c>
      <c r="N18" s="699"/>
      <c r="O18" s="699"/>
      <c r="P18" s="699"/>
      <c r="Q18" s="699"/>
      <c r="R18" s="699"/>
      <c r="S18" s="699"/>
      <c r="T18" s="699"/>
      <c r="U18" s="699"/>
      <c r="V18" s="699"/>
      <c r="W18" s="699"/>
    </row>
    <row r="19" spans="1:23">
      <c r="A19" s="353">
        <v>13</v>
      </c>
      <c r="B19" s="368" t="s">
        <v>409</v>
      </c>
      <c r="C19" s="700">
        <v>17554476.683452383</v>
      </c>
      <c r="D19" s="674">
        <v>11958707.424540605</v>
      </c>
      <c r="E19" s="674">
        <v>2427646.9884369886</v>
      </c>
      <c r="F19" s="702">
        <v>3168122.2704747887</v>
      </c>
      <c r="G19" s="702">
        <v>0</v>
      </c>
      <c r="H19" s="674">
        <v>1780984.9619527718</v>
      </c>
      <c r="I19" s="702">
        <v>41211.770876786468</v>
      </c>
      <c r="J19" s="702">
        <v>70233.661285081296</v>
      </c>
      <c r="K19" s="702">
        <v>1669539.5297909044</v>
      </c>
      <c r="L19" s="702">
        <v>0</v>
      </c>
      <c r="N19" s="699"/>
      <c r="O19" s="699"/>
      <c r="P19" s="699"/>
      <c r="Q19" s="699"/>
      <c r="R19" s="699"/>
      <c r="S19" s="699"/>
      <c r="T19" s="699"/>
      <c r="U19" s="699"/>
      <c r="V19" s="699"/>
      <c r="W19" s="699"/>
    </row>
    <row r="20" spans="1:23">
      <c r="A20" s="353">
        <v>14</v>
      </c>
      <c r="B20" s="368" t="s">
        <v>410</v>
      </c>
      <c r="C20" s="700">
        <v>48518983.322807647</v>
      </c>
      <c r="D20" s="674">
        <v>27723250.248588514</v>
      </c>
      <c r="E20" s="674">
        <v>4374768.1505501028</v>
      </c>
      <c r="F20" s="702">
        <v>15955525.777793033</v>
      </c>
      <c r="G20" s="702">
        <v>465439.145876</v>
      </c>
      <c r="H20" s="674">
        <v>454496.04772870883</v>
      </c>
      <c r="I20" s="702">
        <v>109716.63701547273</v>
      </c>
      <c r="J20" s="702">
        <v>20997.832046212774</v>
      </c>
      <c r="K20" s="702">
        <v>321454.38293764327</v>
      </c>
      <c r="L20" s="702">
        <v>2327.1957293800001</v>
      </c>
      <c r="N20" s="699"/>
      <c r="O20" s="699"/>
      <c r="P20" s="699"/>
      <c r="Q20" s="699"/>
      <c r="R20" s="699"/>
      <c r="S20" s="699"/>
      <c r="T20" s="699"/>
      <c r="U20" s="699"/>
      <c r="V20" s="699"/>
      <c r="W20" s="699"/>
    </row>
    <row r="21" spans="1:23">
      <c r="A21" s="353">
        <v>15</v>
      </c>
      <c r="B21" s="368" t="s">
        <v>411</v>
      </c>
      <c r="C21" s="700">
        <v>2703222.8659979999</v>
      </c>
      <c r="D21" s="674">
        <v>2266741.64</v>
      </c>
      <c r="E21" s="674">
        <v>0</v>
      </c>
      <c r="F21" s="702">
        <v>436481.22599800001</v>
      </c>
      <c r="G21" s="702">
        <v>0</v>
      </c>
      <c r="H21" s="674">
        <v>81390.64988613344</v>
      </c>
      <c r="I21" s="702">
        <v>3600.0109000000002</v>
      </c>
      <c r="J21" s="702">
        <v>0</v>
      </c>
      <c r="K21" s="702">
        <v>77790.638986133446</v>
      </c>
      <c r="L21" s="702">
        <v>0</v>
      </c>
      <c r="N21" s="699"/>
      <c r="O21" s="699"/>
      <c r="P21" s="699"/>
      <c r="Q21" s="699"/>
      <c r="R21" s="699"/>
      <c r="S21" s="699"/>
      <c r="T21" s="699"/>
      <c r="U21" s="699"/>
      <c r="V21" s="699"/>
      <c r="W21" s="699"/>
    </row>
    <row r="22" spans="1:23">
      <c r="A22" s="353">
        <v>16</v>
      </c>
      <c r="B22" s="368" t="s">
        <v>412</v>
      </c>
      <c r="C22" s="700">
        <v>75800668.592316389</v>
      </c>
      <c r="D22" s="674">
        <v>0</v>
      </c>
      <c r="E22" s="674">
        <v>75800668.592316389</v>
      </c>
      <c r="F22" s="702">
        <v>0</v>
      </c>
      <c r="G22" s="702">
        <v>0</v>
      </c>
      <c r="H22" s="674">
        <v>7803128.1096099988</v>
      </c>
      <c r="I22" s="702">
        <v>0</v>
      </c>
      <c r="J22" s="702">
        <v>7803128.1096099988</v>
      </c>
      <c r="K22" s="702">
        <v>0</v>
      </c>
      <c r="L22" s="702">
        <v>0</v>
      </c>
      <c r="N22" s="699"/>
      <c r="O22" s="699"/>
      <c r="P22" s="699"/>
      <c r="Q22" s="699"/>
      <c r="R22" s="699"/>
      <c r="S22" s="699"/>
      <c r="T22" s="699"/>
      <c r="U22" s="699"/>
      <c r="V22" s="699"/>
      <c r="W22" s="699"/>
    </row>
    <row r="23" spans="1:23">
      <c r="A23" s="353">
        <v>17</v>
      </c>
      <c r="B23" s="368" t="s">
        <v>490</v>
      </c>
      <c r="C23" s="700">
        <v>99901486.648403108</v>
      </c>
      <c r="D23" s="674">
        <v>99901486.648403108</v>
      </c>
      <c r="E23" s="674">
        <v>0</v>
      </c>
      <c r="F23" s="702">
        <v>0</v>
      </c>
      <c r="G23" s="702">
        <v>0</v>
      </c>
      <c r="H23" s="674">
        <v>563256.22914156585</v>
      </c>
      <c r="I23" s="702">
        <v>563256.22914156585</v>
      </c>
      <c r="J23" s="702">
        <v>0</v>
      </c>
      <c r="K23" s="702">
        <v>0</v>
      </c>
      <c r="L23" s="702">
        <v>0</v>
      </c>
      <c r="N23" s="699"/>
      <c r="O23" s="699"/>
      <c r="P23" s="699"/>
      <c r="Q23" s="699"/>
      <c r="R23" s="699"/>
      <c r="S23" s="699"/>
      <c r="T23" s="699"/>
      <c r="U23" s="699"/>
      <c r="V23" s="699"/>
      <c r="W23" s="699"/>
    </row>
    <row r="24" spans="1:23">
      <c r="A24" s="353">
        <v>18</v>
      </c>
      <c r="B24" s="368" t="s">
        <v>413</v>
      </c>
      <c r="C24" s="700">
        <v>20247039.848008621</v>
      </c>
      <c r="D24" s="674">
        <v>20247039.848008621</v>
      </c>
      <c r="E24" s="674">
        <v>0</v>
      </c>
      <c r="F24" s="702">
        <v>0</v>
      </c>
      <c r="G24" s="702">
        <v>0</v>
      </c>
      <c r="H24" s="674">
        <v>465831.04986638273</v>
      </c>
      <c r="I24" s="702">
        <v>465831.04986638273</v>
      </c>
      <c r="J24" s="702">
        <v>0</v>
      </c>
      <c r="K24" s="702">
        <v>0</v>
      </c>
      <c r="L24" s="702">
        <v>0</v>
      </c>
      <c r="N24" s="699"/>
      <c r="O24" s="699"/>
      <c r="P24" s="699"/>
      <c r="Q24" s="699"/>
      <c r="R24" s="699"/>
      <c r="S24" s="699"/>
      <c r="T24" s="699"/>
      <c r="U24" s="699"/>
      <c r="V24" s="699"/>
      <c r="W24" s="699"/>
    </row>
    <row r="25" spans="1:23">
      <c r="A25" s="353">
        <v>19</v>
      </c>
      <c r="B25" s="368" t="s">
        <v>414</v>
      </c>
      <c r="C25" s="700">
        <v>11984654.734898001</v>
      </c>
      <c r="D25" s="674">
        <v>11984654.734898001</v>
      </c>
      <c r="E25" s="674">
        <v>0</v>
      </c>
      <c r="F25" s="702">
        <v>0</v>
      </c>
      <c r="G25" s="702">
        <v>0</v>
      </c>
      <c r="H25" s="674">
        <v>92097.68550183055</v>
      </c>
      <c r="I25" s="702">
        <v>92097.68550183055</v>
      </c>
      <c r="J25" s="702">
        <v>0</v>
      </c>
      <c r="K25" s="702">
        <v>0</v>
      </c>
      <c r="L25" s="702">
        <v>0</v>
      </c>
      <c r="N25" s="699"/>
      <c r="O25" s="699"/>
      <c r="P25" s="699"/>
      <c r="Q25" s="699"/>
      <c r="R25" s="699"/>
      <c r="S25" s="699"/>
      <c r="T25" s="699"/>
      <c r="U25" s="699"/>
      <c r="V25" s="699"/>
      <c r="W25" s="699"/>
    </row>
    <row r="26" spans="1:23">
      <c r="A26" s="353">
        <v>20</v>
      </c>
      <c r="B26" s="368" t="s">
        <v>489</v>
      </c>
      <c r="C26" s="700">
        <v>60004040.985850558</v>
      </c>
      <c r="D26" s="674">
        <v>48628075.419250965</v>
      </c>
      <c r="E26" s="674">
        <v>11375965.566599576</v>
      </c>
      <c r="F26" s="702">
        <v>0</v>
      </c>
      <c r="G26" s="702">
        <v>0</v>
      </c>
      <c r="H26" s="674">
        <v>2182611.3636669219</v>
      </c>
      <c r="I26" s="702">
        <v>212180.56406903325</v>
      </c>
      <c r="J26" s="702">
        <v>1970430.7995978906</v>
      </c>
      <c r="K26" s="702">
        <v>0</v>
      </c>
      <c r="L26" s="702">
        <v>0</v>
      </c>
      <c r="N26" s="699"/>
      <c r="O26" s="699"/>
      <c r="P26" s="699"/>
      <c r="Q26" s="699"/>
      <c r="R26" s="699"/>
      <c r="S26" s="699"/>
      <c r="T26" s="699"/>
      <c r="U26" s="699"/>
      <c r="V26" s="699"/>
      <c r="W26" s="699"/>
    </row>
    <row r="27" spans="1:23">
      <c r="A27" s="353">
        <v>21</v>
      </c>
      <c r="B27" s="368" t="s">
        <v>415</v>
      </c>
      <c r="C27" s="700">
        <v>7623602.0482131224</v>
      </c>
      <c r="D27" s="674">
        <v>7623602.0482131224</v>
      </c>
      <c r="E27" s="674">
        <v>0</v>
      </c>
      <c r="F27" s="702">
        <v>0</v>
      </c>
      <c r="G27" s="702">
        <v>0</v>
      </c>
      <c r="H27" s="674">
        <v>15865.22038180755</v>
      </c>
      <c r="I27" s="702">
        <v>15865.22038180755</v>
      </c>
      <c r="J27" s="702">
        <v>0</v>
      </c>
      <c r="K27" s="702">
        <v>0</v>
      </c>
      <c r="L27" s="702">
        <v>0</v>
      </c>
      <c r="N27" s="699"/>
      <c r="O27" s="699"/>
      <c r="P27" s="699"/>
      <c r="Q27" s="699"/>
      <c r="R27" s="699"/>
      <c r="S27" s="699"/>
      <c r="T27" s="699"/>
      <c r="U27" s="699"/>
      <c r="V27" s="699"/>
      <c r="W27" s="699"/>
    </row>
    <row r="28" spans="1:23">
      <c r="A28" s="353">
        <v>22</v>
      </c>
      <c r="B28" s="368" t="s">
        <v>416</v>
      </c>
      <c r="C28" s="700">
        <v>38424851.791387409</v>
      </c>
      <c r="D28" s="674">
        <v>35683742.039924055</v>
      </c>
      <c r="E28" s="674">
        <v>0</v>
      </c>
      <c r="F28" s="702">
        <v>2741109.7514633513</v>
      </c>
      <c r="G28" s="702">
        <v>0</v>
      </c>
      <c r="H28" s="674">
        <v>303523.57260811719</v>
      </c>
      <c r="I28" s="702">
        <v>4290.1648600000453</v>
      </c>
      <c r="J28" s="702">
        <v>0</v>
      </c>
      <c r="K28" s="702">
        <v>299233.40774811717</v>
      </c>
      <c r="L28" s="702">
        <v>0</v>
      </c>
      <c r="N28" s="699"/>
      <c r="O28" s="699"/>
      <c r="P28" s="699"/>
      <c r="Q28" s="699"/>
      <c r="R28" s="699"/>
      <c r="S28" s="699"/>
      <c r="T28" s="699"/>
      <c r="U28" s="699"/>
      <c r="V28" s="699"/>
      <c r="W28" s="699"/>
    </row>
    <row r="29" spans="1:23">
      <c r="A29" s="353">
        <v>23</v>
      </c>
      <c r="B29" s="368" t="s">
        <v>417</v>
      </c>
      <c r="C29" s="700">
        <v>80904603.30737254</v>
      </c>
      <c r="D29" s="674">
        <v>75916840.791606784</v>
      </c>
      <c r="E29" s="674">
        <v>1678247.7163241568</v>
      </c>
      <c r="F29" s="702">
        <v>3309514.7994416226</v>
      </c>
      <c r="G29" s="702">
        <v>0</v>
      </c>
      <c r="H29" s="674">
        <v>404142.78407342132</v>
      </c>
      <c r="I29" s="702">
        <v>332171.17115335877</v>
      </c>
      <c r="J29" s="702">
        <v>7223.8336998215636</v>
      </c>
      <c r="K29" s="702">
        <v>64747.779220241035</v>
      </c>
      <c r="L29" s="702">
        <v>0</v>
      </c>
      <c r="N29" s="699"/>
      <c r="O29" s="699"/>
      <c r="P29" s="699"/>
      <c r="Q29" s="699"/>
      <c r="R29" s="699"/>
      <c r="S29" s="699"/>
      <c r="T29" s="699"/>
      <c r="U29" s="699"/>
      <c r="V29" s="699"/>
      <c r="W29" s="699"/>
    </row>
    <row r="30" spans="1:23">
      <c r="A30" s="353">
        <v>24</v>
      </c>
      <c r="B30" s="368" t="s">
        <v>488</v>
      </c>
      <c r="C30" s="700">
        <v>40739632.723977819</v>
      </c>
      <c r="D30" s="674">
        <v>34736575.057682566</v>
      </c>
      <c r="E30" s="674">
        <v>934562.5196396535</v>
      </c>
      <c r="F30" s="702">
        <v>5068495.1466555996</v>
      </c>
      <c r="G30" s="702">
        <v>0</v>
      </c>
      <c r="H30" s="674">
        <v>992717.06769990816</v>
      </c>
      <c r="I30" s="702">
        <v>68382.522641011397</v>
      </c>
      <c r="J30" s="702">
        <v>2004.1150627402933</v>
      </c>
      <c r="K30" s="702">
        <v>922330.4299961559</v>
      </c>
      <c r="L30" s="702">
        <v>0</v>
      </c>
      <c r="N30" s="699"/>
      <c r="O30" s="699"/>
      <c r="P30" s="699"/>
      <c r="Q30" s="699"/>
      <c r="R30" s="699"/>
      <c r="S30" s="699"/>
      <c r="T30" s="699"/>
      <c r="U30" s="699"/>
      <c r="V30" s="699"/>
      <c r="W30" s="699"/>
    </row>
    <row r="31" spans="1:23">
      <c r="A31" s="353">
        <v>25</v>
      </c>
      <c r="B31" s="368" t="s">
        <v>418</v>
      </c>
      <c r="C31" s="700">
        <v>117492871.75352277</v>
      </c>
      <c r="D31" s="674">
        <v>109656653.00939758</v>
      </c>
      <c r="E31" s="674">
        <v>976485.84568922198</v>
      </c>
      <c r="F31" s="702">
        <v>6347788.4275260046</v>
      </c>
      <c r="G31" s="702">
        <v>511944.47090999997</v>
      </c>
      <c r="H31" s="674">
        <v>2837918.9538352224</v>
      </c>
      <c r="I31" s="702">
        <v>869633.28950446623</v>
      </c>
      <c r="J31" s="702">
        <v>1823.5131414131074</v>
      </c>
      <c r="K31" s="702">
        <v>1965369.8340853513</v>
      </c>
      <c r="L31" s="702">
        <v>1092.3171039903493</v>
      </c>
      <c r="N31" s="699"/>
      <c r="O31" s="699"/>
      <c r="P31" s="699"/>
      <c r="Q31" s="699"/>
      <c r="R31" s="699"/>
      <c r="S31" s="699"/>
      <c r="T31" s="699"/>
      <c r="U31" s="699"/>
      <c r="V31" s="699"/>
      <c r="W31" s="699"/>
    </row>
    <row r="32" spans="1:23">
      <c r="A32" s="353">
        <v>26</v>
      </c>
      <c r="B32" s="368" t="s">
        <v>485</v>
      </c>
      <c r="C32" s="700">
        <v>280823.73866199987</v>
      </c>
      <c r="D32" s="674">
        <v>127350.38976200001</v>
      </c>
      <c r="E32" s="674">
        <v>0</v>
      </c>
      <c r="F32" s="702">
        <v>153473.34890000022</v>
      </c>
      <c r="G32" s="702">
        <v>0</v>
      </c>
      <c r="H32" s="674">
        <v>156020.35669524019</v>
      </c>
      <c r="I32" s="702">
        <v>2547.0077952400002</v>
      </c>
      <c r="J32" s="702">
        <v>0</v>
      </c>
      <c r="K32" s="702">
        <v>153473.34890000022</v>
      </c>
      <c r="L32" s="702">
        <v>0</v>
      </c>
      <c r="N32" s="699"/>
      <c r="O32" s="699"/>
      <c r="P32" s="699"/>
      <c r="Q32" s="699"/>
      <c r="R32" s="699"/>
      <c r="S32" s="699"/>
      <c r="T32" s="699"/>
      <c r="U32" s="699"/>
      <c r="V32" s="699"/>
      <c r="W32" s="699"/>
    </row>
    <row r="33" spans="1:23">
      <c r="A33" s="353">
        <v>27</v>
      </c>
      <c r="B33" s="410" t="s">
        <v>64</v>
      </c>
      <c r="C33" s="703">
        <v>1173337976.6898794</v>
      </c>
      <c r="D33" s="676">
        <v>972003934.90156531</v>
      </c>
      <c r="E33" s="676">
        <v>115016115.17084017</v>
      </c>
      <c r="F33" s="704">
        <v>85340543.000688121</v>
      </c>
      <c r="G33" s="704">
        <v>977383.61678599997</v>
      </c>
      <c r="H33" s="676">
        <v>34532494.034186922</v>
      </c>
      <c r="I33" s="704">
        <v>5561612.8259794544</v>
      </c>
      <c r="J33" s="704">
        <v>10993395.690779816</v>
      </c>
      <c r="K33" s="704">
        <v>17974066.004594281</v>
      </c>
      <c r="L33" s="704">
        <v>3419.5128333703497</v>
      </c>
      <c r="N33" s="699"/>
      <c r="O33" s="699"/>
      <c r="P33" s="699"/>
      <c r="Q33" s="699"/>
      <c r="R33" s="699"/>
      <c r="S33" s="699"/>
      <c r="T33" s="699"/>
      <c r="U33" s="699"/>
      <c r="V33" s="699"/>
      <c r="W33" s="699"/>
    </row>
    <row r="35" spans="1:23">
      <c r="B35" s="409"/>
      <c r="C35" s="409"/>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9"/>
  <sheetViews>
    <sheetView showGridLines="0" zoomScale="80" zoomScaleNormal="80" workbookViewId="0"/>
  </sheetViews>
  <sheetFormatPr defaultColWidth="8.7109375" defaultRowHeight="12"/>
  <cols>
    <col min="1" max="1" width="11.7109375" style="411" bestFit="1" customWidth="1"/>
    <col min="2" max="2" width="68.7109375" style="411" customWidth="1"/>
    <col min="3" max="11" width="28.28515625" style="411" customWidth="1"/>
    <col min="12" max="16384" width="8.7109375" style="411"/>
  </cols>
  <sheetData>
    <row r="1" spans="1:11" s="364" customFormat="1" ht="13.5">
      <c r="A1" s="283" t="s">
        <v>30</v>
      </c>
      <c r="B1" s="351" t="str">
        <f>'Info '!C2</f>
        <v>JSC Cartu Bank</v>
      </c>
    </row>
    <row r="2" spans="1:11" s="364" customFormat="1" ht="12.75">
      <c r="A2" s="283" t="s">
        <v>31</v>
      </c>
      <c r="B2" s="350">
        <f>'1. key ratios '!B2</f>
        <v>46112</v>
      </c>
    </row>
    <row r="3" spans="1:11" s="364" customFormat="1" ht="12.75">
      <c r="A3" s="284" t="s">
        <v>468</v>
      </c>
    </row>
    <row r="4" spans="1:11">
      <c r="C4" s="414" t="s">
        <v>662</v>
      </c>
      <c r="D4" s="414" t="s">
        <v>661</v>
      </c>
      <c r="E4" s="414" t="s">
        <v>660</v>
      </c>
      <c r="F4" s="414" t="s">
        <v>659</v>
      </c>
      <c r="G4" s="414" t="s">
        <v>658</v>
      </c>
      <c r="H4" s="414" t="s">
        <v>657</v>
      </c>
      <c r="I4" s="414" t="s">
        <v>656</v>
      </c>
      <c r="J4" s="414" t="s">
        <v>655</v>
      </c>
      <c r="K4" s="414" t="s">
        <v>654</v>
      </c>
    </row>
    <row r="5" spans="1:11" ht="103.9" customHeight="1">
      <c r="A5" s="829" t="s">
        <v>653</v>
      </c>
      <c r="B5" s="830"/>
      <c r="C5" s="413" t="s">
        <v>469</v>
      </c>
      <c r="D5" s="413" t="s">
        <v>470</v>
      </c>
      <c r="E5" s="413" t="s">
        <v>471</v>
      </c>
      <c r="F5" s="413" t="s">
        <v>472</v>
      </c>
      <c r="G5" s="413" t="s">
        <v>473</v>
      </c>
      <c r="H5" s="413" t="s">
        <v>474</v>
      </c>
      <c r="I5" s="413" t="s">
        <v>475</v>
      </c>
      <c r="J5" s="413" t="s">
        <v>476</v>
      </c>
      <c r="K5" s="413" t="s">
        <v>477</v>
      </c>
    </row>
    <row r="6" spans="1:11" ht="12.75">
      <c r="A6" s="353">
        <v>1</v>
      </c>
      <c r="B6" s="353" t="s">
        <v>437</v>
      </c>
      <c r="C6" s="674">
        <v>105109936.05205338</v>
      </c>
      <c r="D6" s="674">
        <v>3991758.6669999999</v>
      </c>
      <c r="E6" s="674">
        <v>0</v>
      </c>
      <c r="F6" s="674">
        <v>0</v>
      </c>
      <c r="G6" s="674">
        <v>833752947.23819506</v>
      </c>
      <c r="H6" s="674">
        <v>7791100.2175352816</v>
      </c>
      <c r="I6" s="674">
        <v>173223172.9806987</v>
      </c>
      <c r="J6" s="674">
        <v>7334238.5811075158</v>
      </c>
      <c r="K6" s="674">
        <v>42134822.953289308</v>
      </c>
    </row>
    <row r="7" spans="1:11" ht="12.75">
      <c r="A7" s="353">
        <v>2</v>
      </c>
      <c r="B7" s="353" t="s">
        <v>478</v>
      </c>
      <c r="C7" s="674">
        <v>0</v>
      </c>
      <c r="D7" s="674">
        <v>0</v>
      </c>
      <c r="E7" s="674">
        <v>0</v>
      </c>
      <c r="F7" s="674">
        <v>0</v>
      </c>
      <c r="G7" s="674">
        <v>8167209.7000000002</v>
      </c>
      <c r="H7" s="674">
        <v>0</v>
      </c>
      <c r="I7" s="674">
        <v>26073449.32</v>
      </c>
      <c r="J7" s="674">
        <v>8256851.2400000002</v>
      </c>
      <c r="K7" s="674">
        <v>12737953.98</v>
      </c>
    </row>
    <row r="8" spans="1:11" ht="12.75">
      <c r="A8" s="353">
        <v>3</v>
      </c>
      <c r="B8" s="353" t="s">
        <v>445</v>
      </c>
      <c r="C8" s="674">
        <v>19634340.098325998</v>
      </c>
      <c r="D8" s="674">
        <v>0</v>
      </c>
      <c r="E8" s="674">
        <v>0</v>
      </c>
      <c r="F8" s="674">
        <v>0</v>
      </c>
      <c r="G8" s="674">
        <v>147630860.52400887</v>
      </c>
      <c r="H8" s="674">
        <v>218322.76590671504</v>
      </c>
      <c r="I8" s="674">
        <v>24451718.140701808</v>
      </c>
      <c r="J8" s="674">
        <v>7337535.6779237175</v>
      </c>
      <c r="K8" s="674">
        <v>8375307.0324329324</v>
      </c>
    </row>
    <row r="9" spans="1:11" ht="12.75">
      <c r="A9" s="353">
        <v>4</v>
      </c>
      <c r="B9" s="373" t="s">
        <v>479</v>
      </c>
      <c r="C9" s="706">
        <v>2418146.8619530508</v>
      </c>
      <c r="D9" s="706">
        <v>306186.90999999997</v>
      </c>
      <c r="E9" s="706">
        <v>0</v>
      </c>
      <c r="F9" s="706">
        <v>0</v>
      </c>
      <c r="G9" s="706">
        <v>72896712.752648845</v>
      </c>
      <c r="H9" s="706">
        <v>3959722.9834419983</v>
      </c>
      <c r="I9" s="706">
        <v>2999527.7594514554</v>
      </c>
      <c r="J9" s="706">
        <v>2914648.0542716705</v>
      </c>
      <c r="K9" s="706">
        <v>822981.2957070847</v>
      </c>
    </row>
    <row r="10" spans="1:11" ht="12.75">
      <c r="A10" s="353">
        <v>5</v>
      </c>
      <c r="B10" s="373" t="s">
        <v>480</v>
      </c>
      <c r="C10" s="706">
        <v>0</v>
      </c>
      <c r="D10" s="706">
        <v>0</v>
      </c>
      <c r="E10" s="706">
        <v>0</v>
      </c>
      <c r="F10" s="706">
        <v>0</v>
      </c>
      <c r="G10" s="706">
        <v>0</v>
      </c>
      <c r="H10" s="706">
        <v>0</v>
      </c>
      <c r="I10" s="706">
        <v>0</v>
      </c>
      <c r="J10" s="706">
        <v>0</v>
      </c>
      <c r="K10" s="706">
        <v>0</v>
      </c>
    </row>
    <row r="11" spans="1:11" ht="12.75">
      <c r="A11" s="353">
        <v>6</v>
      </c>
      <c r="B11" s="373" t="s">
        <v>481</v>
      </c>
      <c r="C11" s="706">
        <v>0</v>
      </c>
      <c r="D11" s="706">
        <v>0</v>
      </c>
      <c r="E11" s="706">
        <v>0</v>
      </c>
      <c r="F11" s="706">
        <v>0</v>
      </c>
      <c r="G11" s="706">
        <v>1.3000000035390258E-3</v>
      </c>
      <c r="H11" s="706">
        <v>0</v>
      </c>
      <c r="I11" s="706">
        <v>0</v>
      </c>
      <c r="J11" s="706">
        <v>0</v>
      </c>
      <c r="K11" s="706">
        <v>2339.37</v>
      </c>
    </row>
    <row r="13" spans="1:11" ht="15">
      <c r="B13" s="412"/>
    </row>
    <row r="14" spans="1:11">
      <c r="C14" s="705"/>
      <c r="D14" s="705"/>
      <c r="E14" s="705"/>
      <c r="F14" s="705"/>
      <c r="G14" s="705"/>
      <c r="H14" s="705"/>
      <c r="I14" s="705"/>
      <c r="J14" s="705"/>
      <c r="K14" s="705"/>
    </row>
    <row r="15" spans="1:11">
      <c r="C15" s="705"/>
      <c r="D15" s="705"/>
      <c r="E15" s="705"/>
      <c r="F15" s="705"/>
      <c r="G15" s="705"/>
      <c r="H15" s="705"/>
      <c r="I15" s="705"/>
      <c r="J15" s="705"/>
      <c r="K15" s="705"/>
    </row>
    <row r="16" spans="1:11">
      <c r="C16" s="705"/>
      <c r="D16" s="705"/>
      <c r="E16" s="705"/>
      <c r="F16" s="705"/>
      <c r="G16" s="705"/>
      <c r="H16" s="705"/>
      <c r="I16" s="705"/>
      <c r="J16" s="705"/>
      <c r="K16" s="705"/>
    </row>
    <row r="17" spans="3:11">
      <c r="C17" s="705"/>
      <c r="D17" s="705"/>
      <c r="E17" s="705"/>
      <c r="F17" s="705"/>
      <c r="G17" s="705"/>
      <c r="H17" s="705"/>
      <c r="I17" s="705"/>
      <c r="J17" s="705"/>
      <c r="K17" s="705"/>
    </row>
    <row r="18" spans="3:11">
      <c r="C18" s="705"/>
      <c r="D18" s="705"/>
      <c r="E18" s="705"/>
      <c r="F18" s="705"/>
      <c r="G18" s="705"/>
      <c r="H18" s="705"/>
      <c r="I18" s="705"/>
      <c r="J18" s="705"/>
      <c r="K18" s="705"/>
    </row>
    <row r="19" spans="3:11">
      <c r="C19" s="705"/>
      <c r="D19" s="705"/>
      <c r="E19" s="705"/>
      <c r="F19" s="705"/>
      <c r="G19" s="705"/>
      <c r="H19" s="705"/>
      <c r="I19" s="705"/>
      <c r="J19" s="705"/>
      <c r="K19" s="705"/>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7"/>
  <sheetViews>
    <sheetView showGridLines="0" zoomScale="80" zoomScaleNormal="80" workbookViewId="0"/>
  </sheetViews>
  <sheetFormatPr defaultColWidth="8.7109375" defaultRowHeight="15"/>
  <cols>
    <col min="1" max="1" width="10" style="415" bestFit="1" customWidth="1"/>
    <col min="2" max="2" width="71.7109375" style="415" customWidth="1"/>
    <col min="3" max="3" width="14.85546875" style="415" bestFit="1" customWidth="1"/>
    <col min="4" max="7" width="15.5703125" style="415" customWidth="1"/>
    <col min="8" max="8" width="14.85546875" style="415" bestFit="1" customWidth="1"/>
    <col min="9" max="12" width="17.28515625" style="415" customWidth="1"/>
    <col min="13" max="13" width="12" style="415" bestFit="1" customWidth="1"/>
    <col min="14" max="17" width="16.28515625" style="415" customWidth="1"/>
    <col min="18" max="18" width="12.42578125" style="415" bestFit="1" customWidth="1"/>
    <col min="19" max="19" width="47" style="415" bestFit="1" customWidth="1"/>
    <col min="20" max="20" width="43.5703125" style="415" bestFit="1" customWidth="1"/>
    <col min="21" max="21" width="46" style="415" bestFit="1" customWidth="1"/>
    <col min="22" max="22" width="43.42578125" style="415" bestFit="1" customWidth="1"/>
    <col min="23" max="16384" width="8.7109375" style="415"/>
  </cols>
  <sheetData>
    <row r="1" spans="1:22">
      <c r="A1" s="283" t="s">
        <v>30</v>
      </c>
      <c r="B1" s="351" t="str">
        <f>'Info '!C2</f>
        <v>JSC Cartu Bank</v>
      </c>
    </row>
    <row r="2" spans="1:22">
      <c r="A2" s="283" t="s">
        <v>31</v>
      </c>
      <c r="B2" s="350">
        <f>'1. key ratios '!B2</f>
        <v>46112</v>
      </c>
    </row>
    <row r="3" spans="1:22">
      <c r="A3" s="284" t="s">
        <v>496</v>
      </c>
      <c r="B3" s="364"/>
    </row>
    <row r="4" spans="1:22">
      <c r="A4" s="284"/>
      <c r="B4" s="364"/>
    </row>
    <row r="5" spans="1:22" ht="24" customHeight="1">
      <c r="A5" s="831" t="s">
        <v>497</v>
      </c>
      <c r="B5" s="832"/>
      <c r="C5" s="836" t="s">
        <v>663</v>
      </c>
      <c r="D5" s="836"/>
      <c r="E5" s="836"/>
      <c r="F5" s="836"/>
      <c r="G5" s="836"/>
      <c r="H5" s="836" t="s">
        <v>515</v>
      </c>
      <c r="I5" s="836"/>
      <c r="J5" s="836"/>
      <c r="K5" s="836"/>
      <c r="L5" s="836"/>
      <c r="M5" s="836" t="s">
        <v>627</v>
      </c>
      <c r="N5" s="836"/>
      <c r="O5" s="836"/>
      <c r="P5" s="836"/>
      <c r="Q5" s="836"/>
      <c r="R5" s="835" t="s">
        <v>498</v>
      </c>
      <c r="S5" s="835" t="s">
        <v>512</v>
      </c>
      <c r="T5" s="835" t="s">
        <v>513</v>
      </c>
      <c r="U5" s="835" t="s">
        <v>672</v>
      </c>
      <c r="V5" s="835" t="s">
        <v>673</v>
      </c>
    </row>
    <row r="6" spans="1:22" ht="36" customHeight="1">
      <c r="A6" s="833"/>
      <c r="B6" s="834"/>
      <c r="C6" s="424"/>
      <c r="D6" s="362" t="s">
        <v>648</v>
      </c>
      <c r="E6" s="362" t="s">
        <v>647</v>
      </c>
      <c r="F6" s="362" t="s">
        <v>646</v>
      </c>
      <c r="G6" s="362" t="s">
        <v>645</v>
      </c>
      <c r="H6" s="424"/>
      <c r="I6" s="362" t="s">
        <v>648</v>
      </c>
      <c r="J6" s="362" t="s">
        <v>647</v>
      </c>
      <c r="K6" s="362" t="s">
        <v>646</v>
      </c>
      <c r="L6" s="362" t="s">
        <v>645</v>
      </c>
      <c r="M6" s="424"/>
      <c r="N6" s="362" t="s">
        <v>648</v>
      </c>
      <c r="O6" s="362" t="s">
        <v>647</v>
      </c>
      <c r="P6" s="362" t="s">
        <v>646</v>
      </c>
      <c r="Q6" s="362" t="s">
        <v>645</v>
      </c>
      <c r="R6" s="835"/>
      <c r="S6" s="835"/>
      <c r="T6" s="835"/>
      <c r="U6" s="835"/>
      <c r="V6" s="835"/>
    </row>
    <row r="7" spans="1:22">
      <c r="A7" s="419">
        <v>1</v>
      </c>
      <c r="B7" s="423" t="s">
        <v>506</v>
      </c>
      <c r="C7" s="706">
        <v>138522.21999999997</v>
      </c>
      <c r="D7" s="706">
        <v>35708.120000000003</v>
      </c>
      <c r="E7" s="706">
        <v>0</v>
      </c>
      <c r="F7" s="706">
        <v>102814.1</v>
      </c>
      <c r="G7" s="706">
        <v>0</v>
      </c>
      <c r="H7" s="706">
        <v>146373.82630867482</v>
      </c>
      <c r="I7" s="706">
        <v>35886.67</v>
      </c>
      <c r="J7" s="706">
        <v>0</v>
      </c>
      <c r="K7" s="706">
        <v>110487.15630867482</v>
      </c>
      <c r="L7" s="706">
        <v>0</v>
      </c>
      <c r="M7" s="706">
        <v>556.16904812008102</v>
      </c>
      <c r="N7" s="706">
        <v>3.7332665767069821</v>
      </c>
      <c r="O7" s="706">
        <v>0</v>
      </c>
      <c r="P7" s="706">
        <v>552.43578154337411</v>
      </c>
      <c r="Q7" s="706">
        <v>0</v>
      </c>
      <c r="R7" s="706">
        <v>5</v>
      </c>
      <c r="S7" s="706">
        <v>0</v>
      </c>
      <c r="T7" s="706">
        <v>0</v>
      </c>
      <c r="U7" s="706">
        <v>0.1260540529165646</v>
      </c>
      <c r="V7" s="706">
        <v>18.467881353876777</v>
      </c>
    </row>
    <row r="8" spans="1:22">
      <c r="A8" s="419">
        <v>2</v>
      </c>
      <c r="B8" s="422" t="s">
        <v>505</v>
      </c>
      <c r="C8" s="706">
        <v>22880901.614499997</v>
      </c>
      <c r="D8" s="706">
        <v>20895803.6906</v>
      </c>
      <c r="E8" s="706">
        <v>326518.95</v>
      </c>
      <c r="F8" s="706">
        <v>1658578.9739000001</v>
      </c>
      <c r="G8" s="706">
        <v>0</v>
      </c>
      <c r="H8" s="706">
        <v>23318645.290309653</v>
      </c>
      <c r="I8" s="706">
        <v>21316516.831261475</v>
      </c>
      <c r="J8" s="706">
        <v>328214.68</v>
      </c>
      <c r="K8" s="706">
        <v>1673913.7790481707</v>
      </c>
      <c r="L8" s="706">
        <v>0</v>
      </c>
      <c r="M8" s="706">
        <v>297563.69336157443</v>
      </c>
      <c r="N8" s="706">
        <v>187374.03742948856</v>
      </c>
      <c r="O8" s="706">
        <v>2872.5315972522217</v>
      </c>
      <c r="P8" s="706">
        <v>107317.12433483358</v>
      </c>
      <c r="Q8" s="706">
        <v>0</v>
      </c>
      <c r="R8" s="706">
        <v>107</v>
      </c>
      <c r="S8" s="706">
        <v>4.7044264294980986E-2</v>
      </c>
      <c r="T8" s="706">
        <v>4.8415109023499756E-2</v>
      </c>
      <c r="U8" s="706">
        <v>6.2120539594089329E-2</v>
      </c>
      <c r="V8" s="706">
        <v>21.626407261302173</v>
      </c>
    </row>
    <row r="9" spans="1:22">
      <c r="A9" s="419">
        <v>3</v>
      </c>
      <c r="B9" s="422" t="s">
        <v>504</v>
      </c>
      <c r="C9" s="706">
        <v>0</v>
      </c>
      <c r="D9" s="706">
        <v>0</v>
      </c>
      <c r="E9" s="706">
        <v>0</v>
      </c>
      <c r="F9" s="706">
        <v>0</v>
      </c>
      <c r="G9" s="706">
        <v>0</v>
      </c>
      <c r="H9" s="706">
        <v>0</v>
      </c>
      <c r="I9" s="706">
        <v>0</v>
      </c>
      <c r="J9" s="706">
        <v>0</v>
      </c>
      <c r="K9" s="706">
        <v>0</v>
      </c>
      <c r="L9" s="706">
        <v>0</v>
      </c>
      <c r="M9" s="706">
        <v>0</v>
      </c>
      <c r="N9" s="706">
        <v>0</v>
      </c>
      <c r="O9" s="706">
        <v>0</v>
      </c>
      <c r="P9" s="706">
        <v>0</v>
      </c>
      <c r="Q9" s="706">
        <v>0</v>
      </c>
      <c r="R9" s="706">
        <v>0</v>
      </c>
      <c r="S9" s="706">
        <v>0</v>
      </c>
      <c r="T9" s="706">
        <v>0</v>
      </c>
      <c r="U9" s="706">
        <v>0</v>
      </c>
      <c r="V9" s="706">
        <v>0</v>
      </c>
    </row>
    <row r="10" spans="1:22">
      <c r="A10" s="419">
        <v>4</v>
      </c>
      <c r="B10" s="422" t="s">
        <v>503</v>
      </c>
      <c r="C10" s="706">
        <v>0</v>
      </c>
      <c r="D10" s="706">
        <v>0</v>
      </c>
      <c r="E10" s="706">
        <v>0</v>
      </c>
      <c r="F10" s="706">
        <v>0</v>
      </c>
      <c r="G10" s="706">
        <v>0</v>
      </c>
      <c r="H10" s="706">
        <v>0</v>
      </c>
      <c r="I10" s="706">
        <v>0</v>
      </c>
      <c r="J10" s="706">
        <v>0</v>
      </c>
      <c r="K10" s="706">
        <v>0</v>
      </c>
      <c r="L10" s="706">
        <v>0</v>
      </c>
      <c r="M10" s="706">
        <v>0</v>
      </c>
      <c r="N10" s="706">
        <v>0</v>
      </c>
      <c r="O10" s="706">
        <v>0</v>
      </c>
      <c r="P10" s="706">
        <v>0</v>
      </c>
      <c r="Q10" s="706">
        <v>0</v>
      </c>
      <c r="R10" s="706">
        <v>0</v>
      </c>
      <c r="S10" s="706">
        <v>0</v>
      </c>
      <c r="T10" s="706">
        <v>0</v>
      </c>
      <c r="U10" s="706">
        <v>0</v>
      </c>
      <c r="V10" s="706">
        <v>0</v>
      </c>
    </row>
    <row r="11" spans="1:22">
      <c r="A11" s="419">
        <v>5</v>
      </c>
      <c r="B11" s="422" t="s">
        <v>502</v>
      </c>
      <c r="C11" s="706">
        <v>804336.12919999962</v>
      </c>
      <c r="D11" s="706">
        <v>784463.49919999961</v>
      </c>
      <c r="E11" s="706">
        <v>6117.1900000000005</v>
      </c>
      <c r="F11" s="706">
        <v>13755.44</v>
      </c>
      <c r="G11" s="706">
        <v>0</v>
      </c>
      <c r="H11" s="706">
        <v>856042.0571580003</v>
      </c>
      <c r="I11" s="706">
        <v>800048.95715800009</v>
      </c>
      <c r="J11" s="706">
        <v>34650.31</v>
      </c>
      <c r="K11" s="706">
        <v>21342.79</v>
      </c>
      <c r="L11" s="706">
        <v>0</v>
      </c>
      <c r="M11" s="706">
        <v>38589.597543159995</v>
      </c>
      <c r="N11" s="706">
        <v>15998.088543160005</v>
      </c>
      <c r="O11" s="706">
        <v>3465.0309999999999</v>
      </c>
      <c r="P11" s="706">
        <v>19126.477999999999</v>
      </c>
      <c r="Q11" s="706">
        <v>0</v>
      </c>
      <c r="R11" s="706">
        <v>143</v>
      </c>
      <c r="S11" s="706">
        <v>0.11043526787037576</v>
      </c>
      <c r="T11" s="706">
        <v>0.11625633471155855</v>
      </c>
      <c r="U11" s="706">
        <v>0.11123713337978457</v>
      </c>
      <c r="V11" s="706">
        <v>9.1645883334924623</v>
      </c>
    </row>
    <row r="12" spans="1:22">
      <c r="A12" s="419">
        <v>6</v>
      </c>
      <c r="B12" s="422" t="s">
        <v>501</v>
      </c>
      <c r="C12" s="706">
        <v>149865.49300000022</v>
      </c>
      <c r="D12" s="706">
        <v>10380.2322</v>
      </c>
      <c r="E12" s="706">
        <v>0</v>
      </c>
      <c r="F12" s="706">
        <v>139485.26080000022</v>
      </c>
      <c r="G12" s="706">
        <v>0</v>
      </c>
      <c r="H12" s="706">
        <v>149867.99184600019</v>
      </c>
      <c r="I12" s="706">
        <v>10382.731046000001</v>
      </c>
      <c r="J12" s="706">
        <v>0</v>
      </c>
      <c r="K12" s="706">
        <v>139485.26080000022</v>
      </c>
      <c r="L12" s="706">
        <v>0</v>
      </c>
      <c r="M12" s="706">
        <v>139692.91542092018</v>
      </c>
      <c r="N12" s="706">
        <v>207.65462092000001</v>
      </c>
      <c r="O12" s="706">
        <v>0</v>
      </c>
      <c r="P12" s="706">
        <v>139485.26080000022</v>
      </c>
      <c r="Q12" s="706">
        <v>0</v>
      </c>
      <c r="R12" s="706">
        <v>1646</v>
      </c>
      <c r="S12" s="706">
        <v>0</v>
      </c>
      <c r="T12" s="706">
        <v>0</v>
      </c>
      <c r="U12" s="706">
        <v>0.10010405354901407</v>
      </c>
      <c r="V12" s="706">
        <v>4.0879036850368156</v>
      </c>
    </row>
    <row r="13" spans="1:22">
      <c r="A13" s="419">
        <v>7</v>
      </c>
      <c r="B13" s="422" t="s">
        <v>500</v>
      </c>
      <c r="C13" s="706">
        <v>24388364.845199998</v>
      </c>
      <c r="D13" s="706">
        <v>23412957.198199991</v>
      </c>
      <c r="E13" s="706">
        <v>680964.55449999997</v>
      </c>
      <c r="F13" s="706">
        <v>294443.09249999997</v>
      </c>
      <c r="G13" s="706">
        <v>0</v>
      </c>
      <c r="H13" s="706">
        <v>24564628.235287894</v>
      </c>
      <c r="I13" s="706">
        <v>23530311.336318769</v>
      </c>
      <c r="J13" s="706">
        <v>688734.0540631261</v>
      </c>
      <c r="K13" s="706">
        <v>345582.84490600001</v>
      </c>
      <c r="L13" s="706">
        <v>0</v>
      </c>
      <c r="M13" s="706">
        <v>115765.68694596486</v>
      </c>
      <c r="N13" s="706">
        <v>60199.434778576186</v>
      </c>
      <c r="O13" s="706">
        <v>1204.5138437912135</v>
      </c>
      <c r="P13" s="706">
        <v>54361.738323597441</v>
      </c>
      <c r="Q13" s="706">
        <v>0</v>
      </c>
      <c r="R13" s="706">
        <v>151</v>
      </c>
      <c r="S13" s="706">
        <v>0.10320090141357816</v>
      </c>
      <c r="T13" s="706">
        <v>0.10834843676496418</v>
      </c>
      <c r="U13" s="706">
        <v>8.7469116301293656E-2</v>
      </c>
      <c r="V13" s="706">
        <v>109.58155611789614</v>
      </c>
    </row>
    <row r="14" spans="1:22">
      <c r="A14" s="417">
        <v>7.1</v>
      </c>
      <c r="B14" s="416" t="s">
        <v>509</v>
      </c>
      <c r="C14" s="706">
        <v>13812823.538400002</v>
      </c>
      <c r="D14" s="706">
        <v>13124745.718100002</v>
      </c>
      <c r="E14" s="706">
        <v>468817.30029999994</v>
      </c>
      <c r="F14" s="706">
        <v>219260.52</v>
      </c>
      <c r="G14" s="706">
        <v>0</v>
      </c>
      <c r="H14" s="706">
        <v>13944335.811047016</v>
      </c>
      <c r="I14" s="706">
        <v>13200080.434484564</v>
      </c>
      <c r="J14" s="706">
        <v>476018.04892644944</v>
      </c>
      <c r="K14" s="706">
        <v>268237.327636</v>
      </c>
      <c r="L14" s="706">
        <v>0</v>
      </c>
      <c r="M14" s="706">
        <v>57892.345204632897</v>
      </c>
      <c r="N14" s="706">
        <v>26272.056343042561</v>
      </c>
      <c r="O14" s="706">
        <v>869.36871449480702</v>
      </c>
      <c r="P14" s="706">
        <v>30750.920147095545</v>
      </c>
      <c r="Q14" s="706">
        <v>0</v>
      </c>
      <c r="R14" s="706">
        <v>71</v>
      </c>
      <c r="S14" s="706">
        <v>0.1178407520747944</v>
      </c>
      <c r="T14" s="706">
        <v>0.12442148403541846</v>
      </c>
      <c r="U14" s="706">
        <v>7.9948028188911238E-2</v>
      </c>
      <c r="V14" s="706">
        <v>98.183054780022971</v>
      </c>
    </row>
    <row r="15" spans="1:22">
      <c r="A15" s="417">
        <v>7.2</v>
      </c>
      <c r="B15" s="416" t="s">
        <v>511</v>
      </c>
      <c r="C15" s="706">
        <v>6875779.8205000013</v>
      </c>
      <c r="D15" s="706">
        <v>6603095.9438000005</v>
      </c>
      <c r="E15" s="706">
        <v>197501.30420000001</v>
      </c>
      <c r="F15" s="706">
        <v>75182.572499999995</v>
      </c>
      <c r="G15" s="706">
        <v>0</v>
      </c>
      <c r="H15" s="706">
        <v>6905727.0845698398</v>
      </c>
      <c r="I15" s="706">
        <v>6630350.7749359999</v>
      </c>
      <c r="J15" s="706">
        <v>198030.79236383957</v>
      </c>
      <c r="K15" s="706">
        <v>77345.517269999997</v>
      </c>
      <c r="L15" s="706">
        <v>0</v>
      </c>
      <c r="M15" s="706">
        <v>38156.288322303</v>
      </c>
      <c r="N15" s="706">
        <v>14232.084018351305</v>
      </c>
      <c r="O15" s="706">
        <v>313.38612744978428</v>
      </c>
      <c r="P15" s="706">
        <v>23610.8181765019</v>
      </c>
      <c r="Q15" s="706">
        <v>0</v>
      </c>
      <c r="R15" s="706">
        <v>57</v>
      </c>
      <c r="S15" s="706">
        <v>0.10234268914469649</v>
      </c>
      <c r="T15" s="706">
        <v>0.1075008378872933</v>
      </c>
      <c r="U15" s="706">
        <v>9.6577125923111837E-2</v>
      </c>
      <c r="V15" s="706">
        <v>120.60693142150697</v>
      </c>
    </row>
    <row r="16" spans="1:22">
      <c r="A16" s="417">
        <v>7.3</v>
      </c>
      <c r="B16" s="416" t="s">
        <v>508</v>
      </c>
      <c r="C16" s="706">
        <v>3699761.4863</v>
      </c>
      <c r="D16" s="706">
        <v>3685115.5362999998</v>
      </c>
      <c r="E16" s="706">
        <v>14645.95</v>
      </c>
      <c r="F16" s="706">
        <v>0</v>
      </c>
      <c r="G16" s="706">
        <v>0</v>
      </c>
      <c r="H16" s="706">
        <v>3714565.3396710427</v>
      </c>
      <c r="I16" s="706">
        <v>3699880.1268982058</v>
      </c>
      <c r="J16" s="706">
        <v>14685.212772837027</v>
      </c>
      <c r="K16" s="706">
        <v>0</v>
      </c>
      <c r="L16" s="706">
        <v>0</v>
      </c>
      <c r="M16" s="706">
        <v>19717.053419028962</v>
      </c>
      <c r="N16" s="706">
        <v>19695.29441718234</v>
      </c>
      <c r="O16" s="706">
        <v>21.759001846622329</v>
      </c>
      <c r="P16" s="706">
        <v>0</v>
      </c>
      <c r="Q16" s="706">
        <v>0</v>
      </c>
      <c r="R16" s="706">
        <v>23</v>
      </c>
      <c r="S16" s="706">
        <v>0.10230137905040712</v>
      </c>
      <c r="T16" s="706">
        <v>0.10727960890147023</v>
      </c>
      <c r="U16" s="706">
        <v>9.8621941774846983E-2</v>
      </c>
      <c r="V16" s="706">
        <v>131.24958294444426</v>
      </c>
    </row>
    <row r="17" spans="1:22">
      <c r="A17" s="419">
        <v>8</v>
      </c>
      <c r="B17" s="422" t="s">
        <v>507</v>
      </c>
      <c r="C17" s="706">
        <v>0</v>
      </c>
      <c r="D17" s="706">
        <v>0</v>
      </c>
      <c r="E17" s="706">
        <v>0</v>
      </c>
      <c r="F17" s="706">
        <v>0</v>
      </c>
      <c r="G17" s="706">
        <v>0</v>
      </c>
      <c r="H17" s="706">
        <v>0</v>
      </c>
      <c r="I17" s="706">
        <v>0</v>
      </c>
      <c r="J17" s="706">
        <v>0</v>
      </c>
      <c r="K17" s="706">
        <v>0</v>
      </c>
      <c r="L17" s="706">
        <v>0</v>
      </c>
      <c r="M17" s="706">
        <v>0</v>
      </c>
      <c r="N17" s="706">
        <v>0</v>
      </c>
      <c r="O17" s="706">
        <v>0</v>
      </c>
      <c r="P17" s="706">
        <v>0</v>
      </c>
      <c r="Q17" s="706">
        <v>0</v>
      </c>
      <c r="R17" s="706">
        <v>0</v>
      </c>
      <c r="S17" s="706">
        <v>0</v>
      </c>
      <c r="T17" s="706">
        <v>0</v>
      </c>
      <c r="U17" s="706">
        <v>0</v>
      </c>
      <c r="V17" s="706">
        <v>0</v>
      </c>
    </row>
    <row r="18" spans="1:22">
      <c r="A18" s="421">
        <v>9</v>
      </c>
      <c r="B18" s="420" t="s">
        <v>499</v>
      </c>
      <c r="C18" s="708">
        <v>0</v>
      </c>
      <c r="D18" s="708">
        <v>0</v>
      </c>
      <c r="E18" s="708">
        <v>0</v>
      </c>
      <c r="F18" s="708">
        <v>0</v>
      </c>
      <c r="G18" s="708">
        <v>0</v>
      </c>
      <c r="H18" s="708">
        <v>0</v>
      </c>
      <c r="I18" s="708">
        <v>0</v>
      </c>
      <c r="J18" s="708">
        <v>0</v>
      </c>
      <c r="K18" s="708">
        <v>0</v>
      </c>
      <c r="L18" s="708">
        <v>0</v>
      </c>
      <c r="M18" s="708">
        <v>0</v>
      </c>
      <c r="N18" s="708">
        <v>0</v>
      </c>
      <c r="O18" s="708">
        <v>0</v>
      </c>
      <c r="P18" s="708">
        <v>0</v>
      </c>
      <c r="Q18" s="708">
        <v>0</v>
      </c>
      <c r="R18" s="708">
        <v>0</v>
      </c>
      <c r="S18" s="708">
        <v>0</v>
      </c>
      <c r="T18" s="708">
        <v>0</v>
      </c>
      <c r="U18" s="708">
        <v>0</v>
      </c>
      <c r="V18" s="708">
        <v>0</v>
      </c>
    </row>
    <row r="19" spans="1:22">
      <c r="A19" s="419">
        <v>10</v>
      </c>
      <c r="B19" s="418" t="s">
        <v>510</v>
      </c>
      <c r="C19" s="706">
        <v>48361990.301899999</v>
      </c>
      <c r="D19" s="706">
        <v>45139312.740199998</v>
      </c>
      <c r="E19" s="706">
        <v>1013600.6945</v>
      </c>
      <c r="F19" s="706">
        <v>2209076.8672000002</v>
      </c>
      <c r="G19" s="706">
        <v>0</v>
      </c>
      <c r="H19" s="706">
        <v>49035557.400910221</v>
      </c>
      <c r="I19" s="706">
        <v>45693146.525784239</v>
      </c>
      <c r="J19" s="706">
        <v>1051599.0440631262</v>
      </c>
      <c r="K19" s="706">
        <v>2290811.8310628459</v>
      </c>
      <c r="L19" s="706">
        <v>0</v>
      </c>
      <c r="M19" s="706">
        <v>592168.06231973961</v>
      </c>
      <c r="N19" s="706">
        <v>263782.94863872143</v>
      </c>
      <c r="O19" s="706">
        <v>7542.0764410434349</v>
      </c>
      <c r="P19" s="706">
        <v>320843.0372399746</v>
      </c>
      <c r="Q19" s="706">
        <v>0</v>
      </c>
      <c r="R19" s="706">
        <v>2052</v>
      </c>
      <c r="S19" s="706">
        <v>8.2582456377811905E-2</v>
      </c>
      <c r="T19" s="706">
        <v>8.6354355414377637E-2</v>
      </c>
      <c r="U19" s="706">
        <v>7.5951572994177458E-2</v>
      </c>
      <c r="V19" s="706">
        <v>65.783948617802139</v>
      </c>
    </row>
    <row r="20" spans="1:22" ht="25.5">
      <c r="A20" s="417">
        <v>10.1</v>
      </c>
      <c r="B20" s="416" t="s">
        <v>514</v>
      </c>
      <c r="C20" s="706">
        <v>0</v>
      </c>
      <c r="D20" s="706">
        <v>0</v>
      </c>
      <c r="E20" s="706">
        <v>0</v>
      </c>
      <c r="F20" s="706">
        <v>0</v>
      </c>
      <c r="G20" s="706">
        <v>0</v>
      </c>
      <c r="H20" s="706">
        <v>0</v>
      </c>
      <c r="I20" s="706">
        <v>0</v>
      </c>
      <c r="J20" s="706">
        <v>0</v>
      </c>
      <c r="K20" s="706">
        <v>0</v>
      </c>
      <c r="L20" s="706">
        <v>0</v>
      </c>
      <c r="M20" s="706">
        <v>0</v>
      </c>
      <c r="N20" s="706">
        <v>0</v>
      </c>
      <c r="O20" s="706">
        <v>0</v>
      </c>
      <c r="P20" s="706">
        <v>0</v>
      </c>
      <c r="Q20" s="706">
        <v>0</v>
      </c>
      <c r="R20" s="706">
        <v>0</v>
      </c>
      <c r="S20" s="706">
        <v>0</v>
      </c>
      <c r="T20" s="706">
        <v>0</v>
      </c>
      <c r="U20" s="706">
        <v>0</v>
      </c>
      <c r="V20" s="706">
        <v>0</v>
      </c>
    </row>
    <row r="24" spans="1:22">
      <c r="C24" s="707"/>
      <c r="D24" s="707"/>
      <c r="E24" s="707"/>
      <c r="F24" s="707"/>
      <c r="G24" s="707"/>
      <c r="H24" s="707"/>
      <c r="I24" s="707"/>
      <c r="J24" s="707"/>
      <c r="K24" s="707"/>
      <c r="L24" s="707"/>
      <c r="M24" s="707"/>
      <c r="N24" s="707"/>
      <c r="O24" s="707"/>
      <c r="P24" s="707"/>
      <c r="Q24" s="707"/>
      <c r="R24" s="707"/>
      <c r="S24" s="707"/>
      <c r="T24" s="707"/>
      <c r="U24" s="707"/>
      <c r="V24" s="707"/>
    </row>
    <row r="25" spans="1:22">
      <c r="C25" s="707"/>
      <c r="D25" s="707"/>
      <c r="E25" s="707"/>
      <c r="F25" s="707"/>
      <c r="G25" s="707"/>
      <c r="H25" s="707"/>
      <c r="I25" s="707"/>
      <c r="J25" s="707"/>
      <c r="K25" s="707"/>
      <c r="L25" s="707"/>
      <c r="M25" s="707"/>
      <c r="N25" s="707"/>
      <c r="O25" s="707"/>
      <c r="P25" s="707"/>
      <c r="Q25" s="707"/>
      <c r="R25" s="707"/>
      <c r="S25" s="707"/>
      <c r="T25" s="707"/>
      <c r="U25" s="707"/>
      <c r="V25" s="707"/>
    </row>
    <row r="26" spans="1:22">
      <c r="C26" s="707"/>
      <c r="D26" s="707"/>
      <c r="E26" s="707"/>
      <c r="F26" s="707"/>
      <c r="G26" s="707"/>
      <c r="H26" s="707"/>
      <c r="I26" s="707"/>
      <c r="J26" s="707"/>
      <c r="K26" s="707"/>
      <c r="L26" s="707"/>
      <c r="M26" s="707"/>
      <c r="N26" s="707"/>
      <c r="O26" s="707"/>
      <c r="P26" s="707"/>
      <c r="Q26" s="707"/>
      <c r="R26" s="707"/>
      <c r="S26" s="707"/>
      <c r="T26" s="707"/>
      <c r="U26" s="707"/>
      <c r="V26" s="707"/>
    </row>
    <row r="27" spans="1:22">
      <c r="C27" s="707"/>
      <c r="D27" s="707"/>
      <c r="E27" s="707"/>
      <c r="F27" s="707"/>
      <c r="G27" s="707"/>
      <c r="H27" s="707"/>
      <c r="I27" s="707"/>
      <c r="J27" s="707"/>
      <c r="K27" s="707"/>
      <c r="L27" s="707"/>
      <c r="M27" s="707"/>
      <c r="N27" s="707"/>
      <c r="O27" s="707"/>
      <c r="P27" s="707"/>
      <c r="Q27" s="707"/>
      <c r="R27" s="707"/>
      <c r="S27" s="707"/>
      <c r="T27" s="707"/>
      <c r="U27" s="707"/>
      <c r="V27" s="707"/>
    </row>
    <row r="28" spans="1:22">
      <c r="C28" s="707"/>
      <c r="D28" s="707"/>
      <c r="E28" s="707"/>
      <c r="F28" s="707"/>
      <c r="G28" s="707"/>
      <c r="H28" s="707"/>
      <c r="I28" s="707"/>
      <c r="J28" s="707"/>
      <c r="K28" s="707"/>
      <c r="L28" s="707"/>
      <c r="M28" s="707"/>
      <c r="N28" s="707"/>
      <c r="O28" s="707"/>
      <c r="P28" s="707"/>
      <c r="Q28" s="707"/>
      <c r="R28" s="707"/>
      <c r="S28" s="707"/>
      <c r="T28" s="707"/>
      <c r="U28" s="707"/>
      <c r="V28" s="707"/>
    </row>
    <row r="29" spans="1:22">
      <c r="C29" s="707"/>
      <c r="D29" s="707"/>
      <c r="E29" s="707"/>
      <c r="F29" s="707"/>
      <c r="G29" s="707"/>
      <c r="H29" s="707"/>
      <c r="I29" s="707"/>
      <c r="J29" s="707"/>
      <c r="K29" s="707"/>
      <c r="L29" s="707"/>
      <c r="M29" s="707"/>
      <c r="N29" s="707"/>
      <c r="O29" s="707"/>
      <c r="P29" s="707"/>
      <c r="Q29" s="707"/>
      <c r="R29" s="707"/>
      <c r="S29" s="707"/>
      <c r="T29" s="707"/>
      <c r="U29" s="707"/>
      <c r="V29" s="707"/>
    </row>
    <row r="30" spans="1:22">
      <c r="C30" s="707"/>
      <c r="D30" s="707"/>
      <c r="E30" s="707"/>
      <c r="F30" s="707"/>
      <c r="G30" s="707"/>
      <c r="H30" s="707"/>
      <c r="I30" s="707"/>
      <c r="J30" s="707"/>
      <c r="K30" s="707"/>
      <c r="L30" s="707"/>
      <c r="M30" s="707"/>
      <c r="N30" s="707"/>
      <c r="O30" s="707"/>
      <c r="P30" s="707"/>
      <c r="Q30" s="707"/>
      <c r="R30" s="707"/>
      <c r="S30" s="707"/>
      <c r="T30" s="707"/>
      <c r="U30" s="707"/>
      <c r="V30" s="707"/>
    </row>
    <row r="31" spans="1:22">
      <c r="C31" s="707"/>
      <c r="D31" s="707"/>
      <c r="E31" s="707"/>
      <c r="F31" s="707"/>
      <c r="G31" s="707"/>
      <c r="H31" s="707"/>
      <c r="I31" s="707"/>
      <c r="J31" s="707"/>
      <c r="K31" s="707"/>
      <c r="L31" s="707"/>
      <c r="M31" s="707"/>
      <c r="N31" s="707"/>
      <c r="O31" s="707"/>
      <c r="P31" s="707"/>
      <c r="Q31" s="707"/>
      <c r="R31" s="707"/>
      <c r="S31" s="707"/>
      <c r="T31" s="707"/>
      <c r="U31" s="707"/>
      <c r="V31" s="707"/>
    </row>
    <row r="32" spans="1:22">
      <c r="C32" s="707"/>
      <c r="D32" s="707"/>
      <c r="E32" s="707"/>
      <c r="F32" s="707"/>
      <c r="G32" s="707"/>
      <c r="H32" s="707"/>
      <c r="I32" s="707"/>
      <c r="J32" s="707"/>
      <c r="K32" s="707"/>
      <c r="L32" s="707"/>
      <c r="M32" s="707"/>
      <c r="N32" s="707"/>
      <c r="O32" s="707"/>
      <c r="P32" s="707"/>
      <c r="Q32" s="707"/>
      <c r="R32" s="707"/>
      <c r="S32" s="707"/>
      <c r="T32" s="707"/>
      <c r="U32" s="707"/>
      <c r="V32" s="707"/>
    </row>
    <row r="33" spans="3:22">
      <c r="C33" s="707"/>
      <c r="D33" s="707"/>
      <c r="E33" s="707"/>
      <c r="F33" s="707"/>
      <c r="G33" s="707"/>
      <c r="H33" s="707"/>
      <c r="I33" s="707"/>
      <c r="J33" s="707"/>
      <c r="K33" s="707"/>
      <c r="L33" s="707"/>
      <c r="M33" s="707"/>
      <c r="N33" s="707"/>
      <c r="O33" s="707"/>
      <c r="P33" s="707"/>
      <c r="Q33" s="707"/>
      <c r="R33" s="707"/>
      <c r="S33" s="707"/>
      <c r="T33" s="707"/>
      <c r="U33" s="707"/>
      <c r="V33" s="707"/>
    </row>
    <row r="34" spans="3:22">
      <c r="C34" s="707"/>
      <c r="D34" s="707"/>
      <c r="E34" s="707"/>
      <c r="F34" s="707"/>
      <c r="G34" s="707"/>
      <c r="H34" s="707"/>
      <c r="I34" s="707"/>
      <c r="J34" s="707"/>
      <c r="K34" s="707"/>
      <c r="L34" s="707"/>
      <c r="M34" s="707"/>
      <c r="N34" s="707"/>
      <c r="O34" s="707"/>
      <c r="P34" s="707"/>
      <c r="Q34" s="707"/>
      <c r="R34" s="707"/>
      <c r="S34" s="707"/>
      <c r="T34" s="707"/>
      <c r="U34" s="707"/>
      <c r="V34" s="707"/>
    </row>
    <row r="35" spans="3:22">
      <c r="C35" s="707"/>
      <c r="D35" s="707"/>
      <c r="E35" s="707"/>
      <c r="F35" s="707"/>
      <c r="G35" s="707"/>
      <c r="H35" s="707"/>
      <c r="I35" s="707"/>
      <c r="J35" s="707"/>
      <c r="K35" s="707"/>
      <c r="L35" s="707"/>
      <c r="M35" s="707"/>
      <c r="N35" s="707"/>
      <c r="O35" s="707"/>
      <c r="P35" s="707"/>
      <c r="Q35" s="707"/>
      <c r="R35" s="707"/>
      <c r="S35" s="707"/>
      <c r="T35" s="707"/>
      <c r="U35" s="707"/>
      <c r="V35" s="707"/>
    </row>
    <row r="36" spans="3:22">
      <c r="C36" s="707"/>
      <c r="D36" s="707"/>
      <c r="E36" s="707"/>
      <c r="F36" s="707"/>
      <c r="G36" s="707"/>
      <c r="H36" s="707"/>
      <c r="I36" s="707"/>
      <c r="J36" s="707"/>
      <c r="K36" s="707"/>
      <c r="L36" s="707"/>
      <c r="M36" s="707"/>
      <c r="N36" s="707"/>
      <c r="O36" s="707"/>
      <c r="P36" s="707"/>
      <c r="Q36" s="707"/>
      <c r="R36" s="707"/>
      <c r="S36" s="707"/>
      <c r="T36" s="707"/>
      <c r="U36" s="707"/>
      <c r="V36" s="707"/>
    </row>
    <row r="37" spans="3:22">
      <c r="C37" s="707"/>
      <c r="D37" s="707"/>
      <c r="E37" s="707"/>
      <c r="F37" s="707"/>
      <c r="G37" s="707"/>
      <c r="H37" s="707"/>
      <c r="I37" s="707"/>
      <c r="J37" s="707"/>
      <c r="K37" s="707"/>
      <c r="L37" s="707"/>
      <c r="M37" s="707"/>
      <c r="N37" s="707"/>
      <c r="O37" s="707"/>
      <c r="P37" s="707"/>
      <c r="Q37" s="707"/>
      <c r="R37" s="707"/>
      <c r="S37" s="707"/>
      <c r="T37" s="707"/>
      <c r="U37" s="707"/>
      <c r="V37" s="707"/>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P45"/>
  <sheetViews>
    <sheetView zoomScale="80" zoomScaleNormal="80" workbookViewId="0"/>
  </sheetViews>
  <sheetFormatPr defaultRowHeight="15"/>
  <cols>
    <col min="2" max="2" width="66.7109375" customWidth="1"/>
    <col min="3" max="8" width="17.7109375" customWidth="1"/>
    <col min="11" max="16" width="15.85546875" bestFit="1" customWidth="1"/>
  </cols>
  <sheetData>
    <row r="1" spans="1:16" s="5" customFormat="1" ht="14.25">
      <c r="A1" s="2" t="s">
        <v>30</v>
      </c>
      <c r="B1" s="3" t="str">
        <f>'Info '!C2</f>
        <v>JSC Cartu Bank</v>
      </c>
      <c r="C1" s="3"/>
      <c r="D1" s="4"/>
      <c r="E1" s="4"/>
      <c r="F1" s="4"/>
      <c r="G1" s="4"/>
    </row>
    <row r="2" spans="1:16" s="5" customFormat="1" ht="14.25">
      <c r="A2" s="2" t="s">
        <v>31</v>
      </c>
      <c r="B2" s="238">
        <f>'1. key ratios '!B2</f>
        <v>46112</v>
      </c>
      <c r="C2" s="3"/>
      <c r="D2" s="4"/>
      <c r="E2" s="4"/>
      <c r="F2" s="4"/>
      <c r="G2" s="4"/>
    </row>
    <row r="4" spans="1:16">
      <c r="A4" s="728" t="s">
        <v>6</v>
      </c>
      <c r="B4" s="730" t="s">
        <v>585</v>
      </c>
      <c r="C4" s="720" t="s">
        <v>522</v>
      </c>
      <c r="D4" s="720"/>
      <c r="E4" s="720"/>
      <c r="F4" s="720" t="s">
        <v>523</v>
      </c>
      <c r="G4" s="720"/>
      <c r="H4" s="721"/>
    </row>
    <row r="5" spans="1:16" ht="15.4" customHeight="1">
      <c r="A5" s="729"/>
      <c r="B5" s="731"/>
      <c r="C5" s="313" t="s">
        <v>32</v>
      </c>
      <c r="D5" s="313" t="s">
        <v>33</v>
      </c>
      <c r="E5" s="313" t="s">
        <v>34</v>
      </c>
      <c r="F5" s="313" t="s">
        <v>32</v>
      </c>
      <c r="G5" s="313" t="s">
        <v>33</v>
      </c>
      <c r="H5" s="313" t="s">
        <v>34</v>
      </c>
    </row>
    <row r="6" spans="1:16">
      <c r="A6" s="314">
        <v>1</v>
      </c>
      <c r="B6" s="315" t="s">
        <v>586</v>
      </c>
      <c r="C6" s="574">
        <f>SUM(C7:C12)</f>
        <v>18491601.727631509</v>
      </c>
      <c r="D6" s="574">
        <f>SUM(D7:D12)</f>
        <v>14647381.329418764</v>
      </c>
      <c r="E6" s="575">
        <f>C6+D6</f>
        <v>33138983.057050273</v>
      </c>
      <c r="F6" s="574">
        <f>SUM(F7:F12)</f>
        <v>13778235.406413263</v>
      </c>
      <c r="G6" s="574">
        <f>SUM(G7:G12)</f>
        <v>15213581.43999441</v>
      </c>
      <c r="H6" s="575">
        <f>F6+G6</f>
        <v>28991816.846407674</v>
      </c>
      <c r="K6" s="573"/>
      <c r="L6" s="573"/>
      <c r="M6" s="573"/>
      <c r="N6" s="573"/>
      <c r="O6" s="573"/>
      <c r="P6" s="573"/>
    </row>
    <row r="7" spans="1:16">
      <c r="A7" s="314">
        <v>1.1000000000000001</v>
      </c>
      <c r="B7" s="316" t="s">
        <v>529</v>
      </c>
      <c r="C7" s="574">
        <v>0</v>
      </c>
      <c r="D7" s="574">
        <v>0</v>
      </c>
      <c r="E7" s="575">
        <f t="shared" ref="E7:E45" si="0">C7+D7</f>
        <v>0</v>
      </c>
      <c r="F7" s="574">
        <v>0</v>
      </c>
      <c r="G7" s="574">
        <v>0</v>
      </c>
      <c r="H7" s="575">
        <f t="shared" ref="H7:H45" si="1">F7+G7</f>
        <v>0</v>
      </c>
      <c r="K7" s="573"/>
      <c r="L7" s="573"/>
      <c r="M7" s="573"/>
      <c r="N7" s="573"/>
      <c r="O7" s="573"/>
      <c r="P7" s="573"/>
    </row>
    <row r="8" spans="1:16">
      <c r="A8" s="314">
        <v>1.2</v>
      </c>
      <c r="B8" s="316" t="s">
        <v>531</v>
      </c>
      <c r="C8" s="574">
        <v>0</v>
      </c>
      <c r="D8" s="574">
        <v>0</v>
      </c>
      <c r="E8" s="575">
        <f t="shared" si="0"/>
        <v>0</v>
      </c>
      <c r="F8" s="574">
        <v>0</v>
      </c>
      <c r="G8" s="574">
        <v>0</v>
      </c>
      <c r="H8" s="575">
        <f t="shared" si="1"/>
        <v>0</v>
      </c>
      <c r="K8" s="573"/>
      <c r="L8" s="573"/>
      <c r="M8" s="573"/>
      <c r="N8" s="573"/>
      <c r="O8" s="573"/>
      <c r="P8" s="573"/>
    </row>
    <row r="9" spans="1:16" ht="21.4" customHeight="1">
      <c r="A9" s="314">
        <v>1.3</v>
      </c>
      <c r="B9" s="316" t="s">
        <v>587</v>
      </c>
      <c r="C9" s="574">
        <v>0</v>
      </c>
      <c r="D9" s="574">
        <v>0</v>
      </c>
      <c r="E9" s="575">
        <f t="shared" si="0"/>
        <v>0</v>
      </c>
      <c r="F9" s="574">
        <v>0</v>
      </c>
      <c r="G9" s="574">
        <v>0</v>
      </c>
      <c r="H9" s="575">
        <f t="shared" si="1"/>
        <v>0</v>
      </c>
      <c r="K9" s="573"/>
      <c r="L9" s="573"/>
      <c r="M9" s="573"/>
      <c r="N9" s="573"/>
      <c r="O9" s="573"/>
      <c r="P9" s="573"/>
    </row>
    <row r="10" spans="1:16">
      <c r="A10" s="314">
        <v>1.4</v>
      </c>
      <c r="B10" s="316" t="s">
        <v>533</v>
      </c>
      <c r="C10" s="574">
        <v>0</v>
      </c>
      <c r="D10" s="574">
        <v>0</v>
      </c>
      <c r="E10" s="575">
        <f t="shared" si="0"/>
        <v>0</v>
      </c>
      <c r="F10" s="574">
        <v>158804.84999999998</v>
      </c>
      <c r="G10" s="574">
        <v>0</v>
      </c>
      <c r="H10" s="575">
        <f t="shared" si="1"/>
        <v>158804.84999999998</v>
      </c>
      <c r="K10" s="573"/>
      <c r="L10" s="573"/>
      <c r="M10" s="573"/>
      <c r="N10" s="573"/>
      <c r="O10" s="573"/>
      <c r="P10" s="573"/>
    </row>
    <row r="11" spans="1:16">
      <c r="A11" s="314">
        <v>1.5</v>
      </c>
      <c r="B11" s="316" t="s">
        <v>537</v>
      </c>
      <c r="C11" s="574">
        <v>18491601.727631509</v>
      </c>
      <c r="D11" s="574">
        <v>14647381.329418764</v>
      </c>
      <c r="E11" s="575">
        <f t="shared" si="0"/>
        <v>33138983.057050273</v>
      </c>
      <c r="F11" s="574">
        <v>13619430.556413263</v>
      </c>
      <c r="G11" s="574">
        <v>15213581.43999441</v>
      </c>
      <c r="H11" s="575">
        <f t="shared" si="1"/>
        <v>28833011.996407673</v>
      </c>
      <c r="K11" s="573"/>
      <c r="L11" s="573"/>
      <c r="M11" s="573"/>
      <c r="N11" s="573"/>
      <c r="O11" s="573"/>
      <c r="P11" s="573"/>
    </row>
    <row r="12" spans="1:16">
      <c r="A12" s="314">
        <v>1.6</v>
      </c>
      <c r="B12" s="317" t="s">
        <v>419</v>
      </c>
      <c r="C12" s="574">
        <v>0</v>
      </c>
      <c r="D12" s="574">
        <v>0</v>
      </c>
      <c r="E12" s="575">
        <f t="shared" si="0"/>
        <v>0</v>
      </c>
      <c r="F12" s="574">
        <v>0</v>
      </c>
      <c r="G12" s="574">
        <v>0</v>
      </c>
      <c r="H12" s="575">
        <f t="shared" si="1"/>
        <v>0</v>
      </c>
      <c r="K12" s="573"/>
      <c r="L12" s="573"/>
      <c r="M12" s="573"/>
      <c r="N12" s="573"/>
      <c r="O12" s="573"/>
      <c r="P12" s="573"/>
    </row>
    <row r="13" spans="1:16">
      <c r="A13" s="314">
        <v>2</v>
      </c>
      <c r="B13" s="318" t="s">
        <v>588</v>
      </c>
      <c r="C13" s="574">
        <f>SUM(C14:C17)</f>
        <v>-5641029.4513600376</v>
      </c>
      <c r="D13" s="574">
        <f>SUM(D14:D17)</f>
        <v>-7338113.1463605445</v>
      </c>
      <c r="E13" s="575">
        <f t="shared" si="0"/>
        <v>-12979142.597720582</v>
      </c>
      <c r="F13" s="574">
        <f>SUM(F14:F17)</f>
        <v>-3403962.4955769242</v>
      </c>
      <c r="G13" s="574">
        <f>SUM(G14:G17)</f>
        <v>-6469494.017989099</v>
      </c>
      <c r="H13" s="575">
        <f t="shared" si="1"/>
        <v>-9873456.5135660227</v>
      </c>
      <c r="K13" s="573"/>
      <c r="L13" s="573"/>
      <c r="M13" s="573"/>
      <c r="N13" s="573"/>
      <c r="O13" s="573"/>
      <c r="P13" s="573"/>
    </row>
    <row r="14" spans="1:16">
      <c r="A14" s="314">
        <v>2.1</v>
      </c>
      <c r="B14" s="316" t="s">
        <v>589</v>
      </c>
      <c r="C14" s="574">
        <v>0</v>
      </c>
      <c r="D14" s="574">
        <v>0</v>
      </c>
      <c r="E14" s="575">
        <f t="shared" si="0"/>
        <v>0</v>
      </c>
      <c r="F14" s="574">
        <v>0</v>
      </c>
      <c r="G14" s="574">
        <v>0</v>
      </c>
      <c r="H14" s="575">
        <f t="shared" si="1"/>
        <v>0</v>
      </c>
      <c r="K14" s="573"/>
      <c r="L14" s="573"/>
      <c r="M14" s="573"/>
      <c r="N14" s="573"/>
      <c r="O14" s="573"/>
      <c r="P14" s="573"/>
    </row>
    <row r="15" spans="1:16" ht="24.4" customHeight="1">
      <c r="A15" s="314">
        <v>2.2000000000000002</v>
      </c>
      <c r="B15" s="316" t="s">
        <v>590</v>
      </c>
      <c r="C15" s="574">
        <v>0</v>
      </c>
      <c r="D15" s="574">
        <v>0</v>
      </c>
      <c r="E15" s="575">
        <f t="shared" si="0"/>
        <v>0</v>
      </c>
      <c r="F15" s="574">
        <v>0</v>
      </c>
      <c r="G15" s="574">
        <v>0</v>
      </c>
      <c r="H15" s="575">
        <f t="shared" si="1"/>
        <v>0</v>
      </c>
      <c r="K15" s="573"/>
      <c r="L15" s="573"/>
      <c r="M15" s="573"/>
      <c r="N15" s="573"/>
      <c r="O15" s="573"/>
      <c r="P15" s="573"/>
    </row>
    <row r="16" spans="1:16" ht="20.65" customHeight="1">
      <c r="A16" s="314">
        <v>2.2999999999999998</v>
      </c>
      <c r="B16" s="316" t="s">
        <v>591</v>
      </c>
      <c r="C16" s="574">
        <v>-5641029.4513600376</v>
      </c>
      <c r="D16" s="574">
        <v>-7338113.1463605445</v>
      </c>
      <c r="E16" s="575">
        <f t="shared" si="0"/>
        <v>-12979142.597720582</v>
      </c>
      <c r="F16" s="574">
        <v>-3403962.4955769242</v>
      </c>
      <c r="G16" s="574">
        <v>-6469494.017989099</v>
      </c>
      <c r="H16" s="575">
        <f t="shared" si="1"/>
        <v>-9873456.5135660227</v>
      </c>
      <c r="K16" s="573"/>
      <c r="L16" s="573"/>
      <c r="M16" s="573"/>
      <c r="N16" s="573"/>
      <c r="O16" s="573"/>
      <c r="P16" s="573"/>
    </row>
    <row r="17" spans="1:16">
      <c r="A17" s="314">
        <v>2.4</v>
      </c>
      <c r="B17" s="316" t="s">
        <v>592</v>
      </c>
      <c r="C17" s="574">
        <v>0</v>
      </c>
      <c r="D17" s="574">
        <v>0</v>
      </c>
      <c r="E17" s="575">
        <f t="shared" si="0"/>
        <v>0</v>
      </c>
      <c r="F17" s="574">
        <v>0</v>
      </c>
      <c r="G17" s="574">
        <v>0</v>
      </c>
      <c r="H17" s="575">
        <f t="shared" si="1"/>
        <v>0</v>
      </c>
      <c r="K17" s="573"/>
      <c r="L17" s="573"/>
      <c r="M17" s="573"/>
      <c r="N17" s="573"/>
      <c r="O17" s="573"/>
      <c r="P17" s="573"/>
    </row>
    <row r="18" spans="1:16">
      <c r="A18" s="314">
        <v>3</v>
      </c>
      <c r="B18" s="318" t="s">
        <v>593</v>
      </c>
      <c r="C18" s="574">
        <v>0</v>
      </c>
      <c r="D18" s="574">
        <v>0</v>
      </c>
      <c r="E18" s="575">
        <f t="shared" si="0"/>
        <v>0</v>
      </c>
      <c r="F18" s="574">
        <v>0</v>
      </c>
      <c r="G18" s="574">
        <v>0</v>
      </c>
      <c r="H18" s="575">
        <f t="shared" si="1"/>
        <v>0</v>
      </c>
      <c r="K18" s="573"/>
      <c r="L18" s="573"/>
      <c r="M18" s="573"/>
      <c r="N18" s="573"/>
      <c r="O18" s="573"/>
      <c r="P18" s="573"/>
    </row>
    <row r="19" spans="1:16">
      <c r="A19" s="314">
        <v>4</v>
      </c>
      <c r="B19" s="318" t="s">
        <v>594</v>
      </c>
      <c r="C19" s="574">
        <v>1078833.8980000003</v>
      </c>
      <c r="D19" s="574">
        <v>1833957.1234999998</v>
      </c>
      <c r="E19" s="575">
        <f t="shared" si="0"/>
        <v>2912791.0214999998</v>
      </c>
      <c r="F19" s="574">
        <v>1167211.2776000001</v>
      </c>
      <c r="G19" s="574">
        <v>1771669.1460000002</v>
      </c>
      <c r="H19" s="575">
        <f t="shared" si="1"/>
        <v>2938880.4236000003</v>
      </c>
      <c r="K19" s="573"/>
      <c r="L19" s="573"/>
      <c r="M19" s="573"/>
      <c r="N19" s="573"/>
      <c r="O19" s="573"/>
      <c r="P19" s="573"/>
    </row>
    <row r="20" spans="1:16">
      <c r="A20" s="314">
        <v>5</v>
      </c>
      <c r="B20" s="318" t="s">
        <v>595</v>
      </c>
      <c r="C20" s="574">
        <v>-351630.19999999995</v>
      </c>
      <c r="D20" s="574">
        <v>-1704650.2665000001</v>
      </c>
      <c r="E20" s="575">
        <f t="shared" si="0"/>
        <v>-2056280.4665000001</v>
      </c>
      <c r="F20" s="574">
        <v>-457316.93999999994</v>
      </c>
      <c r="G20" s="574">
        <v>-1102361.5229</v>
      </c>
      <c r="H20" s="575">
        <f t="shared" si="1"/>
        <v>-1559678.4628999999</v>
      </c>
      <c r="K20" s="573"/>
      <c r="L20" s="573"/>
      <c r="M20" s="573"/>
      <c r="N20" s="573"/>
      <c r="O20" s="573"/>
      <c r="P20" s="573"/>
    </row>
    <row r="21" spans="1:16" ht="24" customHeight="1">
      <c r="A21" s="314">
        <v>6</v>
      </c>
      <c r="B21" s="318" t="s">
        <v>596</v>
      </c>
      <c r="C21" s="574">
        <v>0</v>
      </c>
      <c r="D21" s="574">
        <v>0</v>
      </c>
      <c r="E21" s="575">
        <f t="shared" si="0"/>
        <v>0</v>
      </c>
      <c r="F21" s="574">
        <v>0</v>
      </c>
      <c r="G21" s="574">
        <v>0</v>
      </c>
      <c r="H21" s="575">
        <f t="shared" si="1"/>
        <v>0</v>
      </c>
      <c r="K21" s="573"/>
      <c r="L21" s="573"/>
      <c r="M21" s="573"/>
      <c r="N21" s="573"/>
      <c r="O21" s="573"/>
      <c r="P21" s="573"/>
    </row>
    <row r="22" spans="1:16" ht="18.399999999999999" customHeight="1">
      <c r="A22" s="314">
        <v>7</v>
      </c>
      <c r="B22" s="318" t="s">
        <v>597</v>
      </c>
      <c r="C22" s="574">
        <v>0</v>
      </c>
      <c r="D22" s="574">
        <v>0</v>
      </c>
      <c r="E22" s="575">
        <f t="shared" si="0"/>
        <v>0</v>
      </c>
      <c r="F22" s="574">
        <v>0</v>
      </c>
      <c r="G22" s="574">
        <v>0</v>
      </c>
      <c r="H22" s="575">
        <f t="shared" si="1"/>
        <v>0</v>
      </c>
      <c r="K22" s="573"/>
      <c r="L22" s="573"/>
      <c r="M22" s="573"/>
      <c r="N22" s="573"/>
      <c r="O22" s="573"/>
      <c r="P22" s="573"/>
    </row>
    <row r="23" spans="1:16" ht="25.5" customHeight="1">
      <c r="A23" s="314">
        <v>8</v>
      </c>
      <c r="B23" s="319" t="s">
        <v>598</v>
      </c>
      <c r="C23" s="574">
        <v>-47400</v>
      </c>
      <c r="D23" s="574">
        <v>0</v>
      </c>
      <c r="E23" s="575">
        <f t="shared" si="0"/>
        <v>-47400</v>
      </c>
      <c r="F23" s="574">
        <v>-53950</v>
      </c>
      <c r="G23" s="574">
        <v>0</v>
      </c>
      <c r="H23" s="575">
        <f t="shared" si="1"/>
        <v>-53950</v>
      </c>
      <c r="K23" s="573"/>
      <c r="L23" s="573"/>
      <c r="M23" s="573"/>
      <c r="N23" s="573"/>
      <c r="O23" s="573"/>
      <c r="P23" s="573"/>
    </row>
    <row r="24" spans="1:16" ht="34.5" customHeight="1">
      <c r="A24" s="314">
        <v>9</v>
      </c>
      <c r="B24" s="319" t="s">
        <v>599</v>
      </c>
      <c r="C24" s="574">
        <v>0</v>
      </c>
      <c r="D24" s="574">
        <v>0</v>
      </c>
      <c r="E24" s="575">
        <f t="shared" si="0"/>
        <v>0</v>
      </c>
      <c r="F24" s="574">
        <v>0</v>
      </c>
      <c r="G24" s="574">
        <v>0</v>
      </c>
      <c r="H24" s="575">
        <f t="shared" si="1"/>
        <v>0</v>
      </c>
      <c r="K24" s="573"/>
      <c r="L24" s="573"/>
      <c r="M24" s="573"/>
      <c r="N24" s="573"/>
      <c r="O24" s="573"/>
      <c r="P24" s="573"/>
    </row>
    <row r="25" spans="1:16">
      <c r="A25" s="314">
        <v>10</v>
      </c>
      <c r="B25" s="318" t="s">
        <v>600</v>
      </c>
      <c r="C25" s="574">
        <v>2381843.4404190029</v>
      </c>
      <c r="D25" s="574">
        <v>0</v>
      </c>
      <c r="E25" s="575">
        <f t="shared" si="0"/>
        <v>2381843.4404190029</v>
      </c>
      <c r="F25" s="574">
        <v>1696904.8714510028</v>
      </c>
      <c r="G25" s="574">
        <v>0</v>
      </c>
      <c r="H25" s="575">
        <f t="shared" si="1"/>
        <v>1696904.8714510028</v>
      </c>
      <c r="K25" s="573"/>
      <c r="L25" s="573"/>
      <c r="M25" s="573"/>
      <c r="N25" s="573"/>
      <c r="O25" s="573"/>
      <c r="P25" s="573"/>
    </row>
    <row r="26" spans="1:16">
      <c r="A26" s="314">
        <v>11</v>
      </c>
      <c r="B26" s="320" t="s">
        <v>601</v>
      </c>
      <c r="C26" s="574">
        <v>258796.27000000002</v>
      </c>
      <c r="D26" s="574">
        <v>0</v>
      </c>
      <c r="E26" s="575">
        <f t="shared" si="0"/>
        <v>258796.27000000002</v>
      </c>
      <c r="F26" s="574">
        <v>343125.67</v>
      </c>
      <c r="G26" s="574">
        <v>0</v>
      </c>
      <c r="H26" s="575">
        <f t="shared" si="1"/>
        <v>343125.67</v>
      </c>
      <c r="K26" s="573"/>
      <c r="L26" s="573"/>
      <c r="M26" s="573"/>
      <c r="N26" s="573"/>
      <c r="O26" s="573"/>
      <c r="P26" s="573"/>
    </row>
    <row r="27" spans="1:16">
      <c r="A27" s="314">
        <v>12</v>
      </c>
      <c r="B27" s="318" t="s">
        <v>602</v>
      </c>
      <c r="C27" s="574">
        <v>116470.96999999999</v>
      </c>
      <c r="D27" s="574">
        <v>2312.3777</v>
      </c>
      <c r="E27" s="575">
        <f t="shared" si="0"/>
        <v>118783.34769999998</v>
      </c>
      <c r="F27" s="574">
        <v>86845.11</v>
      </c>
      <c r="G27" s="574">
        <v>8626.4657999999999</v>
      </c>
      <c r="H27" s="575">
        <f t="shared" si="1"/>
        <v>95471.575800000006</v>
      </c>
      <c r="K27" s="573"/>
      <c r="L27" s="573"/>
      <c r="M27" s="573"/>
      <c r="N27" s="573"/>
      <c r="O27" s="573"/>
      <c r="P27" s="573"/>
    </row>
    <row r="28" spans="1:16">
      <c r="A28" s="314">
        <v>13</v>
      </c>
      <c r="B28" s="321" t="s">
        <v>603</v>
      </c>
      <c r="C28" s="574">
        <v>-1287265.2719359165</v>
      </c>
      <c r="D28" s="574">
        <v>-1152252.1068</v>
      </c>
      <c r="E28" s="575">
        <f t="shared" si="0"/>
        <v>-2439517.3787359167</v>
      </c>
      <c r="F28" s="574">
        <v>-1548988.6191688946</v>
      </c>
      <c r="G28" s="574">
        <v>-882066.34459999995</v>
      </c>
      <c r="H28" s="575">
        <f t="shared" si="1"/>
        <v>-2431054.9637688948</v>
      </c>
      <c r="K28" s="573"/>
      <c r="L28" s="573"/>
      <c r="M28" s="573"/>
      <c r="N28" s="573"/>
      <c r="O28" s="573"/>
      <c r="P28" s="573"/>
    </row>
    <row r="29" spans="1:16">
      <c r="A29" s="314">
        <v>14</v>
      </c>
      <c r="B29" s="322" t="s">
        <v>604</v>
      </c>
      <c r="C29" s="574">
        <f>SUM(C30:C31)</f>
        <v>-7960620.2199999997</v>
      </c>
      <c r="D29" s="574">
        <f>SUM(D30:D31)</f>
        <v>-58716.280399999814</v>
      </c>
      <c r="E29" s="575">
        <f t="shared" si="0"/>
        <v>-8019336.5003999993</v>
      </c>
      <c r="F29" s="574">
        <f>SUM(F30:F31)</f>
        <v>-8155155.4799999995</v>
      </c>
      <c r="G29" s="574">
        <f>SUM(G30:G31)</f>
        <v>-75293.688900000066</v>
      </c>
      <c r="H29" s="575">
        <f t="shared" si="1"/>
        <v>-8230449.1688999999</v>
      </c>
      <c r="K29" s="573"/>
      <c r="L29" s="573"/>
      <c r="M29" s="573"/>
      <c r="N29" s="573"/>
      <c r="O29" s="573"/>
      <c r="P29" s="573"/>
    </row>
    <row r="30" spans="1:16">
      <c r="A30" s="314">
        <v>14.1</v>
      </c>
      <c r="B30" s="297" t="s">
        <v>605</v>
      </c>
      <c r="C30" s="574">
        <v>-6549274.0999999996</v>
      </c>
      <c r="D30" s="574">
        <v>0</v>
      </c>
      <c r="E30" s="575">
        <f t="shared" si="0"/>
        <v>-6549274.0999999996</v>
      </c>
      <c r="F30" s="574">
        <v>-6405175.0299999993</v>
      </c>
      <c r="G30" s="574">
        <v>0</v>
      </c>
      <c r="H30" s="575">
        <f t="shared" si="1"/>
        <v>-6405175.0299999993</v>
      </c>
      <c r="K30" s="573"/>
      <c r="L30" s="573"/>
      <c r="M30" s="573"/>
      <c r="N30" s="573"/>
      <c r="O30" s="573"/>
      <c r="P30" s="573"/>
    </row>
    <row r="31" spans="1:16">
      <c r="A31" s="314">
        <v>14.2</v>
      </c>
      <c r="B31" s="297" t="s">
        <v>606</v>
      </c>
      <c r="C31" s="574">
        <v>-1411346.12</v>
      </c>
      <c r="D31" s="574">
        <v>-58716.280399999814</v>
      </c>
      <c r="E31" s="575">
        <f t="shared" si="0"/>
        <v>-1470062.4003999999</v>
      </c>
      <c r="F31" s="574">
        <v>-1749980.4500000004</v>
      </c>
      <c r="G31" s="574">
        <v>-75293.688900000066</v>
      </c>
      <c r="H31" s="575">
        <f t="shared" si="1"/>
        <v>-1825274.1389000006</v>
      </c>
      <c r="K31" s="573"/>
      <c r="L31" s="573"/>
      <c r="M31" s="573"/>
      <c r="N31" s="573"/>
      <c r="O31" s="573"/>
      <c r="P31" s="573"/>
    </row>
    <row r="32" spans="1:16">
      <c r="A32" s="314">
        <v>15</v>
      </c>
      <c r="B32" s="318" t="s">
        <v>607</v>
      </c>
      <c r="C32" s="574">
        <v>-2028182.7020607812</v>
      </c>
      <c r="D32" s="574">
        <v>0</v>
      </c>
      <c r="E32" s="575">
        <f t="shared" si="0"/>
        <v>-2028182.7020607812</v>
      </c>
      <c r="F32" s="574">
        <v>-1420241.312408068</v>
      </c>
      <c r="G32" s="574">
        <v>0</v>
      </c>
      <c r="H32" s="575">
        <f t="shared" si="1"/>
        <v>-1420241.312408068</v>
      </c>
      <c r="K32" s="573"/>
      <c r="L32" s="573"/>
      <c r="M32" s="573"/>
      <c r="N32" s="573"/>
      <c r="O32" s="573"/>
      <c r="P32" s="573"/>
    </row>
    <row r="33" spans="1:16" ht="22.5" customHeight="1">
      <c r="A33" s="314">
        <v>16</v>
      </c>
      <c r="B33" s="295" t="s">
        <v>608</v>
      </c>
      <c r="C33" s="574">
        <v>-419171.99423990946</v>
      </c>
      <c r="D33" s="574">
        <v>213156.66369304137</v>
      </c>
      <c r="E33" s="575">
        <f t="shared" si="0"/>
        <v>-206015.33054686809</v>
      </c>
      <c r="F33" s="574">
        <v>-168939.36943566482</v>
      </c>
      <c r="G33" s="574">
        <v>-801897.22467836621</v>
      </c>
      <c r="H33" s="575">
        <f t="shared" si="1"/>
        <v>-970836.59411403106</v>
      </c>
      <c r="K33" s="573"/>
      <c r="L33" s="573"/>
      <c r="M33" s="573"/>
      <c r="N33" s="573"/>
      <c r="O33" s="573"/>
      <c r="P33" s="573"/>
    </row>
    <row r="34" spans="1:16">
      <c r="A34" s="314">
        <v>17</v>
      </c>
      <c r="B34" s="318" t="s">
        <v>609</v>
      </c>
      <c r="C34" s="574">
        <f>SUM(C35:C36)</f>
        <v>4295.4265702537887</v>
      </c>
      <c r="D34" s="574">
        <f>SUM(D35:D36)</f>
        <v>-132762.50650342993</v>
      </c>
      <c r="E34" s="575">
        <f t="shared" si="0"/>
        <v>-128467.07993317614</v>
      </c>
      <c r="F34" s="574">
        <f>SUM(F35:F36)</f>
        <v>223258.08274712518</v>
      </c>
      <c r="G34" s="574">
        <f>SUM(G35:G36)</f>
        <v>-128957.42891109943</v>
      </c>
      <c r="H34" s="575">
        <f t="shared" si="1"/>
        <v>94300.653836025755</v>
      </c>
      <c r="K34" s="573"/>
      <c r="L34" s="573"/>
      <c r="M34" s="573"/>
      <c r="N34" s="573"/>
      <c r="O34" s="573"/>
      <c r="P34" s="573"/>
    </row>
    <row r="35" spans="1:16">
      <c r="A35" s="314">
        <v>17.100000000000001</v>
      </c>
      <c r="B35" s="297" t="s">
        <v>610</v>
      </c>
      <c r="C35" s="574">
        <v>-22880.52032044746</v>
      </c>
      <c r="D35" s="574">
        <v>-120527.48499219747</v>
      </c>
      <c r="E35" s="575">
        <f t="shared" si="0"/>
        <v>-143408.00531264493</v>
      </c>
      <c r="F35" s="574">
        <v>242943.09111999522</v>
      </c>
      <c r="G35" s="574">
        <v>-117491.71369667104</v>
      </c>
      <c r="H35" s="575">
        <f t="shared" si="1"/>
        <v>125451.37742332419</v>
      </c>
      <c r="K35" s="573"/>
      <c r="L35" s="573"/>
      <c r="M35" s="573"/>
      <c r="N35" s="573"/>
      <c r="O35" s="573"/>
      <c r="P35" s="573"/>
    </row>
    <row r="36" spans="1:16">
      <c r="A36" s="314">
        <v>17.2</v>
      </c>
      <c r="B36" s="297" t="s">
        <v>611</v>
      </c>
      <c r="C36" s="574">
        <v>27175.946890701249</v>
      </c>
      <c r="D36" s="574">
        <v>-12235.021511232473</v>
      </c>
      <c r="E36" s="575">
        <f t="shared" si="0"/>
        <v>14940.925379468776</v>
      </c>
      <c r="F36" s="574">
        <v>-19685.008372870056</v>
      </c>
      <c r="G36" s="574">
        <v>-11465.715214428394</v>
      </c>
      <c r="H36" s="575">
        <f t="shared" si="1"/>
        <v>-31150.723587298449</v>
      </c>
      <c r="K36" s="573"/>
      <c r="L36" s="573"/>
      <c r="M36" s="573"/>
      <c r="N36" s="573"/>
      <c r="O36" s="573"/>
      <c r="P36" s="573"/>
    </row>
    <row r="37" spans="1:16" ht="41.65" customHeight="1">
      <c r="A37" s="314">
        <v>18</v>
      </c>
      <c r="B37" s="323" t="s">
        <v>612</v>
      </c>
      <c r="C37" s="574">
        <f>SUM(C38:C39)</f>
        <v>-2471133.5897101494</v>
      </c>
      <c r="D37" s="574">
        <f>SUM(D38:D39)</f>
        <v>-333280.8601542408</v>
      </c>
      <c r="E37" s="575">
        <f t="shared" si="0"/>
        <v>-2804414.4498643903</v>
      </c>
      <c r="F37" s="574">
        <f>SUM(F38:F39)</f>
        <v>-3982098.2188939545</v>
      </c>
      <c r="G37" s="574">
        <f>SUM(G38:G39)</f>
        <v>4078543.3191266125</v>
      </c>
      <c r="H37" s="575">
        <f t="shared" si="1"/>
        <v>96445.100232657976</v>
      </c>
      <c r="K37" s="573"/>
      <c r="L37" s="573"/>
      <c r="M37" s="573"/>
      <c r="N37" s="573"/>
      <c r="O37" s="573"/>
      <c r="P37" s="573"/>
    </row>
    <row r="38" spans="1:16">
      <c r="A38" s="314">
        <v>18.100000000000001</v>
      </c>
      <c r="B38" s="324" t="s">
        <v>613</v>
      </c>
      <c r="C38" s="574">
        <v>0</v>
      </c>
      <c r="D38" s="574">
        <v>0</v>
      </c>
      <c r="E38" s="575">
        <f t="shared" si="0"/>
        <v>0</v>
      </c>
      <c r="F38" s="574">
        <v>0</v>
      </c>
      <c r="G38" s="574">
        <v>0</v>
      </c>
      <c r="H38" s="575">
        <f t="shared" si="1"/>
        <v>0</v>
      </c>
      <c r="K38" s="573"/>
      <c r="L38" s="573"/>
      <c r="M38" s="573"/>
      <c r="N38" s="573"/>
      <c r="O38" s="573"/>
      <c r="P38" s="573"/>
    </row>
    <row r="39" spans="1:16">
      <c r="A39" s="314">
        <v>18.2</v>
      </c>
      <c r="B39" s="324" t="s">
        <v>614</v>
      </c>
      <c r="C39" s="574">
        <v>-2471133.5897101494</v>
      </c>
      <c r="D39" s="574">
        <v>-333280.8601542408</v>
      </c>
      <c r="E39" s="575">
        <f t="shared" si="0"/>
        <v>-2804414.4498643903</v>
      </c>
      <c r="F39" s="574">
        <v>-3982098.2188939545</v>
      </c>
      <c r="G39" s="574">
        <v>4078543.3191266125</v>
      </c>
      <c r="H39" s="575">
        <f t="shared" si="1"/>
        <v>96445.100232657976</v>
      </c>
      <c r="K39" s="573"/>
      <c r="L39" s="573"/>
      <c r="M39" s="573"/>
      <c r="N39" s="573"/>
      <c r="O39" s="573"/>
      <c r="P39" s="573"/>
    </row>
    <row r="40" spans="1:16" ht="24.4" customHeight="1">
      <c r="A40" s="314">
        <v>19</v>
      </c>
      <c r="B40" s="323" t="s">
        <v>615</v>
      </c>
      <c r="C40" s="574">
        <v>0</v>
      </c>
      <c r="D40" s="574">
        <v>0</v>
      </c>
      <c r="E40" s="575">
        <f t="shared" si="0"/>
        <v>0</v>
      </c>
      <c r="F40" s="574">
        <v>0</v>
      </c>
      <c r="G40" s="574">
        <v>0</v>
      </c>
      <c r="H40" s="575">
        <f t="shared" si="1"/>
        <v>0</v>
      </c>
      <c r="K40" s="573"/>
      <c r="L40" s="573"/>
      <c r="M40" s="573"/>
      <c r="N40" s="573"/>
      <c r="O40" s="573"/>
      <c r="P40" s="573"/>
    </row>
    <row r="41" spans="1:16" ht="17.649999999999999" customHeight="1">
      <c r="A41" s="314">
        <v>20</v>
      </c>
      <c r="B41" s="323" t="s">
        <v>616</v>
      </c>
      <c r="C41" s="574">
        <v>-1.0477378964424133E-9</v>
      </c>
      <c r="D41" s="574">
        <v>0</v>
      </c>
      <c r="E41" s="575">
        <f t="shared" si="0"/>
        <v>-1.0477378964424133E-9</v>
      </c>
      <c r="F41" s="574">
        <v>-3.4924596548080444E-9</v>
      </c>
      <c r="G41" s="574">
        <v>0</v>
      </c>
      <c r="H41" s="575">
        <f t="shared" si="1"/>
        <v>-3.4924596548080444E-9</v>
      </c>
      <c r="K41" s="573"/>
      <c r="L41" s="573"/>
      <c r="M41" s="573"/>
      <c r="N41" s="573"/>
      <c r="O41" s="573"/>
      <c r="P41" s="573"/>
    </row>
    <row r="42" spans="1:16" ht="26.65" customHeight="1">
      <c r="A42" s="314">
        <v>21</v>
      </c>
      <c r="B42" s="323" t="s">
        <v>617</v>
      </c>
      <c r="C42" s="574">
        <v>0</v>
      </c>
      <c r="D42" s="574">
        <v>0</v>
      </c>
      <c r="E42" s="575">
        <f t="shared" si="0"/>
        <v>0</v>
      </c>
      <c r="F42" s="574">
        <v>0</v>
      </c>
      <c r="G42" s="574">
        <v>0</v>
      </c>
      <c r="H42" s="575">
        <f t="shared" si="1"/>
        <v>0</v>
      </c>
      <c r="K42" s="573"/>
      <c r="L42" s="573"/>
      <c r="M42" s="573"/>
      <c r="N42" s="573"/>
      <c r="O42" s="573"/>
      <c r="P42" s="573"/>
    </row>
    <row r="43" spans="1:16">
      <c r="A43" s="314">
        <v>22</v>
      </c>
      <c r="B43" s="325" t="s">
        <v>618</v>
      </c>
      <c r="C43" s="574">
        <f>SUM(C6,C13,C18,C19,C20,C21,C22,C23,C24,C25,C26,C27,C28,C29,C32,C33,C34,C37,C40,C41,C42)</f>
        <v>2125408.3033139729</v>
      </c>
      <c r="D43" s="574">
        <f>SUM(D6,D13,D18,D19,D20,D21,D22,D23,D24,D25,D26,D27,D28,D29,D32,D33,D34,D37,D40,D41,D42)</f>
        <v>5977032.3275935892</v>
      </c>
      <c r="E43" s="575">
        <f t="shared" si="0"/>
        <v>8102440.6309075616</v>
      </c>
      <c r="F43" s="574">
        <f>SUM(F6,F13,F18,F19,F20,F21,F22,F23,F24,F25,F26,F27,F28,F29,F32,F33,F34,F37,F40,F41,F42)</f>
        <v>-1895072.0172721173</v>
      </c>
      <c r="G43" s="574">
        <f>SUM(G6,G13,G18,G19,G20,G21,G22,G23,G24,G25,G26,G27,G28,G29,G32,G33,G34,G37,G40,G41,G42)</f>
        <v>11612350.142942458</v>
      </c>
      <c r="H43" s="575">
        <f t="shared" si="1"/>
        <v>9717278.1256703418</v>
      </c>
      <c r="K43" s="573"/>
      <c r="L43" s="573"/>
      <c r="M43" s="573"/>
      <c r="N43" s="573"/>
      <c r="O43" s="573"/>
      <c r="P43" s="573"/>
    </row>
    <row r="44" spans="1:16">
      <c r="A44" s="314">
        <v>23</v>
      </c>
      <c r="B44" s="325" t="s">
        <v>619</v>
      </c>
      <c r="C44" s="574">
        <v>-1811028.8897202287</v>
      </c>
      <c r="D44" s="574">
        <v>0</v>
      </c>
      <c r="E44" s="575">
        <f t="shared" si="0"/>
        <v>-1811028.8897202287</v>
      </c>
      <c r="F44" s="574">
        <v>-2036869.9290576468</v>
      </c>
      <c r="G44" s="574">
        <v>0</v>
      </c>
      <c r="H44" s="575">
        <f t="shared" si="1"/>
        <v>-2036869.9290576468</v>
      </c>
      <c r="K44" s="573"/>
      <c r="L44" s="573"/>
      <c r="M44" s="573"/>
      <c r="N44" s="573"/>
      <c r="O44" s="573"/>
      <c r="P44" s="573"/>
    </row>
    <row r="45" spans="1:16">
      <c r="A45" s="314">
        <v>24</v>
      </c>
      <c r="B45" s="326" t="s">
        <v>620</v>
      </c>
      <c r="C45" s="576">
        <f>C43+C44</f>
        <v>314379.41359374416</v>
      </c>
      <c r="D45" s="576">
        <f>D43+D44</f>
        <v>5977032.3275935892</v>
      </c>
      <c r="E45" s="577">
        <f t="shared" si="0"/>
        <v>6291411.7411873331</v>
      </c>
      <c r="F45" s="576">
        <f>F43+F44</f>
        <v>-3931941.9463297641</v>
      </c>
      <c r="G45" s="576">
        <f>G43+G44</f>
        <v>11612350.142942458</v>
      </c>
      <c r="H45" s="575">
        <f t="shared" si="1"/>
        <v>7680408.1966126943</v>
      </c>
      <c r="K45" s="573"/>
      <c r="L45" s="573"/>
      <c r="M45" s="573"/>
      <c r="N45" s="573"/>
      <c r="O45" s="573"/>
      <c r="P45" s="573"/>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O47"/>
  <sheetViews>
    <sheetView zoomScale="80" zoomScaleNormal="80" workbookViewId="0"/>
  </sheetViews>
  <sheetFormatPr defaultColWidth="8.7109375" defaultRowHeight="15"/>
  <cols>
    <col min="1" max="1" width="8.7109375" style="496"/>
    <col min="2" max="2" width="87.7109375" style="465" bestFit="1" customWidth="1"/>
    <col min="3" max="8" width="15.42578125" style="465" customWidth="1"/>
    <col min="9" max="16384" width="8.7109375" style="465"/>
  </cols>
  <sheetData>
    <row r="1" spans="1:15">
      <c r="A1" s="123" t="s">
        <v>30</v>
      </c>
      <c r="B1" s="464" t="str">
        <f>'Info '!C2</f>
        <v>JSC Cartu Bank</v>
      </c>
      <c r="C1" s="464"/>
    </row>
    <row r="2" spans="1:15">
      <c r="A2" s="123" t="s">
        <v>31</v>
      </c>
      <c r="B2" s="466">
        <f>'1. key ratios '!B2</f>
        <v>46112</v>
      </c>
      <c r="C2" s="464"/>
    </row>
    <row r="3" spans="1:15" ht="15.75" thickBot="1">
      <c r="A3" s="465"/>
    </row>
    <row r="4" spans="1:15">
      <c r="A4" s="732" t="s">
        <v>6</v>
      </c>
      <c r="B4" s="733" t="s">
        <v>94</v>
      </c>
      <c r="C4" s="734" t="s">
        <v>522</v>
      </c>
      <c r="D4" s="734"/>
      <c r="E4" s="734"/>
      <c r="F4" s="734" t="s">
        <v>523</v>
      </c>
      <c r="G4" s="734"/>
      <c r="H4" s="735"/>
    </row>
    <row r="5" spans="1:15">
      <c r="A5" s="732"/>
      <c r="B5" s="733"/>
      <c r="C5" s="313" t="s">
        <v>32</v>
      </c>
      <c r="D5" s="313" t="s">
        <v>33</v>
      </c>
      <c r="E5" s="313" t="s">
        <v>34</v>
      </c>
      <c r="F5" s="313" t="s">
        <v>32</v>
      </c>
      <c r="G5" s="313" t="s">
        <v>33</v>
      </c>
      <c r="H5" s="313" t="s">
        <v>34</v>
      </c>
    </row>
    <row r="6" spans="1:15">
      <c r="A6" s="341">
        <v>1</v>
      </c>
      <c r="B6" s="328" t="s">
        <v>621</v>
      </c>
      <c r="C6" s="578">
        <v>0</v>
      </c>
      <c r="D6" s="578">
        <v>0</v>
      </c>
      <c r="E6" s="579">
        <f t="shared" ref="E6:E43" si="0">C6+D6</f>
        <v>0</v>
      </c>
      <c r="F6" s="578">
        <v>0</v>
      </c>
      <c r="G6" s="578">
        <v>0</v>
      </c>
      <c r="H6" s="580">
        <f t="shared" ref="H6:H43" si="1">F6+G6</f>
        <v>0</v>
      </c>
      <c r="J6" s="572"/>
      <c r="K6" s="572"/>
      <c r="L6" s="572"/>
      <c r="M6" s="572"/>
      <c r="N6" s="572"/>
      <c r="O6" s="572"/>
    </row>
    <row r="7" spans="1:15">
      <c r="A7" s="341">
        <v>2</v>
      </c>
      <c r="B7" s="328" t="s">
        <v>183</v>
      </c>
      <c r="C7" s="578">
        <v>0</v>
      </c>
      <c r="D7" s="578">
        <v>0</v>
      </c>
      <c r="E7" s="579">
        <f t="shared" si="0"/>
        <v>0</v>
      </c>
      <c r="F7" s="578">
        <v>0</v>
      </c>
      <c r="G7" s="578">
        <v>0</v>
      </c>
      <c r="H7" s="580">
        <f t="shared" si="1"/>
        <v>0</v>
      </c>
      <c r="J7" s="572"/>
      <c r="K7" s="572"/>
      <c r="L7" s="572"/>
      <c r="M7" s="572"/>
      <c r="N7" s="572"/>
      <c r="O7" s="572"/>
    </row>
    <row r="8" spans="1:15">
      <c r="A8" s="341">
        <v>3</v>
      </c>
      <c r="B8" s="328" t="s">
        <v>193</v>
      </c>
      <c r="C8" s="578">
        <f>C9+C10</f>
        <v>192544107.73137188</v>
      </c>
      <c r="D8" s="578">
        <f>D9+D10</f>
        <v>429208911.96989793</v>
      </c>
      <c r="E8" s="579">
        <f t="shared" si="0"/>
        <v>621753019.70126987</v>
      </c>
      <c r="F8" s="578">
        <f>F9+F10</f>
        <v>133618660.49992223</v>
      </c>
      <c r="G8" s="578">
        <f>G9+G10</f>
        <v>435451708.00232792</v>
      </c>
      <c r="H8" s="580">
        <f t="shared" si="1"/>
        <v>569070368.50225019</v>
      </c>
      <c r="J8" s="572"/>
      <c r="K8" s="572"/>
      <c r="L8" s="572"/>
      <c r="M8" s="572"/>
      <c r="N8" s="572"/>
      <c r="O8" s="572"/>
    </row>
    <row r="9" spans="1:15">
      <c r="A9" s="341">
        <v>3.1</v>
      </c>
      <c r="B9" s="327" t="s">
        <v>184</v>
      </c>
      <c r="C9" s="578">
        <v>3685571.7569999998</v>
      </c>
      <c r="D9" s="578">
        <v>306186.90999999997</v>
      </c>
      <c r="E9" s="579">
        <f t="shared" si="0"/>
        <v>3991758.6669999999</v>
      </c>
      <c r="F9" s="578">
        <v>4518649.03</v>
      </c>
      <c r="G9" s="578">
        <v>313842.15000000002</v>
      </c>
      <c r="H9" s="580">
        <f t="shared" si="1"/>
        <v>4832491.1800000006</v>
      </c>
      <c r="J9" s="572"/>
      <c r="K9" s="572"/>
      <c r="L9" s="572"/>
      <c r="M9" s="572"/>
      <c r="N9" s="572"/>
      <c r="O9" s="572"/>
    </row>
    <row r="10" spans="1:15">
      <c r="A10" s="341">
        <v>3.2</v>
      </c>
      <c r="B10" s="327" t="s">
        <v>180</v>
      </c>
      <c r="C10" s="578">
        <v>188858535.97437188</v>
      </c>
      <c r="D10" s="578">
        <v>428902725.0598979</v>
      </c>
      <c r="E10" s="579">
        <f t="shared" si="0"/>
        <v>617761261.03426981</v>
      </c>
      <c r="F10" s="578">
        <v>129100011.46992223</v>
      </c>
      <c r="G10" s="578">
        <v>435137865.85232794</v>
      </c>
      <c r="H10" s="580">
        <f t="shared" si="1"/>
        <v>564237877.32225013</v>
      </c>
      <c r="J10" s="572"/>
      <c r="K10" s="572"/>
      <c r="L10" s="572"/>
      <c r="M10" s="572"/>
      <c r="N10" s="572"/>
      <c r="O10" s="572"/>
    </row>
    <row r="11" spans="1:15">
      <c r="A11" s="341">
        <v>4</v>
      </c>
      <c r="B11" s="328" t="s">
        <v>182</v>
      </c>
      <c r="C11" s="578">
        <f>C12+C13</f>
        <v>0</v>
      </c>
      <c r="D11" s="578">
        <f>D12+D13</f>
        <v>0</v>
      </c>
      <c r="E11" s="579">
        <f t="shared" si="0"/>
        <v>0</v>
      </c>
      <c r="F11" s="578">
        <f>F12+F13</f>
        <v>0</v>
      </c>
      <c r="G11" s="578">
        <f>G12+G13</f>
        <v>0</v>
      </c>
      <c r="H11" s="580">
        <f t="shared" si="1"/>
        <v>0</v>
      </c>
      <c r="J11" s="572"/>
      <c r="K11" s="572"/>
      <c r="L11" s="572"/>
      <c r="M11" s="572"/>
      <c r="N11" s="572"/>
      <c r="O11" s="572"/>
    </row>
    <row r="12" spans="1:15">
      <c r="A12" s="341">
        <v>4.0999999999999996</v>
      </c>
      <c r="B12" s="327" t="s">
        <v>166</v>
      </c>
      <c r="C12" s="578">
        <v>0</v>
      </c>
      <c r="D12" s="578">
        <v>0</v>
      </c>
      <c r="E12" s="579">
        <f t="shared" si="0"/>
        <v>0</v>
      </c>
      <c r="F12" s="578">
        <v>0</v>
      </c>
      <c r="G12" s="578">
        <v>0</v>
      </c>
      <c r="H12" s="580">
        <f t="shared" si="1"/>
        <v>0</v>
      </c>
      <c r="J12" s="572"/>
      <c r="K12" s="572"/>
      <c r="L12" s="572"/>
      <c r="M12" s="572"/>
      <c r="N12" s="572"/>
      <c r="O12" s="572"/>
    </row>
    <row r="13" spans="1:15">
      <c r="A13" s="341">
        <v>4.2</v>
      </c>
      <c r="B13" s="327" t="s">
        <v>167</v>
      </c>
      <c r="C13" s="578">
        <v>0</v>
      </c>
      <c r="D13" s="578">
        <v>0</v>
      </c>
      <c r="E13" s="579">
        <f t="shared" si="0"/>
        <v>0</v>
      </c>
      <c r="F13" s="578">
        <v>0</v>
      </c>
      <c r="G13" s="578">
        <v>0</v>
      </c>
      <c r="H13" s="580">
        <f t="shared" si="1"/>
        <v>0</v>
      </c>
      <c r="J13" s="572"/>
      <c r="K13" s="572"/>
      <c r="L13" s="572"/>
      <c r="M13" s="572"/>
      <c r="N13" s="572"/>
      <c r="O13" s="572"/>
    </row>
    <row r="14" spans="1:15">
      <c r="A14" s="341">
        <v>5</v>
      </c>
      <c r="B14" s="328" t="s">
        <v>192</v>
      </c>
      <c r="C14" s="578">
        <f>C15+C16+C17+C23+C24+C25+C26</f>
        <v>315416995.20693213</v>
      </c>
      <c r="D14" s="578">
        <f>D15+D16+D17+D23+D24+D25+D26</f>
        <v>2739401117.6133366</v>
      </c>
      <c r="E14" s="579">
        <f t="shared" si="0"/>
        <v>3054818112.8202686</v>
      </c>
      <c r="F14" s="578">
        <f>F15+F16+F17+F23+F24+F25+F26</f>
        <v>330307384.18007255</v>
      </c>
      <c r="G14" s="578">
        <f>G15+G16+G17+G23+G24+G25+G26</f>
        <v>2647751679.2730246</v>
      </c>
      <c r="H14" s="580">
        <f t="shared" si="1"/>
        <v>2978059063.4530973</v>
      </c>
      <c r="J14" s="572"/>
      <c r="K14" s="572"/>
      <c r="L14" s="572"/>
      <c r="M14" s="572"/>
      <c r="N14" s="572"/>
      <c r="O14" s="572"/>
    </row>
    <row r="15" spans="1:15">
      <c r="A15" s="341">
        <v>5.0999999999999996</v>
      </c>
      <c r="B15" s="329" t="s">
        <v>170</v>
      </c>
      <c r="C15" s="578">
        <v>58815261.739999995</v>
      </c>
      <c r="D15" s="578">
        <v>69229597.859760016</v>
      </c>
      <c r="E15" s="579">
        <f t="shared" si="0"/>
        <v>128044859.59976001</v>
      </c>
      <c r="F15" s="578">
        <v>49907497.089999996</v>
      </c>
      <c r="G15" s="578">
        <v>29282328.700715996</v>
      </c>
      <c r="H15" s="580">
        <f t="shared" si="1"/>
        <v>79189825.790715992</v>
      </c>
      <c r="J15" s="572"/>
      <c r="K15" s="572"/>
      <c r="L15" s="572"/>
      <c r="M15" s="572"/>
      <c r="N15" s="572"/>
      <c r="O15" s="572"/>
    </row>
    <row r="16" spans="1:15">
      <c r="A16" s="341">
        <v>5.2</v>
      </c>
      <c r="B16" s="329" t="s">
        <v>169</v>
      </c>
      <c r="C16" s="578">
        <v>0</v>
      </c>
      <c r="D16" s="578">
        <v>0</v>
      </c>
      <c r="E16" s="579">
        <f t="shared" si="0"/>
        <v>0</v>
      </c>
      <c r="F16" s="578">
        <v>0</v>
      </c>
      <c r="G16" s="578">
        <v>0</v>
      </c>
      <c r="H16" s="580">
        <f t="shared" si="1"/>
        <v>0</v>
      </c>
      <c r="J16" s="572"/>
      <c r="K16" s="572"/>
      <c r="L16" s="572"/>
      <c r="M16" s="572"/>
      <c r="N16" s="572"/>
      <c r="O16" s="572"/>
    </row>
    <row r="17" spans="1:15">
      <c r="A17" s="341">
        <v>5.3</v>
      </c>
      <c r="B17" s="329" t="s">
        <v>168</v>
      </c>
      <c r="C17" s="578">
        <f>C18+C19+C20+C21+C22</f>
        <v>9910329.5999999996</v>
      </c>
      <c r="D17" s="578">
        <f>D18+D19+D20+D21+D22</f>
        <v>1805253107.855962</v>
      </c>
      <c r="E17" s="579">
        <f t="shared" si="0"/>
        <v>1815163437.4559619</v>
      </c>
      <c r="F17" s="578">
        <f>F18+F19+F20+F21+F22</f>
        <v>6000102.2199999997</v>
      </c>
      <c r="G17" s="578">
        <f>G18+G19+G20+G21+G22</f>
        <v>1874999397.0909352</v>
      </c>
      <c r="H17" s="580">
        <f t="shared" si="1"/>
        <v>1880999499.3109353</v>
      </c>
      <c r="J17" s="572"/>
      <c r="K17" s="572"/>
      <c r="L17" s="572"/>
      <c r="M17" s="572"/>
      <c r="N17" s="572"/>
      <c r="O17" s="572"/>
    </row>
    <row r="18" spans="1:15">
      <c r="A18" s="341" t="s">
        <v>15</v>
      </c>
      <c r="B18" s="330" t="s">
        <v>36</v>
      </c>
      <c r="C18" s="578">
        <v>0</v>
      </c>
      <c r="D18" s="578">
        <v>218341720.24689811</v>
      </c>
      <c r="E18" s="579">
        <f t="shared" si="0"/>
        <v>218341720.24689811</v>
      </c>
      <c r="F18" s="578">
        <v>139471.92000000001</v>
      </c>
      <c r="G18" s="578">
        <v>199622108.76126915</v>
      </c>
      <c r="H18" s="580">
        <f t="shared" si="1"/>
        <v>199761580.68126914</v>
      </c>
      <c r="J18" s="572"/>
      <c r="K18" s="572"/>
      <c r="L18" s="572"/>
      <c r="M18" s="572"/>
      <c r="N18" s="572"/>
      <c r="O18" s="572"/>
    </row>
    <row r="19" spans="1:15">
      <c r="A19" s="341" t="s">
        <v>16</v>
      </c>
      <c r="B19" s="330" t="s">
        <v>37</v>
      </c>
      <c r="C19" s="578">
        <v>4867132.8</v>
      </c>
      <c r="D19" s="578">
        <v>764555924.35414815</v>
      </c>
      <c r="E19" s="579">
        <f t="shared" si="0"/>
        <v>769423057.1541481</v>
      </c>
      <c r="F19" s="578">
        <v>816353.5</v>
      </c>
      <c r="G19" s="578">
        <v>962772763.29233229</v>
      </c>
      <c r="H19" s="580">
        <f t="shared" si="1"/>
        <v>963589116.79233229</v>
      </c>
      <c r="J19" s="572"/>
      <c r="K19" s="572"/>
      <c r="L19" s="572"/>
      <c r="M19" s="572"/>
      <c r="N19" s="572"/>
      <c r="O19" s="572"/>
    </row>
    <row r="20" spans="1:15">
      <c r="A20" s="341" t="s">
        <v>17</v>
      </c>
      <c r="B20" s="330" t="s">
        <v>38</v>
      </c>
      <c r="C20" s="578">
        <v>0</v>
      </c>
      <c r="D20" s="578">
        <v>159441378.5526</v>
      </c>
      <c r="E20" s="579">
        <f t="shared" si="0"/>
        <v>159441378.5526</v>
      </c>
      <c r="F20" s="578">
        <v>0</v>
      </c>
      <c r="G20" s="578">
        <v>163307253.26570001</v>
      </c>
      <c r="H20" s="580">
        <f t="shared" si="1"/>
        <v>163307253.26570001</v>
      </c>
      <c r="J20" s="572"/>
      <c r="K20" s="572"/>
      <c r="L20" s="572"/>
      <c r="M20" s="572"/>
      <c r="N20" s="572"/>
      <c r="O20" s="572"/>
    </row>
    <row r="21" spans="1:15">
      <c r="A21" s="341" t="s">
        <v>18</v>
      </c>
      <c r="B21" s="330" t="s">
        <v>39</v>
      </c>
      <c r="C21" s="578">
        <v>5043196.8</v>
      </c>
      <c r="D21" s="578">
        <v>618882035.34560692</v>
      </c>
      <c r="E21" s="579">
        <f t="shared" si="0"/>
        <v>623925232.14560688</v>
      </c>
      <c r="F21" s="578">
        <v>5044276.8</v>
      </c>
      <c r="G21" s="578">
        <v>512081282.5968169</v>
      </c>
      <c r="H21" s="580">
        <f t="shared" si="1"/>
        <v>517125559.39681691</v>
      </c>
      <c r="J21" s="572"/>
      <c r="K21" s="572"/>
      <c r="L21" s="572"/>
      <c r="M21" s="572"/>
      <c r="N21" s="572"/>
      <c r="O21" s="572"/>
    </row>
    <row r="22" spans="1:15">
      <c r="A22" s="341" t="s">
        <v>19</v>
      </c>
      <c r="B22" s="330" t="s">
        <v>40</v>
      </c>
      <c r="C22" s="578">
        <v>0</v>
      </c>
      <c r="D22" s="578">
        <v>44032049.356708668</v>
      </c>
      <c r="E22" s="579">
        <f t="shared" si="0"/>
        <v>44032049.356708668</v>
      </c>
      <c r="F22" s="578">
        <v>0</v>
      </c>
      <c r="G22" s="578">
        <v>37215989.174816579</v>
      </c>
      <c r="H22" s="580">
        <f t="shared" si="1"/>
        <v>37215989.174816579</v>
      </c>
      <c r="J22" s="572"/>
      <c r="K22" s="572"/>
      <c r="L22" s="572"/>
      <c r="M22" s="572"/>
      <c r="N22" s="572"/>
      <c r="O22" s="572"/>
    </row>
    <row r="23" spans="1:15">
      <c r="A23" s="341">
        <v>5.4</v>
      </c>
      <c r="B23" s="329" t="s">
        <v>171</v>
      </c>
      <c r="C23" s="578">
        <v>175276837.86693215</v>
      </c>
      <c r="D23" s="578">
        <v>464970556.42335033</v>
      </c>
      <c r="E23" s="579">
        <f t="shared" si="0"/>
        <v>640247394.29028249</v>
      </c>
      <c r="F23" s="578">
        <v>200185218.87007254</v>
      </c>
      <c r="G23" s="578">
        <v>367193820.42095304</v>
      </c>
      <c r="H23" s="580">
        <f t="shared" si="1"/>
        <v>567379039.29102564</v>
      </c>
      <c r="J23" s="572"/>
      <c r="K23" s="572"/>
      <c r="L23" s="572"/>
      <c r="M23" s="572"/>
      <c r="N23" s="572"/>
      <c r="O23" s="572"/>
    </row>
    <row r="24" spans="1:15">
      <c r="A24" s="341">
        <v>5.5</v>
      </c>
      <c r="B24" s="329" t="s">
        <v>172</v>
      </c>
      <c r="C24" s="578">
        <v>19126543</v>
      </c>
      <c r="D24" s="578">
        <v>363213861.01246405</v>
      </c>
      <c r="E24" s="579">
        <f t="shared" si="0"/>
        <v>382340404.01246405</v>
      </c>
      <c r="F24" s="578">
        <v>19126543</v>
      </c>
      <c r="G24" s="578">
        <v>351704747.80612004</v>
      </c>
      <c r="H24" s="580">
        <f t="shared" si="1"/>
        <v>370831290.80612004</v>
      </c>
      <c r="J24" s="572"/>
      <c r="K24" s="572"/>
      <c r="L24" s="572"/>
      <c r="M24" s="572"/>
      <c r="N24" s="572"/>
      <c r="O24" s="572"/>
    </row>
    <row r="25" spans="1:15">
      <c r="A25" s="341">
        <v>5.6</v>
      </c>
      <c r="B25" s="329" t="s">
        <v>173</v>
      </c>
      <c r="C25" s="578">
        <v>0</v>
      </c>
      <c r="D25" s="578">
        <v>4049700.0000000005</v>
      </c>
      <c r="E25" s="579">
        <f t="shared" si="0"/>
        <v>4049700.0000000005</v>
      </c>
      <c r="F25" s="578">
        <v>0</v>
      </c>
      <c r="G25" s="578">
        <v>4150950</v>
      </c>
      <c r="H25" s="580">
        <f t="shared" si="1"/>
        <v>4150950</v>
      </c>
      <c r="J25" s="572"/>
      <c r="K25" s="572"/>
      <c r="L25" s="572"/>
      <c r="M25" s="572"/>
      <c r="N25" s="572"/>
      <c r="O25" s="572"/>
    </row>
    <row r="26" spans="1:15">
      <c r="A26" s="341">
        <v>5.7</v>
      </c>
      <c r="B26" s="329" t="s">
        <v>40</v>
      </c>
      <c r="C26" s="578">
        <v>52288023</v>
      </c>
      <c r="D26" s="578">
        <v>32684294.461799979</v>
      </c>
      <c r="E26" s="579">
        <f t="shared" si="0"/>
        <v>84972317.461799979</v>
      </c>
      <c r="F26" s="578">
        <v>55088023</v>
      </c>
      <c r="G26" s="578">
        <v>20420435.254299998</v>
      </c>
      <c r="H26" s="580">
        <f t="shared" si="1"/>
        <v>75508458.254299998</v>
      </c>
      <c r="J26" s="572"/>
      <c r="K26" s="572"/>
      <c r="L26" s="572"/>
      <c r="M26" s="572"/>
      <c r="N26" s="572"/>
      <c r="O26" s="572"/>
    </row>
    <row r="27" spans="1:15">
      <c r="A27" s="341">
        <v>6</v>
      </c>
      <c r="B27" s="498" t="s">
        <v>622</v>
      </c>
      <c r="C27" s="578">
        <v>22779788.859999999</v>
      </c>
      <c r="D27" s="578">
        <v>22059652.716668002</v>
      </c>
      <c r="E27" s="579">
        <f t="shared" si="0"/>
        <v>44839441.576668002</v>
      </c>
      <c r="F27" s="578">
        <v>20135701.550000001</v>
      </c>
      <c r="G27" s="578">
        <v>31752865.143855006</v>
      </c>
      <c r="H27" s="580">
        <f t="shared" si="1"/>
        <v>51888566.693855003</v>
      </c>
      <c r="J27" s="572"/>
      <c r="K27" s="572"/>
      <c r="L27" s="572"/>
      <c r="M27" s="572"/>
      <c r="N27" s="572"/>
      <c r="O27" s="572"/>
    </row>
    <row r="28" spans="1:15">
      <c r="A28" s="341">
        <v>7</v>
      </c>
      <c r="B28" s="498" t="s">
        <v>623</v>
      </c>
      <c r="C28" s="578">
        <v>49609682.800000004</v>
      </c>
      <c r="D28" s="578">
        <v>107301638.17999999</v>
      </c>
      <c r="E28" s="579">
        <f t="shared" si="0"/>
        <v>156911320.97999999</v>
      </c>
      <c r="F28" s="578">
        <v>55929431.839999996</v>
      </c>
      <c r="G28" s="578">
        <v>95767296.299999997</v>
      </c>
      <c r="H28" s="580">
        <f t="shared" si="1"/>
        <v>151696728.13999999</v>
      </c>
      <c r="J28" s="572"/>
      <c r="K28" s="572"/>
      <c r="L28" s="572"/>
      <c r="M28" s="572"/>
      <c r="N28" s="572"/>
      <c r="O28" s="572"/>
    </row>
    <row r="29" spans="1:15">
      <c r="A29" s="341">
        <v>8</v>
      </c>
      <c r="B29" s="498" t="s">
        <v>181</v>
      </c>
      <c r="C29" s="578">
        <v>0</v>
      </c>
      <c r="D29" s="578">
        <v>5897321.2199999997</v>
      </c>
      <c r="E29" s="579">
        <f t="shared" si="0"/>
        <v>5897321.2199999997</v>
      </c>
      <c r="F29" s="578">
        <v>0</v>
      </c>
      <c r="G29" s="578">
        <v>0</v>
      </c>
      <c r="H29" s="580">
        <f t="shared" si="1"/>
        <v>0</v>
      </c>
      <c r="J29" s="572"/>
      <c r="K29" s="572"/>
      <c r="L29" s="572"/>
      <c r="M29" s="572"/>
      <c r="N29" s="572"/>
      <c r="O29" s="572"/>
    </row>
    <row r="30" spans="1:15">
      <c r="A30" s="341">
        <v>9</v>
      </c>
      <c r="B30" s="499" t="s">
        <v>198</v>
      </c>
      <c r="C30" s="578">
        <f>C31+C32+C33+C34+C35+C36+C37</f>
        <v>0</v>
      </c>
      <c r="D30" s="578">
        <f>D31+D32+D33+D34+D35+D36+D37</f>
        <v>0</v>
      </c>
      <c r="E30" s="579">
        <f t="shared" si="0"/>
        <v>0</v>
      </c>
      <c r="F30" s="578">
        <f>F31+F32+F33+F34+F35+F36+F37</f>
        <v>0</v>
      </c>
      <c r="G30" s="578">
        <f>G31+G32+G33+G34+G35+G36+G37</f>
        <v>0</v>
      </c>
      <c r="H30" s="580">
        <f t="shared" si="1"/>
        <v>0</v>
      </c>
      <c r="J30" s="572"/>
      <c r="K30" s="572"/>
      <c r="L30" s="572"/>
      <c r="M30" s="572"/>
      <c r="N30" s="572"/>
      <c r="O30" s="572"/>
    </row>
    <row r="31" spans="1:15">
      <c r="A31" s="341">
        <v>9.1</v>
      </c>
      <c r="B31" s="331" t="s">
        <v>188</v>
      </c>
      <c r="C31" s="578">
        <v>0</v>
      </c>
      <c r="D31" s="578">
        <v>0</v>
      </c>
      <c r="E31" s="579">
        <f t="shared" si="0"/>
        <v>0</v>
      </c>
      <c r="F31" s="578">
        <v>0</v>
      </c>
      <c r="G31" s="578">
        <v>0</v>
      </c>
      <c r="H31" s="580">
        <f t="shared" si="1"/>
        <v>0</v>
      </c>
      <c r="J31" s="572"/>
      <c r="K31" s="572"/>
      <c r="L31" s="572"/>
      <c r="M31" s="572"/>
      <c r="N31" s="572"/>
      <c r="O31" s="572"/>
    </row>
    <row r="32" spans="1:15">
      <c r="A32" s="341">
        <v>9.1999999999999993</v>
      </c>
      <c r="B32" s="331" t="s">
        <v>189</v>
      </c>
      <c r="C32" s="578">
        <v>0</v>
      </c>
      <c r="D32" s="578">
        <v>0</v>
      </c>
      <c r="E32" s="579">
        <f t="shared" si="0"/>
        <v>0</v>
      </c>
      <c r="F32" s="578">
        <v>0</v>
      </c>
      <c r="G32" s="578">
        <v>0</v>
      </c>
      <c r="H32" s="580">
        <f t="shared" si="1"/>
        <v>0</v>
      </c>
      <c r="J32" s="572"/>
      <c r="K32" s="572"/>
      <c r="L32" s="572"/>
      <c r="M32" s="572"/>
      <c r="N32" s="572"/>
      <c r="O32" s="572"/>
    </row>
    <row r="33" spans="1:15">
      <c r="A33" s="341">
        <v>9.3000000000000007</v>
      </c>
      <c r="B33" s="331" t="s">
        <v>185</v>
      </c>
      <c r="C33" s="578">
        <v>0</v>
      </c>
      <c r="D33" s="578">
        <v>0</v>
      </c>
      <c r="E33" s="579">
        <f t="shared" si="0"/>
        <v>0</v>
      </c>
      <c r="F33" s="578">
        <v>0</v>
      </c>
      <c r="G33" s="578">
        <v>0</v>
      </c>
      <c r="H33" s="580">
        <f t="shared" si="1"/>
        <v>0</v>
      </c>
      <c r="J33" s="572"/>
      <c r="K33" s="572"/>
      <c r="L33" s="572"/>
      <c r="M33" s="572"/>
      <c r="N33" s="572"/>
      <c r="O33" s="572"/>
    </row>
    <row r="34" spans="1:15">
      <c r="A34" s="341">
        <v>9.4</v>
      </c>
      <c r="B34" s="331" t="s">
        <v>186</v>
      </c>
      <c r="C34" s="578">
        <v>0</v>
      </c>
      <c r="D34" s="578">
        <v>0</v>
      </c>
      <c r="E34" s="579">
        <f t="shared" si="0"/>
        <v>0</v>
      </c>
      <c r="F34" s="578">
        <v>0</v>
      </c>
      <c r="G34" s="578">
        <v>0</v>
      </c>
      <c r="H34" s="580">
        <f t="shared" si="1"/>
        <v>0</v>
      </c>
      <c r="J34" s="572"/>
      <c r="K34" s="572"/>
      <c r="L34" s="572"/>
      <c r="M34" s="572"/>
      <c r="N34" s="572"/>
      <c r="O34" s="572"/>
    </row>
    <row r="35" spans="1:15">
      <c r="A35" s="341">
        <v>9.5</v>
      </c>
      <c r="B35" s="331" t="s">
        <v>187</v>
      </c>
      <c r="C35" s="578">
        <v>0</v>
      </c>
      <c r="D35" s="578">
        <v>0</v>
      </c>
      <c r="E35" s="579">
        <f t="shared" si="0"/>
        <v>0</v>
      </c>
      <c r="F35" s="578">
        <v>0</v>
      </c>
      <c r="G35" s="578">
        <v>0</v>
      </c>
      <c r="H35" s="580">
        <f t="shared" si="1"/>
        <v>0</v>
      </c>
      <c r="J35" s="572"/>
      <c r="K35" s="572"/>
      <c r="L35" s="572"/>
      <c r="M35" s="572"/>
      <c r="N35" s="572"/>
      <c r="O35" s="572"/>
    </row>
    <row r="36" spans="1:15">
      <c r="A36" s="341">
        <v>9.6</v>
      </c>
      <c r="B36" s="331" t="s">
        <v>190</v>
      </c>
      <c r="C36" s="578">
        <v>0</v>
      </c>
      <c r="D36" s="578">
        <v>0</v>
      </c>
      <c r="E36" s="579">
        <f t="shared" si="0"/>
        <v>0</v>
      </c>
      <c r="F36" s="578">
        <v>0</v>
      </c>
      <c r="G36" s="578">
        <v>0</v>
      </c>
      <c r="H36" s="580">
        <f t="shared" si="1"/>
        <v>0</v>
      </c>
      <c r="J36" s="572"/>
      <c r="K36" s="572"/>
      <c r="L36" s="572"/>
      <c r="M36" s="572"/>
      <c r="N36" s="572"/>
      <c r="O36" s="572"/>
    </row>
    <row r="37" spans="1:15">
      <c r="A37" s="341">
        <v>9.6999999999999993</v>
      </c>
      <c r="B37" s="331" t="s">
        <v>191</v>
      </c>
      <c r="C37" s="578">
        <v>0</v>
      </c>
      <c r="D37" s="578">
        <v>0</v>
      </c>
      <c r="E37" s="579">
        <f t="shared" si="0"/>
        <v>0</v>
      </c>
      <c r="F37" s="578">
        <v>0</v>
      </c>
      <c r="G37" s="578">
        <v>0</v>
      </c>
      <c r="H37" s="580">
        <f t="shared" si="1"/>
        <v>0</v>
      </c>
      <c r="J37" s="572"/>
      <c r="K37" s="572"/>
      <c r="L37" s="572"/>
      <c r="M37" s="572"/>
      <c r="N37" s="572"/>
      <c r="O37" s="572"/>
    </row>
    <row r="38" spans="1:15">
      <c r="A38" s="341">
        <v>10</v>
      </c>
      <c r="B38" s="328" t="s">
        <v>194</v>
      </c>
      <c r="C38" s="581">
        <f>C41+C42</f>
        <v>47652081.279431753</v>
      </c>
      <c r="D38" s="581">
        <f>D41+D42</f>
        <v>79360758.261253998</v>
      </c>
      <c r="E38" s="582">
        <f t="shared" si="0"/>
        <v>127012839.54068574</v>
      </c>
      <c r="F38" s="581">
        <f>F41+F42</f>
        <v>29616228.979431756</v>
      </c>
      <c r="G38" s="581">
        <f>G41+G42</f>
        <v>81054538.202010006</v>
      </c>
      <c r="H38" s="580">
        <f t="shared" si="1"/>
        <v>110670767.18144175</v>
      </c>
      <c r="J38" s="572"/>
      <c r="K38" s="572"/>
      <c r="L38" s="572"/>
      <c r="M38" s="572"/>
      <c r="N38" s="572"/>
      <c r="O38" s="572"/>
    </row>
    <row r="39" spans="1:15">
      <c r="A39" s="341">
        <v>10.1</v>
      </c>
      <c r="B39" s="331" t="s">
        <v>195</v>
      </c>
      <c r="C39" s="578">
        <v>0</v>
      </c>
      <c r="D39" s="578">
        <v>0</v>
      </c>
      <c r="E39" s="579">
        <f t="shared" si="0"/>
        <v>0</v>
      </c>
      <c r="F39" s="578">
        <v>584.51</v>
      </c>
      <c r="G39" s="578">
        <v>1176940.6165</v>
      </c>
      <c r="H39" s="580">
        <f t="shared" si="1"/>
        <v>1177525.1265</v>
      </c>
      <c r="J39" s="572"/>
      <c r="K39" s="572"/>
      <c r="L39" s="572"/>
      <c r="M39" s="572"/>
      <c r="N39" s="572"/>
      <c r="O39" s="572"/>
    </row>
    <row r="40" spans="1:15">
      <c r="A40" s="341">
        <v>10.199999999999999</v>
      </c>
      <c r="B40" s="331" t="s">
        <v>196</v>
      </c>
      <c r="C40" s="578">
        <v>0</v>
      </c>
      <c r="D40" s="578">
        <v>0</v>
      </c>
      <c r="E40" s="579">
        <f t="shared" si="0"/>
        <v>0</v>
      </c>
      <c r="F40" s="578">
        <v>421.62</v>
      </c>
      <c r="G40" s="578">
        <v>2.8199999999999999E-2</v>
      </c>
      <c r="H40" s="580">
        <f t="shared" si="1"/>
        <v>421.64820000000003</v>
      </c>
      <c r="J40" s="572"/>
      <c r="K40" s="572"/>
      <c r="L40" s="572"/>
      <c r="M40" s="572"/>
      <c r="N40" s="572"/>
      <c r="O40" s="572"/>
    </row>
    <row r="41" spans="1:15">
      <c r="A41" s="341">
        <v>10.3</v>
      </c>
      <c r="B41" s="331" t="s">
        <v>199</v>
      </c>
      <c r="C41" s="578">
        <v>23817343.230000004</v>
      </c>
      <c r="D41" s="578">
        <v>31894168.825399995</v>
      </c>
      <c r="E41" s="579">
        <f t="shared" si="0"/>
        <v>55711512.055399999</v>
      </c>
      <c r="F41" s="578">
        <v>12657252.300000003</v>
      </c>
      <c r="G41" s="578">
        <v>32871590.113699988</v>
      </c>
      <c r="H41" s="580">
        <f t="shared" si="1"/>
        <v>45528842.413699992</v>
      </c>
      <c r="J41" s="572"/>
      <c r="K41" s="572"/>
      <c r="L41" s="572"/>
      <c r="M41" s="572"/>
      <c r="N41" s="572"/>
      <c r="O41" s="572"/>
    </row>
    <row r="42" spans="1:15" ht="25.5">
      <c r="A42" s="341">
        <v>10.4</v>
      </c>
      <c r="B42" s="331" t="s">
        <v>200</v>
      </c>
      <c r="C42" s="578">
        <v>23834738.049431749</v>
      </c>
      <c r="D42" s="578">
        <v>47466589.435854003</v>
      </c>
      <c r="E42" s="579">
        <f t="shared" si="0"/>
        <v>71301327.485285759</v>
      </c>
      <c r="F42" s="578">
        <v>16958976.679431751</v>
      </c>
      <c r="G42" s="578">
        <v>48182948.088310011</v>
      </c>
      <c r="H42" s="580">
        <f t="shared" si="1"/>
        <v>65141924.767741762</v>
      </c>
      <c r="J42" s="572"/>
      <c r="K42" s="572"/>
      <c r="L42" s="572"/>
      <c r="M42" s="572"/>
      <c r="N42" s="572"/>
      <c r="O42" s="572"/>
    </row>
    <row r="43" spans="1:15" ht="15.75" thickBot="1">
      <c r="A43" s="341">
        <v>11</v>
      </c>
      <c r="B43" s="100" t="s">
        <v>197</v>
      </c>
      <c r="C43" s="578">
        <v>0</v>
      </c>
      <c r="D43" s="578">
        <v>0</v>
      </c>
      <c r="E43" s="579">
        <f t="shared" si="0"/>
        <v>0</v>
      </c>
      <c r="F43" s="578">
        <v>0</v>
      </c>
      <c r="G43" s="578">
        <v>0</v>
      </c>
      <c r="H43" s="580">
        <f t="shared" si="1"/>
        <v>0</v>
      </c>
      <c r="J43" s="572"/>
      <c r="K43" s="572"/>
      <c r="L43" s="572"/>
      <c r="M43" s="572"/>
      <c r="N43" s="572"/>
      <c r="O43" s="572"/>
    </row>
    <row r="44" spans="1:15">
      <c r="C44" s="332"/>
      <c r="D44" s="332"/>
      <c r="E44" s="332"/>
      <c r="F44" s="332"/>
      <c r="G44" s="332"/>
      <c r="H44" s="332"/>
    </row>
    <row r="45" spans="1:15">
      <c r="C45" s="332"/>
      <c r="D45" s="332"/>
      <c r="E45" s="332"/>
      <c r="F45" s="332"/>
      <c r="G45" s="332"/>
      <c r="H45" s="332"/>
    </row>
    <row r="46" spans="1:15">
      <c r="C46" s="332"/>
      <c r="D46" s="332"/>
      <c r="E46" s="332"/>
      <c r="F46" s="332"/>
      <c r="G46" s="332"/>
      <c r="H46" s="332"/>
    </row>
    <row r="47" spans="1:15">
      <c r="C47" s="332"/>
      <c r="D47" s="332"/>
      <c r="E47" s="332"/>
      <c r="F47" s="332"/>
      <c r="G47" s="332"/>
      <c r="H47" s="33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M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cols>
    <col min="1" max="1" width="9.5703125" style="4" bestFit="1" customWidth="1"/>
    <col min="2" max="2" width="93.5703125" style="4" customWidth="1"/>
    <col min="3" max="4" width="14.85546875" style="4" bestFit="1" customWidth="1"/>
    <col min="5" max="7" width="14.85546875" style="19" bestFit="1" customWidth="1"/>
    <col min="8" max="11" width="9.7109375" style="19" customWidth="1"/>
    <col min="12" max="13" width="14.85546875" style="19" bestFit="1" customWidth="1"/>
    <col min="14" max="16384" width="9.28515625" style="19"/>
  </cols>
  <sheetData>
    <row r="1" spans="1:13">
      <c r="A1" s="2" t="s">
        <v>30</v>
      </c>
      <c r="B1" s="3" t="str">
        <f>'Info '!C2</f>
        <v>JSC Cartu Bank</v>
      </c>
      <c r="C1" s="3"/>
    </row>
    <row r="2" spans="1:13">
      <c r="A2" s="2" t="s">
        <v>31</v>
      </c>
      <c r="B2" s="238">
        <f>'1. key ratios '!B2</f>
        <v>46112</v>
      </c>
      <c r="C2" s="3"/>
    </row>
    <row r="3" spans="1:13">
      <c r="A3" s="2"/>
      <c r="B3" s="3"/>
      <c r="C3" s="3"/>
    </row>
    <row r="4" spans="1:13" ht="15" customHeight="1" thickBot="1">
      <c r="A4" s="4" t="s">
        <v>96</v>
      </c>
      <c r="B4" s="82" t="s">
        <v>174</v>
      </c>
      <c r="C4" s="22" t="s">
        <v>35</v>
      </c>
    </row>
    <row r="5" spans="1:13" ht="15" customHeight="1">
      <c r="A5" s="121" t="s">
        <v>6</v>
      </c>
      <c r="B5" s="122"/>
      <c r="C5" s="236" t="str">
        <f>INT((MONTH($B$2))/3)&amp;"Q"&amp;"-"&amp;YEAR($B$2)</f>
        <v>1Q-2026</v>
      </c>
      <c r="D5" s="236" t="str">
        <f>IF(INT(MONTH($B$2))=3, "4"&amp;"Q"&amp;"-"&amp;YEAR($B$2)-1, IF(INT(MONTH($B$2))=6, "1"&amp;"Q"&amp;"-"&amp;YEAR($B$2), IF(INT(MONTH($B$2))=9, "2"&amp;"Q"&amp;"-"&amp;YEAR($B$2),IF(INT(MONTH($B$2))=12, "3"&amp;"Q"&amp;"-"&amp;YEAR($B$2), 0))))</f>
        <v>4Q-2025</v>
      </c>
      <c r="E5" s="236" t="str">
        <f>IF(INT(MONTH($B$2))=3, "3"&amp;"Q"&amp;"-"&amp;YEAR($B$2)-1, IF(INT(MONTH($B$2))=6, "4"&amp;"Q"&amp;"-"&amp;YEAR($B$2)-1, IF(INT(MONTH($B$2))=9, "1"&amp;"Q"&amp;"-"&amp;YEAR($B$2),IF(INT(MONTH($B$2))=12, "2"&amp;"Q"&amp;"-"&amp;YEAR($B$2), 0))))</f>
        <v>3Q-2025</v>
      </c>
      <c r="F5" s="236" t="str">
        <f>IF(INT(MONTH($B$2))=3, "2"&amp;"Q"&amp;"-"&amp;YEAR($B$2)-1, IF(INT(MONTH($B$2))=6, "3"&amp;"Q"&amp;"-"&amp;YEAR($B$2)-1, IF(INT(MONTH($B$2))=9, "4"&amp;"Q"&amp;"-"&amp;YEAR($B$2)-1,IF(INT(MONTH($B$2))=12, "1"&amp;"Q"&amp;"-"&amp;YEAR($B$2), 0))))</f>
        <v>2Q-2025</v>
      </c>
      <c r="G5" s="237" t="str">
        <f>IF(INT(MONTH($B$2))=3, "1"&amp;"Q"&amp;"-"&amp;YEAR($B$2)-1, IF(INT(MONTH($B$2))=6, "2"&amp;"Q"&amp;"-"&amp;YEAR($B$2)-1, IF(INT(MONTH($B$2))=9, "3"&amp;"Q"&amp;"-"&amp;YEAR($B$2)-1,IF(INT(MONTH($B$2))=12, "4"&amp;"Q"&amp;"-"&amp;YEAR($B$2)-1, 0))))</f>
        <v>1Q-2025</v>
      </c>
    </row>
    <row r="6" spans="1:13" ht="15" customHeight="1">
      <c r="A6" s="23">
        <v>1</v>
      </c>
      <c r="B6" s="203" t="s">
        <v>178</v>
      </c>
      <c r="C6" s="584">
        <f>C7+C9+C10</f>
        <v>1656973107.3861859</v>
      </c>
      <c r="D6" s="585">
        <f>D7+D9+D10</f>
        <v>1700891732.9755478</v>
      </c>
      <c r="E6" s="586">
        <f t="shared" ref="E6:G6" si="0">E7+E9+E10</f>
        <v>1583275996.1325924</v>
      </c>
      <c r="F6" s="584">
        <f t="shared" si="0"/>
        <v>1546178675.9586229</v>
      </c>
      <c r="G6" s="587">
        <f t="shared" si="0"/>
        <v>1561412237.4625614</v>
      </c>
      <c r="H6" s="588"/>
      <c r="I6" s="588"/>
      <c r="J6" s="588"/>
      <c r="K6" s="588"/>
      <c r="L6" s="588"/>
      <c r="M6" s="588"/>
    </row>
    <row r="7" spans="1:13" ht="15" customHeight="1">
      <c r="A7" s="23">
        <v>1.1000000000000001</v>
      </c>
      <c r="B7" s="203" t="s">
        <v>745</v>
      </c>
      <c r="C7" s="589">
        <v>1550520591.9364321</v>
      </c>
      <c r="D7" s="590">
        <v>1595673814.2037368</v>
      </c>
      <c r="E7" s="589">
        <v>1474941429.1883688</v>
      </c>
      <c r="F7" s="589">
        <v>1439561050.5917597</v>
      </c>
      <c r="G7" s="591">
        <v>1456185478.304728</v>
      </c>
      <c r="H7" s="588"/>
      <c r="I7" s="588"/>
      <c r="J7" s="588"/>
      <c r="K7" s="588"/>
      <c r="L7" s="588"/>
      <c r="M7" s="588"/>
    </row>
    <row r="8" spans="1:13">
      <c r="A8" s="23" t="s">
        <v>14</v>
      </c>
      <c r="B8" s="203" t="s">
        <v>95</v>
      </c>
      <c r="C8" s="589">
        <v>23818250</v>
      </c>
      <c r="D8" s="590">
        <v>23818250</v>
      </c>
      <c r="E8" s="589">
        <v>24430750</v>
      </c>
      <c r="F8" s="589">
        <v>24430750</v>
      </c>
      <c r="G8" s="591">
        <v>23805750</v>
      </c>
      <c r="H8" s="588"/>
      <c r="I8" s="588"/>
      <c r="J8" s="588"/>
      <c r="K8" s="588"/>
      <c r="L8" s="588"/>
      <c r="M8" s="588"/>
    </row>
    <row r="9" spans="1:13" ht="15" customHeight="1">
      <c r="A9" s="23">
        <v>1.2</v>
      </c>
      <c r="B9" s="204" t="s">
        <v>94</v>
      </c>
      <c r="C9" s="589">
        <v>106452515.44975366</v>
      </c>
      <c r="D9" s="590">
        <v>105217918.77181093</v>
      </c>
      <c r="E9" s="589">
        <v>108334566.94422363</v>
      </c>
      <c r="F9" s="589">
        <v>106617625.36686328</v>
      </c>
      <c r="G9" s="591">
        <v>105226759.15783325</v>
      </c>
      <c r="H9" s="588"/>
      <c r="I9" s="588"/>
      <c r="J9" s="588"/>
      <c r="K9" s="588"/>
      <c r="L9" s="588"/>
      <c r="M9" s="588"/>
    </row>
    <row r="10" spans="1:13" ht="15" customHeight="1">
      <c r="A10" s="23">
        <v>1.3</v>
      </c>
      <c r="B10" s="203" t="s">
        <v>28</v>
      </c>
      <c r="C10" s="589">
        <v>0</v>
      </c>
      <c r="D10" s="590">
        <v>0</v>
      </c>
      <c r="E10" s="589">
        <v>0</v>
      </c>
      <c r="F10" s="589">
        <v>0</v>
      </c>
      <c r="G10" s="591">
        <v>0</v>
      </c>
      <c r="H10" s="588"/>
      <c r="I10" s="588"/>
      <c r="J10" s="588"/>
      <c r="K10" s="588"/>
      <c r="L10" s="588"/>
      <c r="M10" s="588"/>
    </row>
    <row r="11" spans="1:13" ht="15" customHeight="1">
      <c r="A11" s="23">
        <v>2</v>
      </c>
      <c r="B11" s="203" t="s">
        <v>175</v>
      </c>
      <c r="C11" s="589">
        <v>14034817.810596703</v>
      </c>
      <c r="D11" s="590">
        <v>11887321.144393528</v>
      </c>
      <c r="E11" s="589">
        <v>13442670.803512827</v>
      </c>
      <c r="F11" s="589">
        <v>9408596.4323391113</v>
      </c>
      <c r="G11" s="591">
        <v>13332341.836037362</v>
      </c>
      <c r="H11" s="588"/>
      <c r="I11" s="588"/>
      <c r="J11" s="588"/>
      <c r="K11" s="588"/>
      <c r="L11" s="588"/>
      <c r="M11" s="588"/>
    </row>
    <row r="12" spans="1:13" ht="15" customHeight="1">
      <c r="A12" s="23">
        <v>3</v>
      </c>
      <c r="B12" s="203" t="s">
        <v>176</v>
      </c>
      <c r="C12" s="589">
        <v>182185714.47006807</v>
      </c>
      <c r="D12" s="590">
        <v>182185714.47006807</v>
      </c>
      <c r="E12" s="589">
        <v>158841985.05413476</v>
      </c>
      <c r="F12" s="589">
        <v>158841985.05413476</v>
      </c>
      <c r="G12" s="591">
        <v>158841985.05413476</v>
      </c>
      <c r="H12" s="588"/>
      <c r="I12" s="588"/>
      <c r="J12" s="588"/>
      <c r="K12" s="588"/>
      <c r="L12" s="588"/>
      <c r="M12" s="588"/>
    </row>
    <row r="13" spans="1:13" ht="15" customHeight="1" thickBot="1">
      <c r="A13" s="25">
        <v>4</v>
      </c>
      <c r="B13" s="26" t="s">
        <v>177</v>
      </c>
      <c r="C13" s="592">
        <f>C6+C11+C12</f>
        <v>1853193639.6668506</v>
      </c>
      <c r="D13" s="593">
        <f>D6+D11+D12</f>
        <v>1894964768.5900092</v>
      </c>
      <c r="E13" s="594">
        <f t="shared" ref="E13:G13" si="1">E6+E11+E12</f>
        <v>1755560651.9902401</v>
      </c>
      <c r="F13" s="592">
        <f t="shared" si="1"/>
        <v>1714429257.445097</v>
      </c>
      <c r="G13" s="595">
        <f t="shared" si="1"/>
        <v>1733586564.3527336</v>
      </c>
      <c r="H13" s="588"/>
      <c r="I13" s="588"/>
      <c r="J13" s="588"/>
      <c r="K13" s="588"/>
      <c r="L13" s="588"/>
      <c r="M13" s="588"/>
    </row>
    <row r="14" spans="1:13">
      <c r="B14" s="28"/>
    </row>
    <row r="15" spans="1:13">
      <c r="B15" s="28"/>
    </row>
    <row r="16" spans="1:13">
      <c r="B16" s="28"/>
    </row>
    <row r="17" s="19" customFormat="1" ht="11.25"/>
    <row r="18" s="19" customFormat="1" ht="11.25"/>
    <row r="19" s="19" customFormat="1" ht="11.25"/>
    <row r="20" s="19" customFormat="1" ht="11.25"/>
    <row r="21" s="19" customFormat="1" ht="11.25"/>
    <row r="22" s="19" customFormat="1" ht="11.25"/>
    <row r="23" s="19" customFormat="1" ht="11.25"/>
    <row r="24" s="19" customFormat="1" ht="11.25"/>
    <row r="25" s="19" customFormat="1" ht="11.25"/>
    <row r="26" s="19" customFormat="1" ht="11.25"/>
    <row r="27" s="19" customFormat="1" ht="11.25"/>
    <row r="28" s="19" customFormat="1" ht="11.25"/>
    <row r="29" s="19" customFormat="1" ht="11.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4"/>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9.5703125" style="4" bestFit="1" customWidth="1"/>
    <col min="2" max="2" width="65.5703125" style="4" customWidth="1"/>
    <col min="3" max="3" width="114.85546875" style="4" customWidth="1"/>
    <col min="4" max="16384" width="9.28515625" style="5"/>
  </cols>
  <sheetData>
    <row r="1" spans="1:8">
      <c r="A1" s="2" t="s">
        <v>30</v>
      </c>
      <c r="B1" s="3" t="str">
        <f>'Info '!C2</f>
        <v>JSC Cartu Bank</v>
      </c>
    </row>
    <row r="2" spans="1:8">
      <c r="A2" s="2" t="s">
        <v>31</v>
      </c>
      <c r="B2" s="238">
        <f>'1. key ratios '!B2</f>
        <v>46112</v>
      </c>
    </row>
    <row r="4" spans="1:8" ht="28.15" customHeight="1" thickBot="1">
      <c r="A4" s="29" t="s">
        <v>41</v>
      </c>
      <c r="B4" s="30" t="s">
        <v>151</v>
      </c>
      <c r="C4" s="31"/>
    </row>
    <row r="5" spans="1:8">
      <c r="A5" s="32"/>
      <c r="B5" s="231" t="s">
        <v>42</v>
      </c>
      <c r="C5" s="232" t="s">
        <v>335</v>
      </c>
    </row>
    <row r="6" spans="1:8">
      <c r="A6" s="33">
        <v>1</v>
      </c>
      <c r="B6" s="34" t="s">
        <v>755</v>
      </c>
      <c r="C6" s="35" t="s">
        <v>758</v>
      </c>
    </row>
    <row r="7" spans="1:8">
      <c r="A7" s="33">
        <v>2</v>
      </c>
      <c r="B7" s="34" t="s">
        <v>759</v>
      </c>
      <c r="C7" s="35" t="s">
        <v>760</v>
      </c>
    </row>
    <row r="8" spans="1:8">
      <c r="A8" s="33">
        <v>3</v>
      </c>
      <c r="B8" s="34" t="s">
        <v>761</v>
      </c>
      <c r="C8" s="35" t="s">
        <v>762</v>
      </c>
    </row>
    <row r="9" spans="1:8">
      <c r="A9" s="33">
        <v>4</v>
      </c>
      <c r="B9" s="34" t="s">
        <v>763</v>
      </c>
      <c r="C9" s="35" t="s">
        <v>760</v>
      </c>
    </row>
    <row r="10" spans="1:8">
      <c r="A10" s="33">
        <v>5</v>
      </c>
      <c r="B10" s="34" t="s">
        <v>764</v>
      </c>
      <c r="C10" s="35" t="s">
        <v>762</v>
      </c>
    </row>
    <row r="11" spans="1:8">
      <c r="A11" s="33">
        <v>6</v>
      </c>
      <c r="B11" s="34"/>
      <c r="C11" s="35"/>
    </row>
    <row r="12" spans="1:8">
      <c r="A12" s="33">
        <v>7</v>
      </c>
      <c r="B12" s="34"/>
      <c r="C12" s="35"/>
      <c r="H12" s="36"/>
    </row>
    <row r="13" spans="1:8">
      <c r="A13" s="33">
        <v>8</v>
      </c>
      <c r="B13" s="34"/>
      <c r="C13" s="35"/>
    </row>
    <row r="14" spans="1:8">
      <c r="A14" s="33">
        <v>9</v>
      </c>
      <c r="B14" s="34"/>
      <c r="C14" s="35"/>
    </row>
    <row r="15" spans="1:8">
      <c r="A15" s="33">
        <v>10</v>
      </c>
      <c r="B15" s="34"/>
      <c r="C15" s="35"/>
    </row>
    <row r="16" spans="1:8">
      <c r="A16" s="33"/>
      <c r="B16" s="233"/>
      <c r="C16" s="234"/>
    </row>
    <row r="17" spans="1:3">
      <c r="A17" s="33"/>
      <c r="B17" s="106" t="s">
        <v>43</v>
      </c>
      <c r="C17" s="235" t="s">
        <v>336</v>
      </c>
    </row>
    <row r="18" spans="1:3">
      <c r="A18" s="33">
        <v>1</v>
      </c>
      <c r="B18" s="34" t="s">
        <v>756</v>
      </c>
      <c r="C18" s="37" t="s">
        <v>765</v>
      </c>
    </row>
    <row r="19" spans="1:3">
      <c r="A19" s="33">
        <v>2</v>
      </c>
      <c r="B19" s="34" t="s">
        <v>766</v>
      </c>
      <c r="C19" s="37" t="s">
        <v>767</v>
      </c>
    </row>
    <row r="20" spans="1:3">
      <c r="A20" s="33">
        <v>3</v>
      </c>
      <c r="B20" s="34" t="s">
        <v>768</v>
      </c>
      <c r="C20" s="37" t="s">
        <v>769</v>
      </c>
    </row>
    <row r="21" spans="1:3">
      <c r="A21" s="33">
        <v>4</v>
      </c>
      <c r="B21" s="34" t="s">
        <v>770</v>
      </c>
      <c r="C21" s="37" t="s">
        <v>771</v>
      </c>
    </row>
    <row r="22" spans="1:3">
      <c r="A22" s="33">
        <v>5</v>
      </c>
      <c r="B22" s="34" t="s">
        <v>772</v>
      </c>
      <c r="C22" s="37" t="s">
        <v>773</v>
      </c>
    </row>
    <row r="23" spans="1:3">
      <c r="A23" s="33">
        <v>6</v>
      </c>
      <c r="B23" s="34" t="s">
        <v>774</v>
      </c>
      <c r="C23" s="37" t="s">
        <v>775</v>
      </c>
    </row>
    <row r="24" spans="1:3">
      <c r="A24" s="33">
        <v>7</v>
      </c>
      <c r="B24" s="34"/>
      <c r="C24" s="37"/>
    </row>
    <row r="25" spans="1:3">
      <c r="A25" s="33">
        <v>8</v>
      </c>
      <c r="B25" s="34"/>
      <c r="C25" s="37"/>
    </row>
    <row r="26" spans="1:3">
      <c r="A26" s="33">
        <v>9</v>
      </c>
      <c r="B26" s="34"/>
      <c r="C26" s="37"/>
    </row>
    <row r="27" spans="1:3" ht="15.75" customHeight="1">
      <c r="A27" s="33">
        <v>10</v>
      </c>
      <c r="B27" s="34"/>
      <c r="C27" s="38"/>
    </row>
    <row r="28" spans="1:3" ht="15.75" customHeight="1">
      <c r="A28" s="33"/>
      <c r="B28" s="34"/>
      <c r="C28" s="38"/>
    </row>
    <row r="29" spans="1:3" ht="30" customHeight="1">
      <c r="A29" s="33"/>
      <c r="B29" s="736" t="s">
        <v>44</v>
      </c>
      <c r="C29" s="737"/>
    </row>
    <row r="30" spans="1:3">
      <c r="A30" s="33">
        <v>1</v>
      </c>
      <c r="B30" s="34" t="s">
        <v>776</v>
      </c>
      <c r="C30" s="596">
        <v>1</v>
      </c>
    </row>
    <row r="31" spans="1:3" ht="15.75" customHeight="1">
      <c r="A31" s="33"/>
      <c r="B31" s="34"/>
      <c r="C31" s="35"/>
    </row>
    <row r="32" spans="1:3" ht="29.25" customHeight="1">
      <c r="A32" s="33"/>
      <c r="B32" s="736" t="s">
        <v>45</v>
      </c>
      <c r="C32" s="737"/>
    </row>
    <row r="33" spans="1:3">
      <c r="A33" s="33">
        <v>1</v>
      </c>
      <c r="B33" s="34" t="s">
        <v>777</v>
      </c>
      <c r="C33" s="596">
        <v>0.35</v>
      </c>
    </row>
    <row r="34" spans="1:3" ht="15" thickBot="1">
      <c r="A34" s="39"/>
      <c r="B34" s="40"/>
      <c r="C34" s="41"/>
    </row>
  </sheetData>
  <mergeCells count="2">
    <mergeCell ref="B32:C32"/>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I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sheetView>
  </sheetViews>
  <sheetFormatPr defaultColWidth="9.28515625" defaultRowHeight="14.25"/>
  <cols>
    <col min="1" max="1" width="9.5703125" style="4" bestFit="1" customWidth="1"/>
    <col min="2" max="2" width="54.28515625" style="4" customWidth="1"/>
    <col min="3" max="3" width="28" style="4" customWidth="1"/>
    <col min="4" max="4" width="22.42578125" style="4" customWidth="1"/>
    <col min="5" max="5" width="22.28515625" style="4" customWidth="1"/>
    <col min="6" max="6" width="12" style="5" bestFit="1" customWidth="1"/>
    <col min="7" max="7" width="20.85546875" style="5" bestFit="1" customWidth="1"/>
    <col min="8" max="8" width="17.7109375" style="5" bestFit="1" customWidth="1"/>
    <col min="9" max="9" width="20.85546875" style="5" bestFit="1" customWidth="1"/>
    <col min="10" max="16384" width="9.28515625" style="5"/>
  </cols>
  <sheetData>
    <row r="1" spans="1:9">
      <c r="A1" s="27" t="s">
        <v>30</v>
      </c>
      <c r="B1" s="3" t="str">
        <f>'Info '!C2</f>
        <v>JSC Cartu Bank</v>
      </c>
    </row>
    <row r="2" spans="1:9" s="2" customFormat="1" ht="15.75" customHeight="1">
      <c r="A2" s="27" t="s">
        <v>31</v>
      </c>
      <c r="B2" s="238">
        <f>'1. key ratios '!B2</f>
        <v>46112</v>
      </c>
    </row>
    <row r="3" spans="1:9" s="2" customFormat="1" ht="15.75" customHeight="1">
      <c r="A3" s="27"/>
    </row>
    <row r="4" spans="1:9" s="2" customFormat="1" ht="15.75" customHeight="1" thickBot="1">
      <c r="A4" s="155" t="s">
        <v>99</v>
      </c>
      <c r="B4" s="742" t="s">
        <v>212</v>
      </c>
      <c r="C4" s="743"/>
      <c r="D4" s="743"/>
      <c r="E4" s="743"/>
    </row>
    <row r="5" spans="1:9" s="45" customFormat="1" ht="17.649999999999999" customHeight="1">
      <c r="A5" s="109"/>
      <c r="B5" s="110"/>
      <c r="C5" s="43" t="s">
        <v>0</v>
      </c>
      <c r="D5" s="43" t="s">
        <v>1</v>
      </c>
      <c r="E5" s="44" t="s">
        <v>2</v>
      </c>
    </row>
    <row r="6" spans="1:9" ht="14.65" customHeight="1">
      <c r="A6" s="94"/>
      <c r="B6" s="738" t="s">
        <v>219</v>
      </c>
      <c r="C6" s="738" t="s">
        <v>624</v>
      </c>
      <c r="D6" s="740" t="s">
        <v>98</v>
      </c>
      <c r="E6" s="741"/>
    </row>
    <row r="7" spans="1:9" ht="99.6" customHeight="1">
      <c r="A7" s="94"/>
      <c r="B7" s="739"/>
      <c r="C7" s="738"/>
      <c r="D7" s="189" t="s">
        <v>97</v>
      </c>
      <c r="E7" s="190" t="s">
        <v>220</v>
      </c>
    </row>
    <row r="8" spans="1:9" ht="21">
      <c r="A8" s="289">
        <v>1</v>
      </c>
      <c r="B8" s="290" t="s">
        <v>525</v>
      </c>
      <c r="C8" s="597">
        <f>SUM(C9:C11)</f>
        <v>611117878.55570889</v>
      </c>
      <c r="D8" s="597">
        <f>SUM(D9:D11)</f>
        <v>0</v>
      </c>
      <c r="E8" s="597">
        <f>SUM(E9:E11)</f>
        <v>611117878.55570889</v>
      </c>
      <c r="F8" s="598"/>
      <c r="G8" s="598"/>
      <c r="H8" s="598"/>
      <c r="I8" s="598"/>
    </row>
    <row r="9" spans="1:9" ht="15">
      <c r="A9" s="289">
        <v>1.1000000000000001</v>
      </c>
      <c r="B9" s="291" t="s">
        <v>526</v>
      </c>
      <c r="C9" s="597">
        <v>36956636.684</v>
      </c>
      <c r="D9" s="597">
        <v>0</v>
      </c>
      <c r="E9" s="597">
        <v>36956636.684</v>
      </c>
      <c r="F9" s="598"/>
      <c r="G9" s="598"/>
      <c r="H9" s="598"/>
      <c r="I9" s="598"/>
    </row>
    <row r="10" spans="1:9" ht="15">
      <c r="A10" s="289">
        <v>1.2</v>
      </c>
      <c r="B10" s="291" t="s">
        <v>527</v>
      </c>
      <c r="C10" s="597">
        <v>267686109.90480268</v>
      </c>
      <c r="D10" s="597">
        <v>0</v>
      </c>
      <c r="E10" s="597">
        <v>267686109.90480268</v>
      </c>
      <c r="F10" s="598"/>
      <c r="G10" s="598"/>
      <c r="H10" s="598"/>
      <c r="I10" s="598"/>
    </row>
    <row r="11" spans="1:9" ht="15">
      <c r="A11" s="289">
        <v>1.3</v>
      </c>
      <c r="B11" s="291" t="s">
        <v>528</v>
      </c>
      <c r="C11" s="597">
        <v>306475131.96690625</v>
      </c>
      <c r="D11" s="597">
        <v>0</v>
      </c>
      <c r="E11" s="597">
        <v>306475131.96690625</v>
      </c>
      <c r="F11" s="598"/>
      <c r="G11" s="598"/>
      <c r="H11" s="598"/>
      <c r="I11" s="598"/>
    </row>
    <row r="12" spans="1:9" ht="15">
      <c r="A12" s="289">
        <v>2</v>
      </c>
      <c r="B12" s="292" t="s">
        <v>529</v>
      </c>
      <c r="C12" s="597">
        <v>0</v>
      </c>
      <c r="D12" s="597">
        <v>0</v>
      </c>
      <c r="E12" s="597">
        <v>0</v>
      </c>
      <c r="F12" s="598"/>
      <c r="G12" s="598"/>
      <c r="H12" s="598"/>
      <c r="I12" s="598"/>
    </row>
    <row r="13" spans="1:9" ht="15">
      <c r="A13" s="289">
        <v>2.1</v>
      </c>
      <c r="B13" s="293" t="s">
        <v>530</v>
      </c>
      <c r="C13" s="599">
        <v>0</v>
      </c>
      <c r="D13" s="599">
        <v>0</v>
      </c>
      <c r="E13" s="599">
        <v>0</v>
      </c>
      <c r="F13" s="598"/>
      <c r="G13" s="598"/>
      <c r="H13" s="598"/>
      <c r="I13" s="598"/>
    </row>
    <row r="14" spans="1:9" ht="21">
      <c r="A14" s="289">
        <v>3</v>
      </c>
      <c r="B14" s="294" t="s">
        <v>531</v>
      </c>
      <c r="C14" s="599">
        <v>0</v>
      </c>
      <c r="D14" s="599">
        <v>0</v>
      </c>
      <c r="E14" s="599">
        <v>0</v>
      </c>
      <c r="F14" s="598"/>
      <c r="G14" s="598"/>
      <c r="H14" s="598"/>
      <c r="I14" s="598"/>
    </row>
    <row r="15" spans="1:9" ht="21">
      <c r="A15" s="289">
        <v>4</v>
      </c>
      <c r="B15" s="295" t="s">
        <v>532</v>
      </c>
      <c r="C15" s="599">
        <v>0</v>
      </c>
      <c r="D15" s="599">
        <v>0</v>
      </c>
      <c r="E15" s="599">
        <v>0</v>
      </c>
      <c r="F15" s="598"/>
      <c r="G15" s="598"/>
      <c r="H15" s="598"/>
      <c r="I15" s="598"/>
    </row>
    <row r="16" spans="1:9" ht="21">
      <c r="A16" s="289">
        <v>5</v>
      </c>
      <c r="B16" s="296" t="s">
        <v>533</v>
      </c>
      <c r="C16" s="599">
        <f>SUM(C17:C19)</f>
        <v>175637.53</v>
      </c>
      <c r="D16" s="599">
        <f>SUM(D17:D19)</f>
        <v>0</v>
      </c>
      <c r="E16" s="599">
        <f>SUM(E17:E19)</f>
        <v>175637.53</v>
      </c>
      <c r="F16" s="598"/>
      <c r="G16" s="598"/>
      <c r="H16" s="598"/>
      <c r="I16" s="598"/>
    </row>
    <row r="17" spans="1:9" ht="15">
      <c r="A17" s="289">
        <v>5.0999999999999996</v>
      </c>
      <c r="B17" s="297" t="s">
        <v>534</v>
      </c>
      <c r="C17" s="597">
        <v>175637.53</v>
      </c>
      <c r="D17" s="597">
        <v>0</v>
      </c>
      <c r="E17" s="597">
        <v>175637.53</v>
      </c>
      <c r="F17" s="598"/>
      <c r="G17" s="598"/>
      <c r="H17" s="598"/>
      <c r="I17" s="598"/>
    </row>
    <row r="18" spans="1:9" ht="15">
      <c r="A18" s="289">
        <v>5.2</v>
      </c>
      <c r="B18" s="297" t="s">
        <v>535</v>
      </c>
      <c r="C18" s="597">
        <v>0</v>
      </c>
      <c r="D18" s="597">
        <v>0</v>
      </c>
      <c r="E18" s="597">
        <v>0</v>
      </c>
      <c r="F18" s="598"/>
      <c r="G18" s="598"/>
      <c r="H18" s="598"/>
      <c r="I18" s="598"/>
    </row>
    <row r="19" spans="1:9" ht="15">
      <c r="A19" s="289">
        <v>5.3</v>
      </c>
      <c r="B19" s="298" t="s">
        <v>536</v>
      </c>
      <c r="C19" s="597">
        <v>0</v>
      </c>
      <c r="D19" s="597">
        <v>0</v>
      </c>
      <c r="E19" s="597">
        <v>0</v>
      </c>
      <c r="F19" s="598"/>
      <c r="G19" s="598"/>
      <c r="H19" s="598"/>
      <c r="I19" s="598"/>
    </row>
    <row r="20" spans="1:9" ht="15">
      <c r="A20" s="289">
        <v>6</v>
      </c>
      <c r="B20" s="294" t="s">
        <v>537</v>
      </c>
      <c r="C20" s="599">
        <f>SUM(C21:C22)</f>
        <v>1216967958.9684141</v>
      </c>
      <c r="D20" s="599">
        <f>SUM(D21:D22)</f>
        <v>0</v>
      </c>
      <c r="E20" s="599">
        <f>SUM(E21:E22)</f>
        <v>1216967958.9684141</v>
      </c>
      <c r="F20" s="598"/>
      <c r="G20" s="598"/>
      <c r="H20" s="598"/>
      <c r="I20" s="598"/>
    </row>
    <row r="21" spans="1:9" ht="15">
      <c r="A21" s="289">
        <v>6.1</v>
      </c>
      <c r="B21" s="297" t="s">
        <v>535</v>
      </c>
      <c r="C21" s="597">
        <v>75889429.706043974</v>
      </c>
      <c r="D21" s="597">
        <v>0</v>
      </c>
      <c r="E21" s="597">
        <v>75889429.706043974</v>
      </c>
      <c r="F21" s="598"/>
      <c r="G21" s="598"/>
      <c r="H21" s="598"/>
      <c r="I21" s="598"/>
    </row>
    <row r="22" spans="1:9" ht="15">
      <c r="A22" s="289">
        <v>6.2</v>
      </c>
      <c r="B22" s="298" t="s">
        <v>536</v>
      </c>
      <c r="C22" s="597">
        <v>1141078529.2623701</v>
      </c>
      <c r="D22" s="597">
        <v>0</v>
      </c>
      <c r="E22" s="597">
        <v>1141078529.2623701</v>
      </c>
      <c r="F22" s="598"/>
      <c r="G22" s="598"/>
      <c r="H22" s="598"/>
      <c r="I22" s="598"/>
    </row>
    <row r="23" spans="1:9" ht="21">
      <c r="A23" s="289">
        <v>7</v>
      </c>
      <c r="B23" s="292" t="s">
        <v>538</v>
      </c>
      <c r="C23" s="597">
        <v>9527300</v>
      </c>
      <c r="D23" s="597">
        <v>0</v>
      </c>
      <c r="E23" s="597">
        <v>9527300</v>
      </c>
      <c r="F23" s="598"/>
      <c r="G23" s="598"/>
      <c r="H23" s="598"/>
      <c r="I23" s="598"/>
    </row>
    <row r="24" spans="1:9" ht="21">
      <c r="A24" s="289">
        <v>8</v>
      </c>
      <c r="B24" s="299" t="s">
        <v>539</v>
      </c>
      <c r="C24" s="597">
        <v>0</v>
      </c>
      <c r="D24" s="597">
        <v>0</v>
      </c>
      <c r="E24" s="597">
        <v>0</v>
      </c>
      <c r="F24" s="598"/>
      <c r="G24" s="598"/>
      <c r="H24" s="598"/>
      <c r="I24" s="598"/>
    </row>
    <row r="25" spans="1:9" ht="15">
      <c r="A25" s="289">
        <v>9</v>
      </c>
      <c r="B25" s="295" t="s">
        <v>540</v>
      </c>
      <c r="C25" s="599">
        <f>SUM(C26:C27)</f>
        <v>24285653.962592997</v>
      </c>
      <c r="D25" s="599">
        <f>SUM(D26:D27)</f>
        <v>0</v>
      </c>
      <c r="E25" s="599">
        <f>SUM(E26:E27)</f>
        <v>24285653.962592997</v>
      </c>
      <c r="F25" s="598"/>
      <c r="G25" s="598"/>
      <c r="H25" s="598"/>
      <c r="I25" s="598"/>
    </row>
    <row r="26" spans="1:9" ht="15">
      <c r="A26" s="289">
        <v>9.1</v>
      </c>
      <c r="B26" s="297" t="s">
        <v>541</v>
      </c>
      <c r="C26" s="597">
        <v>24285653.962592997</v>
      </c>
      <c r="D26" s="597">
        <v>0</v>
      </c>
      <c r="E26" s="597">
        <v>24285653.962592997</v>
      </c>
      <c r="F26" s="598"/>
      <c r="G26" s="598"/>
      <c r="H26" s="598"/>
      <c r="I26" s="598"/>
    </row>
    <row r="27" spans="1:9" ht="15">
      <c r="A27" s="289">
        <v>9.1999999999999993</v>
      </c>
      <c r="B27" s="297" t="s">
        <v>542</v>
      </c>
      <c r="C27" s="597">
        <v>0</v>
      </c>
      <c r="D27" s="597">
        <v>0</v>
      </c>
      <c r="E27" s="597">
        <v>0</v>
      </c>
      <c r="F27" s="598"/>
      <c r="G27" s="598"/>
      <c r="H27" s="598"/>
      <c r="I27" s="598"/>
    </row>
    <row r="28" spans="1:9" ht="15">
      <c r="A28" s="289">
        <v>10</v>
      </c>
      <c r="B28" s="295" t="s">
        <v>543</v>
      </c>
      <c r="C28" s="599">
        <f>SUM(C29:C30)</f>
        <v>15625069.66</v>
      </c>
      <c r="D28" s="599">
        <f>SUM(D29:D30)</f>
        <v>15625069.660000002</v>
      </c>
      <c r="E28" s="599">
        <f>SUM(E29:E30)</f>
        <v>0</v>
      </c>
      <c r="F28" s="598"/>
      <c r="G28" s="598"/>
      <c r="H28" s="598"/>
      <c r="I28" s="598"/>
    </row>
    <row r="29" spans="1:9" ht="15">
      <c r="A29" s="289">
        <v>10.1</v>
      </c>
      <c r="B29" s="297" t="s">
        <v>544</v>
      </c>
      <c r="C29" s="597">
        <v>0</v>
      </c>
      <c r="D29" s="597">
        <v>0</v>
      </c>
      <c r="E29" s="597">
        <v>0</v>
      </c>
      <c r="F29" s="598"/>
      <c r="G29" s="598"/>
      <c r="H29" s="598"/>
      <c r="I29" s="598"/>
    </row>
    <row r="30" spans="1:9" ht="15">
      <c r="A30" s="289">
        <v>10.199999999999999</v>
      </c>
      <c r="B30" s="297" t="s">
        <v>545</v>
      </c>
      <c r="C30" s="597">
        <v>15625069.66</v>
      </c>
      <c r="D30" s="597">
        <v>15625069.660000002</v>
      </c>
      <c r="E30" s="597">
        <v>0</v>
      </c>
      <c r="F30" s="598"/>
      <c r="G30" s="598"/>
      <c r="H30" s="598"/>
      <c r="I30" s="598"/>
    </row>
    <row r="31" spans="1:9" ht="15">
      <c r="A31" s="289">
        <v>11</v>
      </c>
      <c r="B31" s="295" t="s">
        <v>546</v>
      </c>
      <c r="C31" s="599">
        <f>SUM(C32:C33)</f>
        <v>4209254.1011789702</v>
      </c>
      <c r="D31" s="599">
        <f>SUM(D32:D33)</f>
        <v>0</v>
      </c>
      <c r="E31" s="599">
        <f>SUM(E32:E33)</f>
        <v>4209254.1011789702</v>
      </c>
      <c r="F31" s="598"/>
      <c r="G31" s="598"/>
      <c r="H31" s="598"/>
      <c r="I31" s="598"/>
    </row>
    <row r="32" spans="1:9" ht="15">
      <c r="A32" s="289">
        <v>11.1</v>
      </c>
      <c r="B32" s="297" t="s">
        <v>547</v>
      </c>
      <c r="C32" s="597">
        <v>4209254.1011789702</v>
      </c>
      <c r="D32" s="597">
        <v>0</v>
      </c>
      <c r="E32" s="597">
        <v>4209254.1011789702</v>
      </c>
      <c r="F32" s="598"/>
      <c r="G32" s="598"/>
      <c r="H32" s="598"/>
      <c r="I32" s="598"/>
    </row>
    <row r="33" spans="1:9" ht="15">
      <c r="A33" s="289">
        <v>11.2</v>
      </c>
      <c r="B33" s="297" t="s">
        <v>548</v>
      </c>
      <c r="C33" s="597">
        <v>0</v>
      </c>
      <c r="D33" s="597">
        <v>0</v>
      </c>
      <c r="E33" s="597">
        <v>0</v>
      </c>
      <c r="F33" s="598"/>
      <c r="G33" s="598"/>
      <c r="H33" s="598"/>
      <c r="I33" s="598"/>
    </row>
    <row r="34" spans="1:9" ht="15">
      <c r="A34" s="289">
        <v>13</v>
      </c>
      <c r="B34" s="295" t="s">
        <v>549</v>
      </c>
      <c r="C34" s="597">
        <v>51985864.657150865</v>
      </c>
      <c r="D34" s="597">
        <v>0</v>
      </c>
      <c r="E34" s="597">
        <v>51985864.657150865</v>
      </c>
      <c r="F34" s="598"/>
      <c r="G34" s="598"/>
      <c r="H34" s="598"/>
      <c r="I34" s="598"/>
    </row>
    <row r="35" spans="1:9" ht="15">
      <c r="A35" s="289">
        <v>13.1</v>
      </c>
      <c r="B35" s="300" t="s">
        <v>550</v>
      </c>
      <c r="C35" s="597">
        <v>49317427.608850867</v>
      </c>
      <c r="D35" s="597">
        <v>0</v>
      </c>
      <c r="E35" s="597">
        <v>49317427.608850867</v>
      </c>
      <c r="F35" s="598"/>
      <c r="G35" s="598"/>
      <c r="H35" s="598"/>
      <c r="I35" s="598"/>
    </row>
    <row r="36" spans="1:9" ht="15">
      <c r="A36" s="289">
        <v>13.2</v>
      </c>
      <c r="B36" s="300" t="s">
        <v>551</v>
      </c>
      <c r="C36" s="597">
        <v>0</v>
      </c>
      <c r="D36" s="597">
        <v>0</v>
      </c>
      <c r="E36" s="597">
        <v>0</v>
      </c>
      <c r="F36" s="598"/>
      <c r="G36" s="598"/>
      <c r="H36" s="598"/>
      <c r="I36" s="598"/>
    </row>
    <row r="37" spans="1:9" ht="26.25" thickBot="1">
      <c r="A37" s="97"/>
      <c r="B37" s="156" t="s">
        <v>221</v>
      </c>
      <c r="C37" s="600">
        <f>SUM(C8,C12,C14,C15,C16,C20,C23,C24,C25,C28,C31,C34)</f>
        <v>1933894617.4350457</v>
      </c>
      <c r="D37" s="600">
        <f>SUM(D8,D12,D14,D15,D16,D20,D23,D24,D25,D28,D31,D34)</f>
        <v>15625069.660000002</v>
      </c>
      <c r="E37" s="600">
        <f>SUM(E8,E12,E14,E15,E16,E20,E23,E24,E25,E28,E31,E34)</f>
        <v>1918269547.7750459</v>
      </c>
      <c r="F37" s="598"/>
      <c r="G37" s="598"/>
      <c r="H37" s="598"/>
      <c r="I37" s="598"/>
    </row>
    <row r="38" spans="1:9">
      <c r="A38" s="5"/>
      <c r="B38" s="5"/>
      <c r="C38" s="5"/>
      <c r="D38" s="5"/>
      <c r="E38" s="5"/>
    </row>
    <row r="39" spans="1:9">
      <c r="A39" s="5"/>
      <c r="B39" s="5"/>
      <c r="C39" s="5"/>
      <c r="D39" s="5"/>
      <c r="E39" s="5"/>
    </row>
    <row r="41" spans="1:9" s="4" customFormat="1">
      <c r="B41" s="46"/>
      <c r="F41" s="5"/>
      <c r="G41" s="5"/>
    </row>
    <row r="42" spans="1:9" s="4" customFormat="1">
      <c r="B42" s="46"/>
      <c r="F42" s="5"/>
      <c r="G42" s="5"/>
    </row>
    <row r="43" spans="1:9" s="4" customFormat="1">
      <c r="B43" s="46"/>
      <c r="F43" s="5"/>
      <c r="G43" s="5"/>
    </row>
    <row r="44" spans="1:9" s="4" customFormat="1">
      <c r="B44" s="46"/>
      <c r="F44" s="5"/>
      <c r="G44" s="5"/>
    </row>
    <row r="45" spans="1:9" s="4" customFormat="1">
      <c r="B45" s="46"/>
      <c r="F45" s="5"/>
      <c r="G45" s="5"/>
    </row>
    <row r="46" spans="1:9" s="4" customFormat="1">
      <c r="B46" s="46"/>
      <c r="F46" s="5"/>
      <c r="G46" s="5"/>
    </row>
    <row r="47" spans="1:9" s="4" customFormat="1">
      <c r="B47" s="46"/>
      <c r="F47" s="5"/>
      <c r="G47" s="5"/>
    </row>
    <row r="48" spans="1:9" s="4" customFormat="1">
      <c r="B48" s="46"/>
      <c r="F48" s="5"/>
      <c r="G48" s="5"/>
    </row>
    <row r="49" spans="2:7" s="4" customFormat="1">
      <c r="B49" s="46"/>
      <c r="F49" s="5"/>
      <c r="G49" s="5"/>
    </row>
    <row r="50" spans="2:7" s="4" customFormat="1">
      <c r="B50" s="46"/>
      <c r="F50" s="5"/>
      <c r="G50" s="5"/>
    </row>
    <row r="51" spans="2:7" s="4" customFormat="1">
      <c r="B51" s="46"/>
      <c r="F51" s="5"/>
      <c r="G51" s="5"/>
    </row>
    <row r="52" spans="2:7" s="4" customFormat="1">
      <c r="B52" s="46"/>
      <c r="F52" s="5"/>
      <c r="G52" s="5"/>
    </row>
    <row r="53" spans="2:7" s="4" customFormat="1">
      <c r="B53" s="46"/>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sheetView>
  </sheetViews>
  <sheetFormatPr defaultColWidth="9.28515625" defaultRowHeight="12.75" outlineLevelRow="1"/>
  <cols>
    <col min="1" max="1" width="9.5703125" style="4" bestFit="1" customWidth="1"/>
    <col min="2" max="2" width="114.28515625" style="4" customWidth="1"/>
    <col min="3" max="3" width="18.7109375" style="4" customWidth="1"/>
    <col min="4" max="4" width="25.42578125" style="4" customWidth="1"/>
    <col min="5" max="5" width="24.28515625" style="4" customWidth="1"/>
    <col min="6" max="6" width="24" style="4" customWidth="1"/>
    <col min="7" max="7" width="10" style="4" bestFit="1" customWidth="1"/>
    <col min="8" max="8" width="12" style="4" bestFit="1" customWidth="1"/>
    <col min="9" max="9" width="12.5703125" style="4" bestFit="1" customWidth="1"/>
    <col min="10" max="16384" width="9.28515625" style="4"/>
  </cols>
  <sheetData>
    <row r="1" spans="1:6">
      <c r="A1" s="2" t="s">
        <v>30</v>
      </c>
      <c r="B1" s="3" t="str">
        <f>'Info '!C2</f>
        <v>JSC Cartu Bank</v>
      </c>
    </row>
    <row r="2" spans="1:6" s="2" customFormat="1" ht="15.75" customHeight="1">
      <c r="A2" s="2" t="s">
        <v>31</v>
      </c>
      <c r="B2" s="238">
        <f>'1. key ratios '!B2</f>
        <v>46112</v>
      </c>
      <c r="C2" s="4"/>
      <c r="D2" s="4"/>
      <c r="E2" s="4"/>
      <c r="F2" s="4"/>
    </row>
    <row r="3" spans="1:6" s="2" customFormat="1" ht="15.75" customHeight="1">
      <c r="C3" s="4"/>
      <c r="D3" s="4"/>
      <c r="E3" s="4"/>
      <c r="F3" s="4"/>
    </row>
    <row r="4" spans="1:6" s="2" customFormat="1" ht="13.5" thickBot="1">
      <c r="A4" s="2" t="s">
        <v>46</v>
      </c>
      <c r="B4" s="157" t="s">
        <v>518</v>
      </c>
      <c r="C4" s="42" t="s">
        <v>35</v>
      </c>
      <c r="D4" s="4"/>
      <c r="E4" s="4"/>
      <c r="F4" s="4"/>
    </row>
    <row r="5" spans="1:6">
      <c r="A5" s="114">
        <v>1</v>
      </c>
      <c r="B5" s="158" t="s">
        <v>520</v>
      </c>
      <c r="C5" s="115">
        <f>'7. LI1 '!E37</f>
        <v>1918269547.7750459</v>
      </c>
      <c r="E5" s="601"/>
    </row>
    <row r="6" spans="1:6">
      <c r="A6" s="47">
        <v>2.1</v>
      </c>
      <c r="B6" s="95" t="s">
        <v>201</v>
      </c>
      <c r="C6" s="90">
        <v>207087530.6714592</v>
      </c>
      <c r="E6" s="601"/>
    </row>
    <row r="7" spans="1:6" s="28" customFormat="1" outlineLevel="1">
      <c r="A7" s="23">
        <v>2.2000000000000002</v>
      </c>
      <c r="B7" s="24" t="s">
        <v>202</v>
      </c>
      <c r="C7" s="90">
        <v>0</v>
      </c>
      <c r="E7" s="601"/>
    </row>
    <row r="8" spans="1:6" s="28" customFormat="1">
      <c r="A8" s="23">
        <v>3</v>
      </c>
      <c r="B8" s="112" t="s">
        <v>519</v>
      </c>
      <c r="C8" s="117">
        <f>SUM(C5:C7)</f>
        <v>2125357078.4465051</v>
      </c>
      <c r="E8" s="601"/>
    </row>
    <row r="9" spans="1:6">
      <c r="A9" s="47">
        <v>4</v>
      </c>
      <c r="B9" s="48" t="s">
        <v>48</v>
      </c>
      <c r="C9" s="90">
        <v>0</v>
      </c>
      <c r="E9" s="601"/>
    </row>
    <row r="10" spans="1:6" s="28" customFormat="1" outlineLevel="1">
      <c r="A10" s="23">
        <v>5.0999999999999996</v>
      </c>
      <c r="B10" s="24" t="s">
        <v>203</v>
      </c>
      <c r="C10" s="116">
        <v>-90622378.889180437</v>
      </c>
      <c r="E10" s="601"/>
    </row>
    <row r="11" spans="1:6" s="28" customFormat="1" outlineLevel="1">
      <c r="A11" s="23">
        <v>5.2</v>
      </c>
      <c r="B11" s="24" t="s">
        <v>204</v>
      </c>
      <c r="C11" s="116">
        <v>0</v>
      </c>
      <c r="E11" s="601"/>
    </row>
    <row r="12" spans="1:6" s="28" customFormat="1">
      <c r="A12" s="23">
        <v>6</v>
      </c>
      <c r="B12" s="111" t="s">
        <v>746</v>
      </c>
      <c r="C12" s="116">
        <v>0</v>
      </c>
      <c r="E12" s="601"/>
    </row>
    <row r="13" spans="1:6" s="28" customFormat="1" ht="13.5" thickBot="1">
      <c r="A13" s="25">
        <v>7</v>
      </c>
      <c r="B13" s="113" t="s">
        <v>164</v>
      </c>
      <c r="C13" s="118">
        <f>SUM(C8:C12)</f>
        <v>2034734699.5573246</v>
      </c>
      <c r="E13" s="601"/>
    </row>
    <row r="15" spans="1:6">
      <c r="B15" s="28"/>
    </row>
    <row r="17" spans="1:2" ht="15">
      <c r="A17" s="123"/>
      <c r="B17" s="124"/>
    </row>
    <row r="18" spans="1:2" ht="15">
      <c r="A18" s="128"/>
      <c r="B18" s="129"/>
    </row>
    <row r="19" spans="1:2">
      <c r="A19" s="130"/>
      <c r="B19" s="125"/>
    </row>
    <row r="20" spans="1:2">
      <c r="A20" s="131"/>
      <c r="B20" s="126"/>
    </row>
    <row r="21" spans="1:2">
      <c r="A21" s="131"/>
      <c r="B21" s="129"/>
    </row>
    <row r="22" spans="1:2">
      <c r="A22" s="130"/>
      <c r="B22" s="127"/>
    </row>
    <row r="23" spans="1:2">
      <c r="A23" s="131"/>
      <c r="B23" s="126"/>
    </row>
    <row r="24" spans="1:2">
      <c r="A24" s="131"/>
      <c r="B24" s="126"/>
    </row>
    <row r="25" spans="1:2">
      <c r="A25" s="131"/>
      <c r="B25" s="132"/>
    </row>
    <row r="26" spans="1:2">
      <c r="A26" s="131"/>
      <c r="B26" s="129"/>
    </row>
    <row r="27" spans="1:2">
      <c r="B27" s="46"/>
    </row>
    <row r="28" spans="1:2">
      <c r="B28" s="46"/>
    </row>
    <row r="29" spans="1:2">
      <c r="B29" s="46"/>
    </row>
    <row r="30" spans="1:2">
      <c r="B30" s="46"/>
    </row>
    <row r="31" spans="1:2">
      <c r="B31" s="46"/>
    </row>
    <row r="32" spans="1:2">
      <c r="B32" s="46"/>
    </row>
    <row r="33" spans="2:2">
      <c r="B33" s="46"/>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2026-06-22T20:39:04Z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