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filterPrivacy="1" defaultThemeVersion="124226"/>
  <xr:revisionPtr revIDLastSave="0" documentId="13_ncr:1_{7B197E19-CCEF-4B17-AFEE-A046D05D1C09}" xr6:coauthVersionLast="47" xr6:coauthVersionMax="47" xr10:uidLastSave="{00000000-0000-0000-0000-000000000000}"/>
  <bookViews>
    <workbookView xWindow="28680" yWindow="-120" windowWidth="29040" windowHeight="15720"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definedNames>
    <definedName name="_cur1">#REF!</definedName>
    <definedName name="_cur2">#REF!</definedName>
    <definedName name="_sum1">#REF!</definedName>
    <definedName name="_sum2">#REF!</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 localSheetId="11">#REF!</definedName>
    <definedName name="Sheet" localSheetId="12">#REF!</definedName>
    <definedName name="Sheet">#REF!</definedName>
    <definedName name="საკრედიტო" localSheetId="11">#REF!</definedName>
    <definedName name="საკრედიტო" localSheetId="12">#REF!</definedName>
    <definedName name="საკრედიტო">#REF!</definedName>
    <definedName name="ფაილი" localSheetId="11">#REF!</definedName>
    <definedName name="ფაილი" localSheetId="12">#REF!</definedName>
    <definedName name="ფაილი">#REF!</definedName>
    <definedName name="ცვლილება_კორექტირება_რეგულაციაში" localSheetId="11">#REF!</definedName>
    <definedName name="ცვლილება_კორექტირება_რეგულაციაში" localSheetId="12">#REF!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3" i="93" l="1"/>
  <c r="J23" i="93"/>
  <c r="I23" i="93"/>
  <c r="H23" i="93"/>
  <c r="G23" i="93"/>
  <c r="F23" i="93"/>
  <c r="G24" i="93"/>
  <c r="F24" i="93"/>
  <c r="H18" i="91"/>
  <c r="H20" i="91"/>
  <c r="H19" i="91"/>
  <c r="H16" i="91"/>
  <c r="H15" i="91"/>
  <c r="H12" i="91"/>
  <c r="H10" i="91"/>
  <c r="H9" i="91"/>
  <c r="H24" i="93" l="1"/>
  <c r="G25" i="93"/>
  <c r="H25" i="93"/>
  <c r="K24" i="93"/>
  <c r="I24" i="93"/>
  <c r="J24" i="93"/>
  <c r="H11" i="91"/>
  <c r="K25" i="93"/>
  <c r="F25" i="93"/>
  <c r="B1" i="122"/>
  <c r="B2" i="122"/>
  <c r="B1" i="121"/>
  <c r="B2" i="121"/>
  <c r="F17" i="110"/>
  <c r="G63" i="108"/>
  <c r="F63" i="108"/>
  <c r="F59" i="108" l="1"/>
  <c r="G59" i="108"/>
  <c r="G17" i="110"/>
  <c r="J25" i="93"/>
  <c r="I25" i="93"/>
  <c r="C38" i="110"/>
  <c r="C11" i="95" l="1"/>
  <c r="F6" i="123"/>
  <c r="E6" i="123"/>
  <c r="D6" i="123"/>
  <c r="C6" i="123"/>
  <c r="B1" i="92"/>
  <c r="B2"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I20" i="92"/>
  <c r="Q19" i="92"/>
  <c r="I19" i="92"/>
  <c r="I18" i="92"/>
  <c r="Q17" i="92"/>
  <c r="I17" i="92"/>
  <c r="Q16" i="92"/>
  <c r="Q14" i="92" s="1"/>
  <c r="I16" i="92"/>
  <c r="Q15" i="92"/>
  <c r="I15" i="92"/>
  <c r="I14" i="92"/>
  <c r="Q13" i="92"/>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C6" i="92" s="1"/>
  <c r="C34" i="92" s="1"/>
  <c r="P7" i="92"/>
  <c r="P6" i="92" s="1"/>
  <c r="P34" i="92" s="1"/>
  <c r="O7" i="92"/>
  <c r="O6" i="92" s="1"/>
  <c r="O34" i="92" s="1"/>
  <c r="N7" i="92"/>
  <c r="N6" i="92" s="1"/>
  <c r="N34" i="92" s="1"/>
  <c r="M7" i="92"/>
  <c r="M6" i="92" s="1"/>
  <c r="M34" i="92" s="1"/>
  <c r="L7" i="92"/>
  <c r="L6" i="92" s="1"/>
  <c r="L34" i="92" s="1"/>
  <c r="K7" i="92"/>
  <c r="K6" i="92" s="1"/>
  <c r="K34" i="92" s="1"/>
  <c r="J7" i="92"/>
  <c r="J6" i="92" s="1"/>
  <c r="J34" i="92" s="1"/>
  <c r="G7" i="92"/>
  <c r="G6" i="92" s="1"/>
  <c r="G34" i="92" s="1"/>
  <c r="F7" i="92"/>
  <c r="I7" i="92" s="1"/>
  <c r="C7" i="92"/>
  <c r="E6" i="92"/>
  <c r="E34" i="92" s="1"/>
  <c r="C13" i="95" s="1"/>
  <c r="D6" i="92"/>
  <c r="D34" i="92" s="1"/>
  <c r="B2" i="123"/>
  <c r="B1" i="123"/>
  <c r="I9" i="92" l="1"/>
  <c r="Q18" i="92"/>
  <c r="I8" i="92"/>
  <c r="I6" i="92" s="1"/>
  <c r="Q8" i="92"/>
  <c r="Q9" i="92"/>
  <c r="F6" i="92"/>
  <c r="F34" i="92" s="1"/>
  <c r="Q7" i="92"/>
  <c r="Q6" i="92" s="1"/>
  <c r="Q34" i="92" s="1"/>
  <c r="I34" i="92" l="1"/>
  <c r="C12" i="95" s="1"/>
  <c r="C10" i="95"/>
  <c r="D38" i="110"/>
  <c r="G38" i="110"/>
  <c r="F38" i="110"/>
  <c r="C14" i="95" l="1"/>
  <c r="E38" i="110"/>
  <c r="A2" i="121" l="1"/>
  <c r="A1" i="121"/>
  <c r="F12" i="122"/>
  <c r="E12" i="122"/>
  <c r="D12" i="122"/>
  <c r="C12" i="122"/>
  <c r="B12" i="122"/>
  <c r="E11" i="122"/>
  <c r="D11" i="122"/>
  <c r="C11" i="122"/>
  <c r="B11" i="122"/>
  <c r="E10" i="122"/>
  <c r="D10" i="122"/>
  <c r="C10" i="122"/>
  <c r="B10" i="122"/>
  <c r="F10" i="122" s="1"/>
  <c r="F9" i="122"/>
  <c r="E9" i="122"/>
  <c r="D9" i="122"/>
  <c r="C9" i="122"/>
  <c r="B9" i="122"/>
  <c r="B11" i="121"/>
  <c r="F11" i="122" l="1"/>
  <c r="C22" i="11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C7" i="114"/>
  <c r="D7" i="114"/>
  <c r="C10" i="114"/>
  <c r="D10"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34" i="113" l="1"/>
  <c r="C15" i="114"/>
  <c r="H21" i="112"/>
  <c r="H22" i="111"/>
  <c r="C62" i="69"/>
  <c r="C58" i="69"/>
  <c r="C52" i="69"/>
  <c r="C46" i="69"/>
  <c r="C40" i="69"/>
  <c r="C29" i="69"/>
  <c r="C26" i="69"/>
  <c r="C23" i="69"/>
  <c r="C18" i="69"/>
  <c r="C14" i="69"/>
  <c r="C6" i="69"/>
  <c r="E8" i="88"/>
  <c r="E16" i="88"/>
  <c r="E20" i="88"/>
  <c r="E25" i="88"/>
  <c r="E28" i="88"/>
  <c r="E31" i="88"/>
  <c r="D8" i="88"/>
  <c r="D16" i="88"/>
  <c r="D20" i="88"/>
  <c r="D25" i="88"/>
  <c r="D28" i="88"/>
  <c r="D31" i="88"/>
  <c r="C31" i="88"/>
  <c r="C28" i="88"/>
  <c r="C25" i="88"/>
  <c r="C20" i="88"/>
  <c r="C16" i="88"/>
  <c r="C8" i="88"/>
  <c r="C67" i="69" l="1"/>
  <c r="C35" i="69"/>
  <c r="E37" i="88"/>
  <c r="D37" i="88"/>
  <c r="C37" i="88"/>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C17" i="110"/>
  <c r="H16" i="110"/>
  <c r="E16" i="110"/>
  <c r="H15" i="110"/>
  <c r="E15" i="110"/>
  <c r="G14" i="110"/>
  <c r="F14" i="110"/>
  <c r="H13" i="110"/>
  <c r="E13" i="110"/>
  <c r="H12" i="110"/>
  <c r="E12" i="110"/>
  <c r="G11" i="110"/>
  <c r="F11" i="110"/>
  <c r="D11" i="110"/>
  <c r="C11" i="110"/>
  <c r="H10" i="110"/>
  <c r="E10" i="110"/>
  <c r="H9" i="110"/>
  <c r="E9" i="110"/>
  <c r="G8" i="110"/>
  <c r="F8" i="110"/>
  <c r="D8" i="110"/>
  <c r="C8" i="110"/>
  <c r="H7" i="110"/>
  <c r="E7" i="110"/>
  <c r="H6" i="110"/>
  <c r="E6" i="110"/>
  <c r="H44" i="109"/>
  <c r="E44" i="109"/>
  <c r="H42" i="109"/>
  <c r="E42" i="109"/>
  <c r="H41" i="109"/>
  <c r="E41" i="109"/>
  <c r="H40" i="109"/>
  <c r="E40" i="109"/>
  <c r="H39" i="109"/>
  <c r="E39" i="109"/>
  <c r="H38" i="109"/>
  <c r="E38" i="109"/>
  <c r="G37" i="109"/>
  <c r="F37" i="109"/>
  <c r="D37" i="109"/>
  <c r="C37" i="109"/>
  <c r="H36" i="109"/>
  <c r="E36" i="109"/>
  <c r="H35" i="109"/>
  <c r="E35" i="109"/>
  <c r="G34" i="109"/>
  <c r="F34" i="109"/>
  <c r="D34" i="109"/>
  <c r="C34" i="109"/>
  <c r="H33" i="109"/>
  <c r="E33" i="109"/>
  <c r="H32" i="109"/>
  <c r="E32" i="109"/>
  <c r="H31" i="109"/>
  <c r="E31" i="109"/>
  <c r="H30" i="109"/>
  <c r="E30" i="109"/>
  <c r="G29" i="109"/>
  <c r="F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D13" i="109"/>
  <c r="C13" i="109"/>
  <c r="H12" i="109"/>
  <c r="E12" i="109"/>
  <c r="H11" i="109"/>
  <c r="E11" i="109"/>
  <c r="H10" i="109"/>
  <c r="E10" i="109"/>
  <c r="H9" i="109"/>
  <c r="E9" i="109"/>
  <c r="H8" i="109"/>
  <c r="E8" i="109"/>
  <c r="H7" i="109"/>
  <c r="E7" i="109"/>
  <c r="G6" i="109"/>
  <c r="F6" i="109"/>
  <c r="D6" i="109"/>
  <c r="C6" i="109"/>
  <c r="G68" i="108"/>
  <c r="F68"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G47" i="108"/>
  <c r="F47" i="108"/>
  <c r="D47" i="108"/>
  <c r="C47" i="108"/>
  <c r="H46" i="108"/>
  <c r="E46" i="108"/>
  <c r="H45" i="108"/>
  <c r="E45" i="108"/>
  <c r="H44" i="108"/>
  <c r="E44" i="108"/>
  <c r="H43" i="108"/>
  <c r="E43" i="108"/>
  <c r="H42" i="108"/>
  <c r="E42" i="108"/>
  <c r="G41" i="108"/>
  <c r="F41" i="108"/>
  <c r="D41" i="108"/>
  <c r="C41" i="108"/>
  <c r="H35" i="108"/>
  <c r="E35" i="108"/>
  <c r="H34" i="108"/>
  <c r="E34" i="108"/>
  <c r="H33" i="108"/>
  <c r="E33" i="108"/>
  <c r="H32" i="108"/>
  <c r="E32" i="108"/>
  <c r="H31" i="108"/>
  <c r="E31" i="108"/>
  <c r="G30" i="108"/>
  <c r="F30" i="108"/>
  <c r="D30" i="108"/>
  <c r="C30" i="108"/>
  <c r="H29" i="108"/>
  <c r="E29" i="108"/>
  <c r="H28" i="108"/>
  <c r="E28" i="108"/>
  <c r="G27" i="108"/>
  <c r="F27" i="108"/>
  <c r="D27" i="108"/>
  <c r="C27" i="108"/>
  <c r="H26" i="108"/>
  <c r="E26" i="108"/>
  <c r="H25" i="108"/>
  <c r="E25" i="108"/>
  <c r="G24" i="108"/>
  <c r="F24" i="108"/>
  <c r="D24" i="108"/>
  <c r="C24" i="108"/>
  <c r="H23" i="108"/>
  <c r="E23" i="108"/>
  <c r="H22" i="108"/>
  <c r="E22" i="108"/>
  <c r="H21" i="108"/>
  <c r="E21" i="108"/>
  <c r="H20" i="108"/>
  <c r="E20" i="108"/>
  <c r="G19" i="108"/>
  <c r="F19" i="108"/>
  <c r="D19" i="108"/>
  <c r="C19" i="108"/>
  <c r="H18" i="108"/>
  <c r="E18" i="108"/>
  <c r="H17" i="108"/>
  <c r="E17" i="108"/>
  <c r="H16" i="108"/>
  <c r="E16" i="108"/>
  <c r="G15" i="108"/>
  <c r="F15" i="108"/>
  <c r="D15" i="108"/>
  <c r="C15" i="108"/>
  <c r="H14" i="108"/>
  <c r="E14" i="108"/>
  <c r="H13" i="108"/>
  <c r="E13" i="108"/>
  <c r="H12" i="108"/>
  <c r="E12" i="108"/>
  <c r="H11" i="108"/>
  <c r="E11" i="108"/>
  <c r="H10" i="108"/>
  <c r="E10" i="108"/>
  <c r="H9" i="108"/>
  <c r="E9" i="108"/>
  <c r="H8" i="108"/>
  <c r="E8" i="108"/>
  <c r="G7" i="108"/>
  <c r="F7" i="108"/>
  <c r="D7" i="108"/>
  <c r="C7" i="108"/>
  <c r="E30" i="110" l="1"/>
  <c r="E11" i="110"/>
  <c r="E8" i="110"/>
  <c r="C14" i="110"/>
  <c r="D14" i="110"/>
  <c r="C68" i="69"/>
  <c r="E14" i="110"/>
  <c r="H14" i="110"/>
  <c r="E37" i="109"/>
  <c r="H34" i="109"/>
  <c r="E34" i="109"/>
  <c r="H13" i="109"/>
  <c r="E13" i="109"/>
  <c r="E6" i="109"/>
  <c r="C68" i="108"/>
  <c r="D68" i="108"/>
  <c r="H47" i="108"/>
  <c r="E47" i="108"/>
  <c r="H41" i="108"/>
  <c r="H30" i="108"/>
  <c r="E30" i="108"/>
  <c r="H27" i="108"/>
  <c r="E27" i="108"/>
  <c r="E24" i="108"/>
  <c r="H19" i="108"/>
  <c r="G36" i="108"/>
  <c r="E19" i="108"/>
  <c r="H15" i="108"/>
  <c r="E15" i="108"/>
  <c r="D36" i="108"/>
  <c r="E7" i="108"/>
  <c r="H29" i="109"/>
  <c r="H37" i="109"/>
  <c r="H8" i="110"/>
  <c r="E59" i="108"/>
  <c r="F36" i="108"/>
  <c r="C43" i="109"/>
  <c r="F43" i="109"/>
  <c r="G43" i="109"/>
  <c r="C36" i="108"/>
  <c r="H11" i="110"/>
  <c r="H24" i="108"/>
  <c r="H30" i="110"/>
  <c r="E63" i="108"/>
  <c r="H7" i="108"/>
  <c r="E29" i="109"/>
  <c r="E17" i="110"/>
  <c r="H6" i="109"/>
  <c r="D43" i="109"/>
  <c r="H68" i="108"/>
  <c r="E41" i="108"/>
  <c r="G45" i="109" l="1"/>
  <c r="F45" i="109"/>
  <c r="D45" i="109"/>
  <c r="C45" i="109"/>
  <c r="E68" i="108"/>
  <c r="H40" i="108"/>
  <c r="E40" i="108"/>
  <c r="H36" i="108"/>
  <c r="E36" i="108"/>
  <c r="H43" i="109"/>
  <c r="E43" i="109"/>
  <c r="H45" i="109" l="1"/>
  <c r="E45" i="109"/>
  <c r="H39" i="108"/>
  <c r="E39" i="108"/>
  <c r="B1" i="97"/>
  <c r="G33" i="97"/>
  <c r="F33" i="97"/>
  <c r="E33" i="97"/>
  <c r="D33" i="97"/>
  <c r="C33" i="97"/>
  <c r="G24" i="97"/>
  <c r="F24" i="97"/>
  <c r="E24" i="97"/>
  <c r="D24" i="97"/>
  <c r="C24" i="97"/>
  <c r="G18" i="97"/>
  <c r="F18" i="97"/>
  <c r="E18" i="97"/>
  <c r="D18" i="97"/>
  <c r="C18" i="97"/>
  <c r="G14" i="97"/>
  <c r="F14" i="97"/>
  <c r="E14" i="97"/>
  <c r="D14" i="97"/>
  <c r="C14" i="97"/>
  <c r="G11" i="97"/>
  <c r="F11" i="97"/>
  <c r="E11" i="97"/>
  <c r="D11" i="97"/>
  <c r="C11" i="97"/>
  <c r="G8" i="97"/>
  <c r="F8" i="97"/>
  <c r="E8" i="97"/>
  <c r="D8" i="97"/>
  <c r="C8" i="97"/>
  <c r="G37" i="97" l="1"/>
  <c r="G53" i="108"/>
  <c r="H38" i="108"/>
  <c r="F53" i="108"/>
  <c r="F69" i="108" s="1"/>
  <c r="E38" i="108"/>
  <c r="C53" i="108"/>
  <c r="D53" i="108"/>
  <c r="G21" i="97"/>
  <c r="B1" i="95"/>
  <c r="B1" i="93"/>
  <c r="B1" i="64"/>
  <c r="B1" i="90"/>
  <c r="B1" i="69"/>
  <c r="B1" i="94"/>
  <c r="B1" i="89"/>
  <c r="B1" i="73"/>
  <c r="B1" i="88"/>
  <c r="B1" i="52"/>
  <c r="B1" i="86"/>
  <c r="G5" i="86"/>
  <c r="F5" i="86"/>
  <c r="E5" i="86"/>
  <c r="D5" i="86"/>
  <c r="G5" i="84"/>
  <c r="F5" i="84"/>
  <c r="E5" i="84"/>
  <c r="D5" i="84"/>
  <c r="C5" i="84"/>
  <c r="G69" i="108" l="1"/>
  <c r="G39" i="97"/>
  <c r="H53" i="108"/>
  <c r="D69" i="108"/>
  <c r="C69" i="108"/>
  <c r="E53" i="108"/>
  <c r="E6" i="86"/>
  <c r="F6" i="86"/>
  <c r="G6" i="86"/>
  <c r="G13" i="86" l="1"/>
  <c r="E13" i="86"/>
  <c r="F13" i="86"/>
  <c r="H69" i="108"/>
  <c r="E69" i="108"/>
  <c r="C21" i="94"/>
  <c r="C20" i="94"/>
  <c r="C19" i="94"/>
  <c r="B1" i="91" l="1"/>
  <c r="B1" i="84"/>
  <c r="C26" i="95" l="1"/>
  <c r="C22" i="95"/>
  <c r="C8" i="95"/>
  <c r="C32" i="95" l="1"/>
  <c r="D6" i="86"/>
  <c r="D13" i="86"/>
  <c r="B19" i="121" l="1"/>
  <c r="C34" i="95"/>
  <c r="C6" i="86"/>
  <c r="C13" i="86" l="1"/>
  <c r="B18" i="121"/>
  <c r="D19" i="94"/>
  <c r="D9" i="94"/>
  <c r="D12" i="94"/>
  <c r="D13" i="94"/>
  <c r="D15" i="94"/>
  <c r="D16" i="94"/>
  <c r="D17" i="94"/>
  <c r="D20" i="94"/>
  <c r="D7" i="94"/>
  <c r="D8" i="94"/>
  <c r="D11" i="94"/>
  <c r="D21" i="94"/>
  <c r="S21" i="90"/>
  <c r="S20" i="90"/>
  <c r="S19" i="90"/>
  <c r="S18" i="90"/>
  <c r="S17" i="90"/>
  <c r="S16" i="90"/>
  <c r="S15" i="90"/>
  <c r="S14" i="90"/>
  <c r="S13" i="90"/>
  <c r="S12" i="90"/>
  <c r="S11" i="90"/>
  <c r="S10" i="90"/>
  <c r="S9" i="90"/>
  <c r="S8" i="90"/>
  <c r="T21" i="64" l="1"/>
  <c r="U21" i="64"/>
  <c r="S21" i="64"/>
  <c r="C21" i="64"/>
  <c r="G22" i="91"/>
  <c r="F22" i="91"/>
  <c r="E22" i="91"/>
  <c r="D22" i="91"/>
  <c r="C22" i="91"/>
  <c r="H21" i="91"/>
  <c r="H17" i="91"/>
  <c r="H14" i="91"/>
  <c r="H13" i="91"/>
  <c r="H8" i="91"/>
  <c r="H22" i="91" l="1"/>
  <c r="K22" i="90"/>
  <c r="L22" i="90"/>
  <c r="M22" i="90"/>
  <c r="N22" i="90"/>
  <c r="O22" i="90"/>
  <c r="P22" i="90"/>
  <c r="Q22" i="90"/>
  <c r="R22" i="90"/>
  <c r="S22" i="90"/>
  <c r="C5" i="73" l="1"/>
  <c r="C22" i="90" l="1"/>
  <c r="C12" i="89"/>
  <c r="C6" i="89"/>
  <c r="D22" i="90" l="1"/>
  <c r="E22" i="90"/>
  <c r="F22" i="90"/>
  <c r="G22" i="90"/>
  <c r="H22" i="90"/>
  <c r="I22" i="90"/>
  <c r="J22" i="90"/>
  <c r="C29" i="89"/>
  <c r="C32" i="89"/>
  <c r="C36" i="89"/>
  <c r="C44" i="89"/>
  <c r="C48" i="89"/>
  <c r="C31" i="89" l="1"/>
  <c r="B8" i="121"/>
  <c r="C42" i="89"/>
  <c r="C8" i="73"/>
  <c r="C53" i="89"/>
  <c r="B10" i="121" l="1"/>
  <c r="B9" i="121"/>
  <c r="B7" i="121" s="1"/>
  <c r="B6" i="121" s="1"/>
  <c r="C13" i="73"/>
  <c r="D21" i="64"/>
  <c r="E21" i="64"/>
  <c r="F21" i="64"/>
  <c r="G21" i="64"/>
  <c r="H21" i="64"/>
  <c r="I21" i="64"/>
  <c r="J21" i="64"/>
  <c r="K21" i="64"/>
  <c r="L21" i="64"/>
  <c r="M21" i="64"/>
  <c r="N21" i="64"/>
  <c r="O21" i="64"/>
  <c r="P21" i="64"/>
  <c r="Q21" i="64"/>
  <c r="R21" i="64"/>
  <c r="B16" i="121" l="1"/>
  <c r="B14" i="121" s="1"/>
  <c r="B23" i="12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<sst xmlns="http://schemas.openxmlformats.org/spreadsheetml/2006/main" count="1251" uniqueCount="781">
  <si>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</si>
  <si>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</si>
  <si>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</si>
  <si>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</si>
  <si>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</si>
  <si>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</si>
  <si>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</si>
  <si>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</si>
  <si>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</si>
  <si>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</si>
  <si>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</si>
  <si>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</si>
  <si>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</si>
  <si>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</si>
  <si>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</si>
  <si>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</si>
  <si>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</si>
  <si>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</si>
  <si>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</si>
  <si>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</si>
  <si>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</si>
  <si>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</si>
  <si>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</si>
  <si>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</si>
  <si>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</si>
  <si>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</si>
  <si>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</si>
  <si>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</si>
  <si>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</si>
  <si>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</si>
  <si>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</si>
  <si>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</si>
  <si>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</si>
  <si>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</si>
  <si>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</si>
  <si>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</si>
  <si>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</si>
  <si>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</si>
  <si>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</si>
  <si>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</si>
  <si>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</si>
  <si>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</si>
  <si>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</si>
  <si>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</si>
  <si>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</si>
  <si>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</si>
  <si>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</si>
  <si>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</si>
  <si>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</si>
  <si>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</si>
  <si>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</si>
  <si>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</si>
  <si>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</si>
  <si>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</si>
  <si>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</si>
  <si>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</si>
  <si>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</si>
  <si>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</si>
  <si>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</si>
  <si>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</si>
  <si>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</si>
  <si>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</si>
  <si>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</si>
  <si>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</si>
  <si>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</si>
  <si>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</si>
  <si>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</si>
  <si>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</si>
  <si>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</si>
  <si>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</si>
  <si>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</si>
  <si>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</si>
  <si>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</si>
  <si>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</si>
  <si>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</si>
  <si>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</si>
  <si>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</si>
  <si>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</si>
  <si>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</si>
  <si>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</si>
  <si>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</si>
  <si>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</si>
  <si>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</si>
  <si>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</si>
  <si>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</si>
  <si>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</si>
  <si>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</si>
  <si>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</si>
  <si>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</si>
  <si>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</si>
  <si>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</si>
  <si>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</si>
  <si>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</si>
  <si>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</si>
  <si>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</si>
  <si>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</si>
  <si>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</si>
  <si>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</si>
  <si>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</si>
  <si>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</si>
  <si>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</si>
  <si>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</si>
  <si>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</si>
  <si>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</si>
  <si>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</si>
  <si>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</si>
  <si>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</si>
  <si>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</si>
  <si>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</si>
  <si>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</si>
  <si>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</si>
  <si>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</si>
  <si>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</si>
  <si>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</si>
  <si>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</si>
  <si>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</si>
  <si>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</si>
  <si>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</si>
  <si>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</si>
  <si>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</si>
  <si>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</si>
  <si>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</si>
  <si>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</si>
  <si>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</si>
  <si>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</si>
  <si>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</si>
  <si>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</si>
  <si>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</si>
  <si>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</si>
  <si>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</si>
  <si>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</si>
  <si>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</si>
  <si>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</si>
  <si>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</si>
  <si>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</si>
  <si>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</si>
  <si>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</si>
  <si>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</si>
  <si>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</si>
  <si>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</si>
  <si>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</si>
  <si>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</si>
  <si>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</si>
  <si>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</si>
  <si>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</si>
  <si>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</si>
  <si>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</si>
  <si>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</si>
  <si>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</si>
  <si>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</si>
  <si>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</si>
  <si>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</si>
  <si>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</si>
  <si>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</si>
  <si>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</si>
  <si>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</si>
  <si>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</si>
  <si>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</si>
  <si>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</si>
  <si>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</si>
  <si>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</si>
  <si>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</si>
  <si>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</si>
  <si>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</si>
  <si>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</si>
  <si>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</si>
  <si>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</si>
  <si>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</si>
  <si>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</si>
  <si>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</si>
  <si>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</si>
  <si>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</si>
  <si>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</si>
  <si>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</si>
  <si>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</si>
  <si>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</si>
  <si>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</si>
  <si>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</si>
  <si>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</si>
  <si>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</si>
  <si>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</si>
  <si>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</si>
  <si>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</si>
  <si>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</si>
  <si>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</si>
  <si>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</si>
  <si>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</si>
  <si>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</si>
  <si>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</si>
  <si>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</si>
  <si>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</si>
  <si>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</si>
  <si>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</si>
  <si>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</si>
  <si>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</si>
  <si>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</si>
  <si>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</si>
  <si>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</si>
  <si>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</si>
  <si>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</si>
  <si>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</si>
  <si>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</si>
  <si>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</si>
  <si>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</si>
  <si>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</si>
  <si>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</si>
  <si>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</si>
  <si>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</si>
  <si>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</si>
  <si>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</si>
  <si>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</si>
  <si>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</si>
  <si>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</si>
  <si>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</si>
  <si>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</si>
  <si>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</si>
  <si>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</si>
  <si>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</si>
  <si>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</si>
  <si>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</si>
  <si>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</si>
  <si>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</si>
  <si>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</si>
  <si>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</si>
  <si>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</si>
  <si>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</si>
  <si>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</si>
  <si>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</si>
  <si>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</si>
  <si>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</si>
  <si>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</si>
  <si>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</si>
  <si>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</si>
  <si>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</si>
  <si>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</si>
  <si>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</si>
  <si>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</si>
  <si>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</si>
  <si>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</si>
  <si>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</si>
  <si>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</si>
  <si>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</si>
  <si>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</si>
  <si>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</si>
  <si>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</si>
  <si>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</si>
  <si>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</si>
  <si>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</si>
  <si>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</si>
  <si>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</si>
  <si>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</si>
  <si>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</si>
  <si>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</si>
  <si>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</si>
  <si>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</si>
  <si>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</si>
  <si>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</si>
  <si>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</si>
  <si>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</si>
  <si>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</si>
  <si>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</si>
  <si>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</si>
  <si>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</si>
  <si>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</si>
  <si>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</si>
  <si>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</si>
  <si>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</si>
  <si>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</si>
  <si>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</si>
  <si>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</si>
  <si>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</si>
  <si>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</si>
  <si>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</si>
  <si>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</si>
  <si>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</si>
  <si>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</si>
  <si>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</si>
  <si>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</si>
  <si>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</si>
  <si>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</si>
  <si>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</si>
  <si>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</si>
  <si>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</si>
  <si>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</si>
  <si>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</si>
  <si>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</si>
  <si>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</si>
  <si>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</si>
  <si>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</si>
  <si>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</si>
  <si>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</si>
  <si>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</si>
  <si>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</si>
  <si>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</si>
  <si>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</si>
  <si>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</si>
  <si>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</si>
  <si>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</si>
  <si>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</si>
  <si>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</si>
  <si>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</si>
  <si>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</si>
  <si>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</si>
  <si>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</si>
  <si>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</si>
  <si>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</si>
  <si>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</si>
  <si>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</si>
  <si>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</si>
  <si>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</si>
  <si>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</si>
  <si>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</si>
  <si>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</si>
  <si>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</si>
  <si>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</si>
  <si>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</si>
  <si>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</si>
  <si>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</si>
  <si>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</si>
  <si>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</si>
  <si>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</si>
  <si>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</si>
  <si>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</si>
  <si>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</si>
  <si>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</si>
  <si>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</si>
  <si>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</si>
  <si>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</si>
  <si>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</si>
  <si>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</si>
  <si>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</si>
  <si>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</si>
  <si>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</si>
  <si>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</si>
  <si>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</si>
  <si>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</si>
  <si>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</si>
  <si>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</si>
  <si>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</si>
  <si>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</si>
  <si>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</si>
  <si>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</si>
  <si>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</si>
  <si>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</si>
  <si>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</si>
  <si>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</si>
  <si>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</si>
  <si>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</si>
  <si>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</si>
  <si>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</si>
  <si>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</si>
  <si>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</si>
  <si>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</si>
  <si>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</si>
  <si>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</si>
  <si>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</si>
  <si>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</si>
  <si>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</si>
  <si>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</si>
  <si>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</si>
  <si>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</si>
  <si>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</si>
  <si>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</si>
  <si>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</si>
  <si>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</si>
  <si>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</si>
  <si>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</si>
  <si>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</si>
  <si>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</si>
  <si>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</si>
  <si>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</si>
  <si>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</si>
  <si>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</si>
  <si>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</si>
  <si>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</si>
  <si>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</si>
  <si>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</si>
  <si>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</si>
  <si>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</si>
  <si>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</si>
  <si>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</si>
  <si>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</si>
  <si>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</si>
  <si>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</si>
  <si>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</si>
  <si>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</si>
  <si>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</si>
  <si>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</si>
  <si>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</si>
  <si>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</si>
  <si>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</si>
  <si>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</si>
  <si>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</si>
  <si>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</si>
  <si>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</si>
  <si>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</si>
  <si>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</si>
  <si>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</si>
  <si>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</si>
  <si>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</si>
  <si>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</si>
  <si>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</si>
  <si>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</si>
  <si>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</si>
  <si>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</si>
  <si>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</si>
  <si>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</si>
  <si>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</si>
  <si>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</si>
  <si>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</si>
  <si>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</si>
  <si>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</si>
  <si>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</si>
  <si>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</si>
  <si>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</si>
  <si>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</si>
  <si>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</si>
  <si>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</si>
  <si>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</si>
  <si>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</si>
  <si>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</si>
  <si>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</si>
  <si>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</si>
  <si>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</si>
  <si>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</si>
  <si>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</si>
  <si>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</si>
  <si>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</si>
  <si>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</si>
  <si>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</si>
  <si>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</si>
  <si>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</si>
  <si>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</si>
  <si>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</si>
  <si>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</si>
  <si>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</si>
  <si>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</si>
  <si>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</si>
  <si>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</si>
  <si>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</si>
  <si>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</si>
  <si>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</si>
  <si>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</si>
  <si>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</si>
  <si>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</si>
  <si>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</si>
  <si>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</si>
  <si>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</si>
  <si>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</si>
  <si>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</si>
  <si>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</si>
  <si>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</si>
  <si>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</si>
  <si>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</si>
  <si>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</si>
  <si>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</si>
  <si>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</si>
  <si>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</si>
  <si>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</si>
  <si>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</si>
  <si>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</si>
  <si>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</si>
  <si>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</si>
  <si>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</si>
  <si>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</si>
  <si>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</si>
  <si>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</si>
  <si>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</si>
  <si>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</si>
  <si>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</si>
  <si>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</si>
  <si>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</si>
  <si>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</si>
  <si>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</si>
  <si>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</si>
  <si>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</si>
  <si>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</si>
  <si>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</si>
  <si>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</si>
  <si>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</si>
  <si>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</si>
  <si>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</si>
  <si>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</si>
  <si>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</si>
  <si>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</si>
  <si>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</si>
  <si>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</si>
  <si>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</si>
  <si>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</si>
  <si>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</si>
  <si>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</si>
  <si>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</si>
  <si>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</si>
  <si>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</si>
  <si>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</si>
  <si>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</si>
  <si>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</si>
  <si>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</si>
  <si>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</si>
  <si>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</si>
  <si>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</si>
  <si>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</si>
  <si>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</si>
  <si>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</si>
  <si>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</si>
  <si>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</si>
  <si>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</si>
  <si>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</si>
  <si>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</si>
  <si>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</si>
  <si>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</si>
  <si>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</si>
  <si>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</si>
  <si>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</si>
  <si>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</si>
  <si>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</si>
  <si>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</si>
  <si>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</si>
  <si>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</si>
  <si>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</si>
  <si>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</si>
  <si>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</si>
  <si>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</si>
  <si>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</si>
  <si>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</si>
  <si>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</si>
  <si>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</si>
  <si>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</si>
  <si>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</si>
  <si>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</si>
  <si>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</si>
  <si>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</si>
  <si>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</si>
  <si>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</si>
  <si>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</si>
  <si>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</si>
  <si>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</si>
  <si>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</si>
  <si>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</si>
  <si>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</si>
  <si>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</si>
  <si>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</si>
  <si>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</si>
  <si>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</si>
  <si>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</si>
  <si>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</si>
  <si>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</si>
  <si>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</si>
  <si>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</si>
  <si>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</si>
  <si>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</si>
  <si>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</si>
  <si>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</si>
  <si>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</si>
  <si>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</si>
  <si>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</si>
  <si>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</si>
  <si>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</si>
  <si>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</si>
  <si>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</si>
  <si>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</si>
  <si>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</si>
  <si>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</si>
  <si>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</si>
  <si>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</si>
  <si>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</si>
  <si>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</si>
  <si>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</si>
  <si>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</si>
  <si>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</si>
  <si>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</si>
  <si>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</si>
  <si>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</si>
  <si>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</si>
  <si>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</si>
  <si>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</si>
  <si>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</si>
  <si>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</si>
  <si>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</si>
  <si>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</si>
  <si>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</si>
  <si>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</si>
  <si>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</si>
  <si>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</si>
  <si>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</si>
  <si>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</si>
  <si>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</si>
  <si>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</si>
  <si>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</si>
  <si>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</si>
  <si>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</si>
  <si>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</si>
  <si>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</si>
  <si>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</si>
  <si>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</si>
  <si>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</si>
  <si>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</si>
  <si>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</si>
  <si>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</si>
  <si>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</si>
  <si>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</si>
  <si>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</si>
  <si>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</si>
  <si>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</si>
  <si>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</si>
  <si>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</si>
  <si>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</si>
  <si>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</si>
  <si>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</si>
  <si>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</si>
  <si>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</si>
  <si>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</si>
  <si>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</si>
  <si>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</si>
  <si>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</si>
  <si>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</si>
  <si>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</si>
  <si>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</si>
  <si>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</si>
  <si>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</si>
  <si>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</si>
  <si>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</si>
  <si>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</si>
  <si>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</si>
  <si>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</si>
  <si>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</si>
  <si>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</si>
  <si>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</si>
  <si>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</si>
  <si>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</si>
  <si>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</si>
  <si>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</si>
  <si>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</si>
  <si>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</si>
  <si>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</si>
  <si>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</si>
  <si>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</si>
  <si>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</si>
  <si>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</si>
  <si>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</si>
  <si>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</si>
  <si>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</si>
  <si>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</si>
  <si>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</si>
  <si>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</si>
  <si>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</si>
  <si>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</si>
  <si>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</si>
  <si>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</si>
  <si>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</si>
  <si>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</si>
  <si>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</si>
  <si>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</si>
  <si>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</si>
  <si>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</si>
  <si>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</si>
  <si>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</si>
  <si>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</si>
  <si>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</si>
  <si>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</si>
  <si>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</si>
  <si>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</si>
  <si>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</si>
  <si>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</si>
  <si>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</si>
  <si>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</si>
  <si>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</si>
  <si>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</si>
  <si>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</si>
  <si>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</si>
  <si>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</si>
  <si>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</si>
  <si>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</si>
  <si>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</si>
  <si>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</si>
  <si>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</si>
  <si>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</si>
  <si>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</si>
  <si>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</si>
  <si>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</si>
  <si>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</si>
  <si>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</si>
  <si>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</si>
  <si>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</si>
  <si>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</si>
  <si>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</si>
  <si>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</si>
  <si>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</si>
  <si>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</si>
  <si>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</si>
  <si>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</si>
  <si>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</si>
  <si>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</si>
  <si>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</si>
  <si>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</si>
  <si>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</si>
  <si>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</si>
  <si>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</si>
  <si>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</si>
  <si>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</si>
  <si>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</si>
  <si>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</si>
  <si>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</si>
  <si>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</si>
  <si>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</si>
  <si>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</si>
  <si>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</si>
  <si>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</si>
  <si>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</si>
  <si>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</si>
  <si>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</si>
  <si>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</si>
  <si>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</si>
  <si>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</si>
  <si>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</si>
  <si>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</si>
  <si>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</si>
  <si>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</si>
  <si>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</si>
  <si>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</si>
  <si>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</si>
  <si>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</si>
  <si>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</si>
  <si>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</si>
  <si>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</si>
  <si>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</si>
  <si>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</si>
  <si>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</si>
  <si>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</si>
  <si>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</si>
  <si>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</si>
  <si>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</si>
  <si>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</si>
  <si>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</si>
  <si>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</si>
  <si>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</si>
  <si>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</si>
  <si>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</si>
  <si>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</si>
  <si>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</si>
  <si>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</si>
  <si>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</si>
  <si>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</si>
  <si>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</si>
  <si>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</si>
  <si>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</si>
  <si>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</si>
  <si>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</si>
  <si>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</si>
  <si>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</si>
  <si>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</si>
  <si>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</si>
  <si>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Cartu Bank</t>
  </si>
  <si>
    <t>Nato Khaindrava</t>
  </si>
  <si>
    <t>Zurab Gelenidze</t>
  </si>
  <si>
    <t>www.cartubank.ge</t>
  </si>
  <si>
    <t>Non-independent chair</t>
  </si>
  <si>
    <t>Lasha Megrelidze</t>
  </si>
  <si>
    <t>Independent member</t>
  </si>
  <si>
    <t>Besik Demetrashvili</t>
  </si>
  <si>
    <t>Non-independent member</t>
  </si>
  <si>
    <t>Zaza Verdzeuli</t>
  </si>
  <si>
    <t>General Director</t>
  </si>
  <si>
    <t>Givi Lebanidze</t>
  </si>
  <si>
    <t>Deputy General Director - Financial Director</t>
  </si>
  <si>
    <t>Beka Kvaratskhelia</t>
  </si>
  <si>
    <t>Deputy General Director - Risk Director</t>
  </si>
  <si>
    <t xml:space="preserve">Zurab Gogua </t>
  </si>
  <si>
    <t>Deputy General Director - Commercial Director</t>
  </si>
  <si>
    <t>Giorgi Korsantia</t>
  </si>
  <si>
    <t>Deputy General Director - Information Technology Director</t>
  </si>
  <si>
    <t>Vakhtang Machavariani</t>
  </si>
  <si>
    <t>Deputy General Director - Administrative Director</t>
  </si>
  <si>
    <t xml:space="preserve">N(N)LP INTERNATIONAL CHARITY FUND "CARTU"                                                           </t>
  </si>
  <si>
    <t xml:space="preserve">Uta Ivanishvili </t>
  </si>
  <si>
    <t>Table 9 (Capital), N28 &amp; N38</t>
  </si>
  <si>
    <t>Table 9 (Capital), N2</t>
  </si>
  <si>
    <t>Table 9 (Capital), N27</t>
  </si>
  <si>
    <t>Table 9 (Capital), N5 &amp; N6</t>
  </si>
  <si>
    <t>Irine Kinkladze</t>
  </si>
  <si>
    <t>Table 9 (Capital), N8 &amp; N4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</si>
</sst>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2">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4">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style="thin">
        <color auto="1"/>
      </left>
      <right style="medium">
        <color indexed="64"/>
      </right>
      <top style="thin">
        <color auto="1"/>
      </top>
      <bottom style="thin">
        <color auto="1"/>
      </bottom>
      <diagonal/>
    </border>
    <border>
      <left style="thin">
        <color theme="6" tint="-0.499984740745262"/>
      </left>
      <right style="medium">
        <color indexed="64"/>
      </right>
      <top/>
      <bottom style="thin">
        <color auto="1"/>
      </bottom>
      <diagonal/>
    </border>
    <border>
      <left style="thin">
        <color auto="1"/>
      </left>
      <right style="thin">
        <color auto="1"/>
      </right>
      <top style="thin">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4"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1" applyNumberFormat="0" applyFill="0" applyAlignment="0" applyProtection="0"/>
    <xf numFmtId="169" fontId="38" fillId="0" borderId="41" applyNumberFormat="0" applyFill="0" applyAlignment="0" applyProtection="0"/>
    <xf numFmtId="0"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69" fontId="39" fillId="0" borderId="42" applyNumberFormat="0" applyFill="0" applyAlignment="0" applyProtection="0"/>
    <xf numFmtId="0"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0" fontId="49" fillId="42" borderId="38"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0" fontId="52" fillId="0" borderId="44"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5"/>
    <xf numFmtId="169" fontId="9" fillId="0" borderId="45"/>
    <xf numFmtId="168"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9"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168"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8" fillId="0" borderId="49"/>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1" fillId="0" borderId="0"/>
    <xf numFmtId="0" fontId="148" fillId="69"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9" fillId="0" borderId="0" applyFont="0" applyFill="0" applyBorder="0" applyAlignment="0" applyProtection="0"/>
    <xf numFmtId="8" fontId="150" fillId="0" borderId="0" applyFont="0" applyFill="0" applyBorder="0" applyAlignment="0" applyProtection="0"/>
    <xf numFmtId="8"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7" fontId="149" fillId="0" borderId="0" applyFont="0" applyFill="0" applyBorder="0" applyAlignment="0" applyProtection="0"/>
    <xf numFmtId="7" fontId="149" fillId="0" borderId="0" applyFont="0" applyFill="0" applyBorder="0" applyAlignment="0" applyProtection="0"/>
    <xf numFmtId="204" fontId="149" fillId="0" borderId="0" applyFont="0" applyFill="0" applyBorder="0" applyAlignment="0" applyProtection="0"/>
    <xf numFmtId="204"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0" fillId="0" borderId="0" applyFont="0" applyFill="0" applyBorder="0" applyAlignment="0" applyProtection="0"/>
    <xf numFmtId="5"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06" fontId="154" fillId="0" borderId="0" applyFont="0" applyFill="0" applyBorder="0" applyAlignment="0" applyProtection="0"/>
    <xf numFmtId="0" fontId="19" fillId="0" borderId="0" applyFont="0" applyFill="0" applyBorder="0" applyAlignment="0" applyProtection="0"/>
    <xf numFmtId="207" fontId="155" fillId="0" borderId="0" applyFont="0" applyFill="0" applyBorder="0" applyAlignment="0" applyProtection="0"/>
    <xf numFmtId="208" fontId="155" fillId="0" borderId="0" applyFont="0" applyFill="0" applyBorder="0" applyAlignment="0" applyProtection="0"/>
    <xf numFmtId="209" fontId="155" fillId="0" borderId="0" applyFont="0" applyFill="0" applyBorder="0" applyAlignment="0" applyProtection="0"/>
    <xf numFmtId="210" fontId="155" fillId="0" borderId="0" applyFont="0" applyFill="0" applyBorder="0" applyAlignment="0" applyProtection="0"/>
    <xf numFmtId="0" fontId="155" fillId="0" borderId="0"/>
    <xf numFmtId="0" fontId="19" fillId="0" borderId="0" applyFont="0" applyFill="0" applyBorder="0" applyAlignment="0" applyProtection="0"/>
    <xf numFmtId="211"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6"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4"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7" fillId="0" borderId="140" applyNumberFormat="0" applyFill="0" applyProtection="0">
      <alignment horizontal="center"/>
    </xf>
    <xf numFmtId="0" fontId="167"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4" fillId="0" borderId="0" applyFill="0" applyBorder="0" applyAlignment="0" applyProtection="0"/>
    <xf numFmtId="239" fontId="174" fillId="0" borderId="0" applyFill="0" applyBorder="0" applyAlignment="0" applyProtection="0"/>
    <xf numFmtId="239"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5" fillId="0" borderId="67"/>
    <xf numFmtId="0" fontId="161"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7" fillId="0" borderId="75"/>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0" fillId="0" borderId="0" applyNumberForma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0" fontId="181" fillId="96"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0" fontId="183" fillId="0" borderId="142"/>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43" applyNumberFormat="0" applyAlignment="0" applyProtection="0"/>
    <xf numFmtId="0" fontId="184" fillId="108" borderId="143" applyNumberFormat="0" applyAlignment="0" applyProtection="0"/>
    <xf numFmtId="0" fontId="185" fillId="0" borderId="0" applyNumberFormat="0" applyFill="0" applyAlignment="0"/>
    <xf numFmtId="0" fontId="186" fillId="0" borderId="144" applyNumberFormat="0" applyFont="0" applyFill="0" applyAlignment="0"/>
    <xf numFmtId="248"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5"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1" fillId="0" borderId="0" applyFont="0" applyFill="0" applyBorder="0" applyAlignment="0" applyProtection="0"/>
    <xf numFmtId="250" fontId="192" fillId="0" borderId="0"/>
    <xf numFmtId="0" fontId="193" fillId="0" borderId="146"/>
    <xf numFmtId="251" fontId="2" fillId="0" borderId="0"/>
    <xf numFmtId="0" fontId="193" fillId="0" borderId="147"/>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48">
      <alignment horizontal="center" vertical="center"/>
    </xf>
    <xf numFmtId="0" fontId="184" fillId="108" borderId="148">
      <alignment horizontal="center" vertical="center"/>
    </xf>
    <xf numFmtId="0" fontId="197" fillId="0" borderId="0" applyProtection="0">
      <alignment horizontal="center"/>
    </xf>
    <xf numFmtId="0" fontId="197"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1" fillId="0" borderId="0">
      <alignment vertical="top"/>
    </xf>
    <xf numFmtId="172" fontId="161" fillId="0" borderId="0">
      <alignment vertical="top"/>
    </xf>
    <xf numFmtId="172" fontId="161" fillId="0" borderId="0">
      <alignment vertical="top"/>
    </xf>
    <xf numFmtId="0" fontId="45" fillId="0" borderId="0" applyNumberFormat="0" applyFill="0" applyBorder="0" applyProtection="0">
      <alignment horizontal="right"/>
    </xf>
    <xf numFmtId="172" fontId="200" fillId="0" borderId="0">
      <alignment horizontal="right"/>
    </xf>
    <xf numFmtId="172" fontId="200" fillId="0" borderId="0">
      <alignment horizontal="right"/>
    </xf>
    <xf numFmtId="172" fontId="200" fillId="0" borderId="0">
      <alignment horizontal="right"/>
    </xf>
    <xf numFmtId="0" fontId="200" fillId="0" borderId="0">
      <alignment horizontal="left"/>
    </xf>
    <xf numFmtId="0" fontId="201" fillId="74" borderId="0" applyNumberFormat="0" applyBorder="0" applyAlignment="0" applyProtection="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2" fillId="72" borderId="0"/>
    <xf numFmtId="0" fontId="202" fillId="0" borderId="1" applyNumberFormat="0" applyFont="0" applyFill="0" applyAlignment="0" applyProtection="0"/>
    <xf numFmtId="0" fontId="202" fillId="0" borderId="149"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7" applyNumberFormat="0" applyFont="0" applyFill="0" applyAlignment="0" applyProtection="0"/>
    <xf numFmtId="0" fontId="150" fillId="0" borderId="67"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0" fontId="2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0"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7" fontId="8"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8" fontId="203"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4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9" fontId="203"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04" fillId="109" borderId="145" applyNumberFormat="0" applyAlignment="0" applyProtection="0"/>
    <xf numFmtId="0" fontId="146" fillId="8" borderId="31" applyNumberFormat="0" applyAlignment="0" applyProtection="0"/>
    <xf numFmtId="3" fontId="45" fillId="41" borderId="69">
      <protection hidden="1"/>
    </xf>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04" fillId="109" borderId="145" applyNumberFormat="0" applyAlignment="0" applyProtection="0"/>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4" applyNumberFormat="0" applyFill="0" applyAlignment="0" applyProtection="0"/>
    <xf numFmtId="0" fontId="24" fillId="64"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69" applyBorder="0"/>
    <xf numFmtId="260" fontId="206" fillId="0" borderId="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4" fillId="64" borderId="39" applyNumberFormat="0" applyAlignment="0" applyProtection="0"/>
    <xf numFmtId="0" fontId="24"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vertical="center"/>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9" fillId="0" borderId="150"/>
    <xf numFmtId="201" fontId="210" fillId="0" borderId="0" applyFont="0" applyFill="0" applyBorder="0" applyAlignment="0" applyProtection="0"/>
    <xf numFmtId="0" fontId="211" fillId="0" borderId="0"/>
    <xf numFmtId="0" fontId="211" fillId="0" borderId="0"/>
    <xf numFmtId="0" fontId="211" fillId="0" borderId="0"/>
    <xf numFmtId="0" fontId="211" fillId="0" borderId="0"/>
    <xf numFmtId="261" fontId="2" fillId="0" borderId="0"/>
    <xf numFmtId="261" fontId="2" fillId="0" borderId="0"/>
    <xf numFmtId="261" fontId="2" fillId="0" borderId="0"/>
    <xf numFmtId="261" fontId="2" fillId="0" borderId="0"/>
    <xf numFmtId="217" fontId="212" fillId="0" borderId="0">
      <alignment horizontal="right" vertical="center" wrapText="1"/>
    </xf>
    <xf numFmtId="217" fontId="212" fillId="0" borderId="0">
      <alignment horizontal="right" vertical="center" wrapText="1"/>
    </xf>
    <xf numFmtId="217" fontId="212"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4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3" fillId="0" borderId="0" applyFont="0" applyFill="0" applyBorder="0" applyAlignment="0" applyProtection="0">
      <alignment horizontal="right"/>
    </xf>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3"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3"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5"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21" fontId="149" fillId="0" borderId="0" applyFont="0" applyFill="0" applyBorder="0" applyAlignment="0" applyProtection="0"/>
    <xf numFmtId="221" fontId="149" fillId="0" borderId="0" applyFont="0" applyFill="0" applyBorder="0" applyAlignment="0" applyProtection="0"/>
    <xf numFmtId="3" fontId="210" fillId="0" borderId="134">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4">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3" fontId="210" fillId="0" borderId="134">
      <alignment vertical="center"/>
    </xf>
    <xf numFmtId="0" fontId="29" fillId="73" borderId="151" applyNumberFormat="0" applyFont="0" applyAlignment="0" applyProtection="0"/>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71" fillId="73"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8" fillId="0" borderId="0" applyFill="0" applyBorder="0">
      <alignment horizontal="left"/>
    </xf>
    <xf numFmtId="0" fontId="219" fillId="115" borderId="0"/>
    <xf numFmtId="0" fontId="24" fillId="64" borderId="39"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27" applyNumberFormat="0" applyFill="0" applyBorder="0" applyAlignment="0" applyProtection="0">
      <alignment horizontal="center"/>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1" fillId="0" borderId="127" applyNumberFormat="0" applyFill="0" applyBorder="0" applyAlignment="0" applyProtection="0">
      <alignment horizontal="center"/>
      <protection locked="0"/>
    </xf>
    <xf numFmtId="0" fontId="221" fillId="0" borderId="127" applyNumberFormat="0" applyFill="0" applyBorder="0" applyAlignment="0" applyProtection="0">
      <alignment horizontal="center"/>
      <protection locked="0"/>
    </xf>
    <xf numFmtId="3" fontId="210" fillId="0" borderId="134">
      <alignment vertical="center"/>
    </xf>
    <xf numFmtId="0" fontId="221" fillId="0" borderId="127" applyNumberFormat="0" applyFill="0" applyBorder="0" applyAlignment="0" applyProtection="0">
      <alignment horizontal="center"/>
      <protection locked="0"/>
    </xf>
    <xf numFmtId="0" fontId="221" fillId="0" borderId="127" applyNumberFormat="0" applyFill="0" applyBorder="0" applyAlignment="0" applyProtection="0">
      <alignment horizontal="center"/>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3" fontId="223" fillId="0" borderId="152" applyNumberFormat="0" applyAlignment="0">
      <alignment vertical="center"/>
    </xf>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3" fontId="210" fillId="0" borderId="134">
      <alignment vertical="center"/>
    </xf>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 fillId="0" borderId="0" applyFont="0" applyFill="0" applyBorder="0" applyAlignment="0" applyProtection="0"/>
    <xf numFmtId="265" fontId="224"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0"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21"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3" fontId="210"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3" fillId="0" borderId="0" applyFont="0" applyFill="0" applyBorder="0" applyAlignment="0" applyProtection="0">
      <alignment horizontal="right"/>
    </xf>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267" fontId="163" fillId="0" borderId="0" applyFont="0" applyFill="0" applyBorder="0" applyAlignment="0" applyProtection="0">
      <alignment horizontal="right"/>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3" fontId="210" fillId="0" borderId="134">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3" fontId="210" fillId="0" borderId="134">
      <alignment vertical="center"/>
    </xf>
    <xf numFmtId="3" fontId="210" fillId="0" borderId="134">
      <alignment vertical="center"/>
    </xf>
    <xf numFmtId="267" fontId="163" fillId="0" borderId="0" applyFont="0" applyFill="0" applyBorder="0" applyProtection="0"/>
    <xf numFmtId="267" fontId="163" fillId="0" borderId="0" applyFont="0" applyFill="0" applyBorder="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3" fontId="210" fillId="0" borderId="134">
      <alignment vertical="center"/>
    </xf>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0" fillId="0" borderId="134">
      <alignment vertical="center"/>
    </xf>
    <xf numFmtId="3" fontId="210" fillId="0" borderId="134">
      <alignment vertical="center"/>
    </xf>
    <xf numFmtId="268" fontId="225" fillId="0" borderId="0"/>
    <xf numFmtId="0" fontId="2" fillId="0" borderId="0" applyNumberFormat="0" applyFont="0" applyFill="0" applyBorder="0" applyAlignment="0" applyProtection="0"/>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268" fontId="225" fillId="0" borderId="0"/>
    <xf numFmtId="268" fontId="225" fillId="0" borderId="0"/>
    <xf numFmtId="3" fontId="210" fillId="0" borderId="134">
      <alignment vertical="center"/>
    </xf>
    <xf numFmtId="3" fontId="210" fillId="0" borderId="134">
      <alignment vertical="center"/>
    </xf>
    <xf numFmtId="0" fontId="225" fillId="0" borderId="0"/>
    <xf numFmtId="0" fontId="2" fillId="0" borderId="0" applyNumberFormat="0" applyFont="0" applyFill="0" applyBorder="0" applyAlignment="0" applyProtection="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268" fontId="225" fillId="0" borderId="0"/>
    <xf numFmtId="3" fontId="210" fillId="0" borderId="134">
      <alignment vertical="center"/>
    </xf>
    <xf numFmtId="268" fontId="225" fillId="0" borderId="0"/>
    <xf numFmtId="268" fontId="225" fillId="0" borderId="0"/>
    <xf numFmtId="3" fontId="210" fillId="0" borderId="134">
      <alignment vertical="center"/>
    </xf>
    <xf numFmtId="3" fontId="210" fillId="0" borderId="134">
      <alignment vertical="center"/>
    </xf>
    <xf numFmtId="0" fontId="225" fillId="0" borderId="0"/>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268" fontId="225" fillId="0" borderId="0"/>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3" fontId="210" fillId="0" borderId="134">
      <alignment vertical="center"/>
    </xf>
    <xf numFmtId="268" fontId="225" fillId="0" borderId="0"/>
    <xf numFmtId="3" fontId="210" fillId="0" borderId="134">
      <alignment vertical="center"/>
    </xf>
    <xf numFmtId="268" fontId="225" fillId="0" borderId="0"/>
    <xf numFmtId="268" fontId="225" fillId="0" borderId="0"/>
    <xf numFmtId="3" fontId="210" fillId="0" borderId="134">
      <alignment vertical="center"/>
    </xf>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3" applyNumberFormat="0" applyFont="0" applyBorder="0" applyAlignment="0" applyProtection="0">
      <alignment horizontal="centerContinuous"/>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2" fillId="0" borderId="0" applyNumberFormat="0" applyFont="0" applyFill="0" applyBorder="0" applyAlignment="0" applyProtection="0"/>
    <xf numFmtId="0" fontId="9" fillId="69" borderId="153" applyNumberFormat="0" applyFont="0" applyBorder="0" applyProtection="0"/>
    <xf numFmtId="3" fontId="210" fillId="0" borderId="134">
      <alignment vertical="center"/>
    </xf>
    <xf numFmtId="0" fontId="2" fillId="0" borderId="0" applyNumberFormat="0" applyFont="0" applyFill="0" applyBorder="0" applyAlignment="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0" fillId="0" borderId="134">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14" fontId="229" fillId="0" borderId="0"/>
    <xf numFmtId="271" fontId="212" fillId="0" borderId="0">
      <alignment horizontal="left" vertical="center" wrapText="1"/>
    </xf>
    <xf numFmtId="271" fontId="212" fillId="0" borderId="0">
      <alignment horizontal="left" vertical="center" wrapText="1"/>
    </xf>
    <xf numFmtId="271"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4">
      <alignment vertical="center"/>
    </xf>
    <xf numFmtId="0" fontId="212" fillId="0" borderId="0">
      <alignment horizontal="left" vertical="center" wrapText="1"/>
    </xf>
    <xf numFmtId="3" fontId="210" fillId="0" borderId="134">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3"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4">
      <alignment vertical="center"/>
    </xf>
    <xf numFmtId="22" fontId="29" fillId="0" borderId="0" applyFill="0" applyBorder="0" applyAlignment="0"/>
    <xf numFmtId="3" fontId="210"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4">
      <alignment vertical="center"/>
    </xf>
    <xf numFmtId="172" fontId="202" fillId="0" borderId="0" applyFont="0" applyFill="0" applyBorder="0" applyProtection="0">
      <alignment horizontal="right"/>
    </xf>
    <xf numFmtId="179"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0"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4">
      <alignment vertical="center"/>
    </xf>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4">
      <alignment vertical="center"/>
    </xf>
    <xf numFmtId="0" fontId="232"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4">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4">
      <alignment vertical="center"/>
    </xf>
    <xf numFmtId="0" fontId="2" fillId="0" borderId="69" applyFill="0" applyProtection="0">
      <alignment horizontal="centerContinuous"/>
    </xf>
    <xf numFmtId="0" fontId="2" fillId="0" borderId="69" applyFill="0" applyProtection="0">
      <alignment horizontal="centerContinuous"/>
    </xf>
    <xf numFmtId="3" fontId="210" fillId="0" borderId="134">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233"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233"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34"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3"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17" fontId="238"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39" fillId="0" borderId="137" applyNumberFormat="0" applyAlignment="0">
      <protection locked="0"/>
    </xf>
    <xf numFmtId="0" fontId="49" fillId="42" borderId="145" applyNumberFormat="0" applyAlignment="0" applyProtection="0"/>
    <xf numFmtId="0" fontId="10" fillId="0" borderId="0"/>
    <xf numFmtId="0" fontId="10" fillId="0" borderId="0"/>
    <xf numFmtId="0" fontId="49" fillId="42" borderId="145" applyNumberFormat="0" applyAlignment="0" applyProtection="0"/>
    <xf numFmtId="0" fontId="49" fillId="42" borderId="145" applyNumberFormat="0" applyAlignment="0" applyProtection="0"/>
    <xf numFmtId="0" fontId="49" fillId="42" borderId="145" applyNumberFormat="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219"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85" fontId="240" fillId="0" borderId="0">
      <alignment horizontal="right" vertical="top"/>
    </xf>
    <xf numFmtId="286" fontId="241" fillId="0" borderId="0" applyBorder="0">
      <alignment horizontal="right" vertical="top"/>
    </xf>
    <xf numFmtId="286" fontId="241" fillId="0" borderId="0" applyBorder="0">
      <alignment horizontal="right" vertical="top"/>
    </xf>
    <xf numFmtId="3" fontId="210" fillId="0" borderId="134">
      <alignment vertical="center"/>
    </xf>
    <xf numFmtId="287" fontId="20" fillId="0" borderId="0">
      <alignment horizontal="right" vertical="top"/>
    </xf>
    <xf numFmtId="288" fontId="156" fillId="0" borderId="0" applyBorder="0">
      <alignment horizontal="right" vertical="top"/>
    </xf>
    <xf numFmtId="288" fontId="156" fillId="0" borderId="0" applyBorder="0">
      <alignment horizontal="right" vertical="top"/>
    </xf>
    <xf numFmtId="3" fontId="210" fillId="0" borderId="134">
      <alignment vertical="center"/>
    </xf>
    <xf numFmtId="287" fontId="240" fillId="0" borderId="0">
      <alignment horizontal="right" vertical="top"/>
    </xf>
    <xf numFmtId="288" fontId="241" fillId="0" borderId="0" applyBorder="0">
      <alignment horizontal="right" vertical="top"/>
    </xf>
    <xf numFmtId="288" fontId="241" fillId="0" borderId="0" applyBorder="0">
      <alignment horizontal="right" vertical="top"/>
    </xf>
    <xf numFmtId="3" fontId="210"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6" fillId="0" borderId="0" applyFill="0" applyBorder="0">
      <alignment horizontal="right" vertical="top"/>
    </xf>
    <xf numFmtId="212" fontId="156" fillId="0" borderId="0" applyFill="0" applyBorder="0">
      <alignment horizontal="right" vertical="top"/>
    </xf>
    <xf numFmtId="3" fontId="210" fillId="0" borderId="134">
      <alignment vertical="center"/>
    </xf>
    <xf numFmtId="291" fontId="20" fillId="0" borderId="0" applyFill="0" applyBorder="0">
      <alignment horizontal="right" vertical="top"/>
    </xf>
    <xf numFmtId="292" fontId="156" fillId="0" borderId="0" applyFill="0" applyBorder="0">
      <alignment horizontal="right" vertical="top"/>
    </xf>
    <xf numFmtId="292" fontId="156" fillId="0" borderId="0" applyFill="0" applyBorder="0">
      <alignment horizontal="right" vertical="top"/>
    </xf>
    <xf numFmtId="3" fontId="210" fillId="0" borderId="134">
      <alignment vertical="center"/>
    </xf>
    <xf numFmtId="293" fontId="20" fillId="0" borderId="0" applyFill="0" applyBorder="0">
      <alignment horizontal="right" vertical="top"/>
    </xf>
    <xf numFmtId="294" fontId="156" fillId="0" borderId="0" applyFill="0" applyBorder="0">
      <alignment horizontal="right" vertical="top"/>
    </xf>
    <xf numFmtId="294" fontId="156" fillId="0" borderId="0" applyFill="0" applyBorder="0">
      <alignment horizontal="right" vertical="top"/>
    </xf>
    <xf numFmtId="3" fontId="210" fillId="0" borderId="134">
      <alignment vertical="center"/>
    </xf>
    <xf numFmtId="295" fontId="20" fillId="0" borderId="0" applyFill="0" applyBorder="0">
      <alignment horizontal="right" vertical="top"/>
    </xf>
    <xf numFmtId="296" fontId="156" fillId="0" borderId="0" applyFill="0" applyBorder="0">
      <alignment horizontal="right" vertical="top"/>
    </xf>
    <xf numFmtId="296" fontId="156" fillId="0" borderId="0" applyFill="0" applyBorder="0">
      <alignment horizontal="right" vertical="top"/>
    </xf>
    <xf numFmtId="3" fontId="210" fillId="0" borderId="134">
      <alignment vertical="center"/>
    </xf>
    <xf numFmtId="0" fontId="242" fillId="0" borderId="0">
      <alignment horizontal="left"/>
    </xf>
    <xf numFmtId="0" fontId="243" fillId="0" borderId="0">
      <alignment horizontal="center" wrapText="1"/>
    </xf>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5">
      <alignment horizontal="right" wrapText="1"/>
    </xf>
    <xf numFmtId="0" fontId="242" fillId="0" borderId="155">
      <alignment horizontal="right" wrapText="1"/>
    </xf>
    <xf numFmtId="0" fontId="242" fillId="0" borderId="155">
      <alignment horizontal="right" wrapText="1"/>
    </xf>
    <xf numFmtId="0" fontId="2" fillId="0" borderId="0" applyNumberFormat="0" applyFont="0" applyFill="0" applyBorder="0" applyAlignment="0" applyProtection="0"/>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5">
      <alignment horizontal="right" wrapText="1"/>
    </xf>
    <xf numFmtId="0" fontId="242" fillId="0" borderId="155">
      <alignment horizontal="right" wrapText="1"/>
    </xf>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97" fontId="244"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5">
      <alignment horizontal="right"/>
    </xf>
    <xf numFmtId="297" fontId="244" fillId="0" borderId="155">
      <alignment horizontal="right"/>
    </xf>
    <xf numFmtId="297" fontId="244" fillId="0" borderId="155">
      <alignment horizontal="right"/>
    </xf>
    <xf numFmtId="0" fontId="2" fillId="0" borderId="0" applyNumberFormat="0" applyFont="0" applyFill="0" applyBorder="0" applyAlignment="0" applyProtection="0"/>
    <xf numFmtId="0" fontId="245" fillId="0" borderId="0">
      <alignment vertical="center"/>
    </xf>
    <xf numFmtId="298" fontId="245" fillId="0" borderId="0">
      <alignment horizontal="left" vertical="center"/>
    </xf>
    <xf numFmtId="299" fontId="246" fillId="0" borderId="0">
      <alignment vertical="center"/>
    </xf>
    <xf numFmtId="0" fontId="42" fillId="0" borderId="0">
      <alignment vertical="center"/>
    </xf>
    <xf numFmtId="297" fontId="244"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5">
      <alignment horizontal="left"/>
    </xf>
    <xf numFmtId="297" fontId="244" fillId="0" borderId="155">
      <alignment horizontal="left"/>
    </xf>
    <xf numFmtId="0" fontId="2" fillId="0" borderId="0" applyNumberFormat="0" applyFont="0" applyFill="0" applyBorder="0" applyAlignment="0" applyProtection="0"/>
    <xf numFmtId="297" fontId="218" fillId="0" borderId="0" applyFill="0" applyBorder="0">
      <alignment vertical="top"/>
    </xf>
    <xf numFmtId="297" fontId="229" fillId="0" borderId="0" applyFill="0" applyBorder="0" applyProtection="0">
      <alignment vertical="top"/>
    </xf>
    <xf numFmtId="297" fontId="247" fillId="0" borderId="0">
      <alignment vertical="top"/>
    </xf>
    <xf numFmtId="297" fontId="156" fillId="0" borderId="0">
      <alignment horizontal="center"/>
    </xf>
    <xf numFmtId="297" fontId="248"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8" fillId="0" borderId="155">
      <alignment horizontal="center"/>
    </xf>
    <xf numFmtId="297" fontId="248"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196" fontId="156"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196" fontId="156"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1" fillId="0" borderId="0"/>
    <xf numFmtId="297"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0" fillId="0" borderId="134">
      <alignment vertical="center"/>
    </xf>
    <xf numFmtId="297"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4">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69">
      <alignment horizontal="centerContinuous"/>
    </xf>
    <xf numFmtId="0" fontId="166" fillId="0" borderId="62" applyNumberFormat="0" applyFill="0" applyBorder="0" applyAlignment="0"/>
    <xf numFmtId="300" fontId="254" fillId="0" borderId="0"/>
    <xf numFmtId="0" fontId="2" fillId="0" borderId="0" applyNumberFormat="0" applyFont="0" applyFill="0" applyBorder="0" applyAlignment="0" applyProtection="0"/>
    <xf numFmtId="0" fontId="10" fillId="0" borderId="0"/>
    <xf numFmtId="38" fontId="202" fillId="0" borderId="0"/>
    <xf numFmtId="301" fontId="255"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0" fillId="0" borderId="134">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295" fontId="258" fillId="68" borderId="0" applyNumberFormat="0" applyBorder="0" applyAlignment="0" applyProtection="0"/>
    <xf numFmtId="3" fontId="210" fillId="0" borderId="134">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60" fillId="0" borderId="0">
      <alignment horizontal="centerContinuous" vertical="center"/>
    </xf>
    <xf numFmtId="304" fontId="2" fillId="0" borderId="0" applyFont="0" applyFill="0" applyBorder="0" applyAlignment="0" applyProtection="0"/>
    <xf numFmtId="0" fontId="219" fillId="115" borderId="0">
      <alignment horizontal="left"/>
    </xf>
    <xf numFmtId="1" fontId="261" fillId="0" borderId="157">
      <alignment horizontal="left"/>
    </xf>
    <xf numFmtId="248"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10"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45" fillId="68" borderId="137"/>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8" fillId="111" borderId="0" applyBorder="0" applyAlignment="0"/>
    <xf numFmtId="306"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41" fillId="126" borderId="124"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64" fillId="109" borderId="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5" fillId="0" borderId="158" applyNumberFormat="0" applyFill="0" applyAlignment="0" applyProtection="0"/>
    <xf numFmtId="0" fontId="265" fillId="0" borderId="158" applyNumberFormat="0" applyFill="0" applyAlignment="0" applyProtection="0"/>
    <xf numFmtId="0" fontId="265" fillId="0" borderId="158" applyNumberFormat="0" applyFill="0" applyAlignment="0" applyProtection="0"/>
    <xf numFmtId="0" fontId="38" fillId="0" borderId="4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59" applyNumberFormat="0" applyFill="0" applyAlignment="0" applyProtection="0"/>
    <xf numFmtId="0" fontId="267" fillId="0" borderId="159" applyNumberFormat="0" applyFill="0" applyAlignment="0" applyProtection="0"/>
    <xf numFmtId="0" fontId="267" fillId="0" borderId="159"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60" applyNumberFormat="0" applyFill="0" applyAlignment="0" applyProtection="0"/>
    <xf numFmtId="0" fontId="269" fillId="0" borderId="160" applyNumberFormat="0" applyFill="0" applyAlignment="0" applyProtection="0"/>
    <xf numFmtId="0" fontId="269" fillId="0" borderId="160"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10" fillId="0" borderId="134">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7" fontId="258" fillId="0" borderId="0" applyNumberFormat="0" applyBorder="0" applyAlignment="0" applyProtection="0"/>
    <xf numFmtId="295" fontId="258" fillId="0" borderId="0" applyNumberFormat="0" applyBorder="0" applyAlignment="0" applyProtection="0"/>
    <xf numFmtId="3" fontId="210" fillId="0" borderId="134">
      <alignment vertical="center"/>
    </xf>
    <xf numFmtId="37" fontId="45" fillId="0" borderId="0"/>
    <xf numFmtId="295" fontId="45" fillId="0" borderId="0"/>
    <xf numFmtId="3" fontId="210" fillId="0" borderId="134">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8"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10" fillId="0" borderId="0"/>
    <xf numFmtId="0" fontId="10" fillId="0" borderId="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272" fillId="0" borderId="75">
      <protection locked="0"/>
    </xf>
    <xf numFmtId="0" fontId="272" fillId="0" borderId="75">
      <protection locked="0"/>
    </xf>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2" fillId="88" borderId="161">
      <alignment horizontal="right" vertical="center"/>
      <protection locked="0"/>
    </xf>
    <xf numFmtId="310" fontId="272" fillId="88" borderId="161">
      <alignment horizontal="right" vertical="center"/>
      <protection locked="0"/>
    </xf>
    <xf numFmtId="310" fontId="272" fillId="88" borderId="161">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 fontId="234" fillId="129"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4">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10" fillId="0" borderId="134">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71" borderId="123" applyFont="0" applyAlignment="0">
      <protection locked="0"/>
    </xf>
    <xf numFmtId="0" fontId="10" fillId="0" borderId="0"/>
    <xf numFmtId="0" fontId="10" fillId="0" borderId="0"/>
    <xf numFmtId="3" fontId="210" fillId="0" borderId="134">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84" fillId="53" borderId="0" applyNumberFormat="0" applyBorder="0" applyProtection="0">
      <alignment horizontal="center"/>
    </xf>
    <xf numFmtId="314"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15" fontId="2" fillId="0" borderId="0" applyFont="0" applyFill="0" applyBorder="0" applyAlignment="0" applyProtection="0"/>
    <xf numFmtId="316"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7" fontId="161"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17" fontId="229" fillId="96"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9" fillId="96"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260" fontId="258"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5" applyAlignment="0" applyProtection="0">
      <alignment horizontal="centerContinuous"/>
    </xf>
    <xf numFmtId="19" fontId="281" fillId="0" borderId="135" applyAlignment="0" applyProtection="0">
      <alignment horizontal="centerContinuous"/>
    </xf>
    <xf numFmtId="3" fontId="210"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10"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4"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1"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6" applyNumberFormat="0" applyFill="0" applyBorder="0" applyAlignment="0"/>
    <xf numFmtId="17" fontId="45" fillId="131" borderId="136" applyNumberFormat="0" applyFill="0" applyBorder="0" applyAlignment="0"/>
    <xf numFmtId="3" fontId="210" fillId="0" borderId="134">
      <alignment vertical="center"/>
    </xf>
    <xf numFmtId="3" fontId="210" fillId="0" borderId="134">
      <alignment vertical="center"/>
    </xf>
    <xf numFmtId="0" fontId="226" fillId="0" borderId="0" applyNumberFormat="0" applyFont="0" applyBorder="0" applyAlignment="0"/>
    <xf numFmtId="0" fontId="226"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24" fontId="212" fillId="0" borderId="0">
      <alignment horizontal="right" vertical="center" wrapText="1"/>
    </xf>
    <xf numFmtId="325"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7" fontId="283" fillId="0" borderId="0"/>
    <xf numFmtId="295" fontId="283"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238"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84" fillId="104" borderId="126">
      <alignment horizontal="center" vertical="top" wrapText="1"/>
    </xf>
    <xf numFmtId="0" fontId="284" fillId="104" borderId="126">
      <alignment horizontal="center" vertical="top" wrapText="1"/>
    </xf>
    <xf numFmtId="0" fontId="284" fillId="104" borderId="126">
      <alignment horizontal="center" vertical="top" wrapText="1"/>
    </xf>
    <xf numFmtId="0" fontId="284"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6">
      <alignment horizontal="center" vertical="top"/>
    </xf>
    <xf numFmtId="0" fontId="284"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27"/>
    <xf numFmtId="0" fontId="285"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6">
      <alignment horizontal="center" vertical="top" wrapText="1"/>
    </xf>
    <xf numFmtId="0" fontId="284" fillId="132" borderId="126">
      <alignment horizontal="center" vertical="top" wrapText="1"/>
    </xf>
    <xf numFmtId="0" fontId="284" fillId="132" borderId="126">
      <alignment horizontal="center" vertical="top" wrapText="1"/>
    </xf>
    <xf numFmtId="0" fontId="284"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5">
      <alignment horizontal="center" vertical="center"/>
    </xf>
    <xf numFmtId="0" fontId="284" fillId="132" borderId="125">
      <alignment horizontal="center" vertical="center"/>
    </xf>
    <xf numFmtId="0" fontId="2" fillId="0" borderId="0" applyNumberFormat="0" applyFont="0" applyFill="0" applyBorder="0" applyAlignment="0" applyProtection="0"/>
    <xf numFmtId="0" fontId="284" fillId="132" borderId="126">
      <alignment horizontal="center" vertical="center"/>
    </xf>
    <xf numFmtId="0" fontId="284" fillId="132" borderId="126">
      <alignment horizontal="center" vertical="center"/>
    </xf>
    <xf numFmtId="0" fontId="284" fillId="132" borderId="126">
      <alignment horizontal="center" vertical="center"/>
    </xf>
    <xf numFmtId="0" fontId="284" fillId="132" borderId="126">
      <alignment horizontal="center" vertical="center"/>
    </xf>
    <xf numFmtId="0" fontId="2" fillId="0" borderId="0" applyNumberFormat="0" applyFont="0" applyFill="0" applyBorder="0" applyAlignment="0" applyProtection="0"/>
    <xf numFmtId="0" fontId="284" fillId="104" borderId="124">
      <alignment horizontal="center" vertical="center"/>
    </xf>
    <xf numFmtId="0" fontId="284" fillId="104" borderId="124">
      <alignment horizontal="center" vertical="center"/>
    </xf>
    <xf numFmtId="0" fontId="284" fillId="104" borderId="124">
      <alignment horizontal="center" vertical="center"/>
    </xf>
    <xf numFmtId="0" fontId="284"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5">
      <alignment horizontal="center" vertical="center"/>
    </xf>
    <xf numFmtId="0" fontId="284" fillId="104" borderId="125">
      <alignment horizontal="center" vertical="center"/>
    </xf>
    <xf numFmtId="0" fontId="2" fillId="0" borderId="0" applyNumberFormat="0" applyFont="0" applyFill="0" applyBorder="0" applyAlignment="0" applyProtection="0"/>
    <xf numFmtId="0" fontId="284" fillId="104" borderId="126">
      <alignment horizontal="center" vertical="center"/>
    </xf>
    <xf numFmtId="0" fontId="284" fillId="104" borderId="126">
      <alignment horizontal="center" vertical="center"/>
    </xf>
    <xf numFmtId="0" fontId="284" fillId="104" borderId="126">
      <alignment horizontal="center" vertical="center"/>
    </xf>
    <xf numFmtId="0" fontId="284"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87"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3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238" fillId="0" borderId="75"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66"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10" fillId="0" borderId="0"/>
    <xf numFmtId="0" fontId="10" fillId="0" borderId="0"/>
    <xf numFmtId="0" fontId="10" fillId="0" borderId="0"/>
    <xf numFmtId="0" fontId="10" fillId="0" borderId="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173" fontId="234" fillId="134"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89"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5" applyNumberFormat="0" applyFont="0" applyBorder="0" applyAlignment="0" applyProtection="0">
      <alignment horizontal="center"/>
    </xf>
    <xf numFmtId="0" fontId="19" fillId="131"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9" fillId="96" borderId="75" applyNumberFormat="0" applyFont="0" applyBorder="0" applyAlignment="0" applyProtection="0">
      <alignment horizontal="center"/>
    </xf>
    <xf numFmtId="0" fontId="19" fillId="96"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61"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54" fillId="0" borderId="0"/>
    <xf numFmtId="0" fontId="2" fillId="0" borderId="0" applyNumberFormat="0" applyFont="0" applyFill="0" applyBorder="0" applyAlignment="0" applyProtection="0"/>
    <xf numFmtId="0" fontId="10" fillId="0" borderId="0"/>
    <xf numFmtId="0" fontId="46" fillId="69"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45" fillId="92"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7" fontId="296" fillId="0" borderId="0" applyNumberFormat="0" applyFill="0" applyBorder="0" applyAlignment="0" applyProtection="0"/>
    <xf numFmtId="295" fontId="296" fillId="0" borderId="0" applyNumberFormat="0" applyFill="0" applyBorder="0" applyAlignment="0" applyProtection="0"/>
    <xf numFmtId="3" fontId="210" fillId="0" borderId="134">
      <alignment vertical="center"/>
    </xf>
    <xf numFmtId="0" fontId="10" fillId="0" borderId="0"/>
    <xf numFmtId="0" fontId="178" fillId="111"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0" fillId="0" borderId="0"/>
    <xf numFmtId="0" fontId="10" fillId="0" borderId="0"/>
    <xf numFmtId="38" fontId="297" fillId="0" borderId="0">
      <alignment horizontal="center"/>
    </xf>
    <xf numFmtId="0" fontId="10" fillId="0" borderId="0"/>
    <xf numFmtId="0" fontId="298"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165" fontId="299"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301" fillId="139" borderId="0"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2"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2" applyProtection="0">
      <alignment horizontal="right" vertical="center"/>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302" fillId="0" borderId="0"/>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303" fillId="0" borderId="0"/>
    <xf numFmtId="341" fontId="161" fillId="0" borderId="0"/>
    <xf numFmtId="342" fontId="161" fillId="0" borderId="0"/>
    <xf numFmtId="0" fontId="211" fillId="0" borderId="26"/>
    <xf numFmtId="0" fontId="304"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73">
      <alignment horizontal="right"/>
    </xf>
    <xf numFmtId="0" fontId="307" fillId="141" borderId="0"/>
    <xf numFmtId="0" fontId="305" fillId="69" borderId="173">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9" fillId="0" borderId="0">
      <alignment horizontal="right"/>
    </xf>
    <xf numFmtId="0" fontId="232" fillId="0" borderId="0"/>
    <xf numFmtId="164" fontId="202" fillId="142" borderId="0" applyNumberFormat="0" applyFont="0"/>
    <xf numFmtId="0" fontId="161" fillId="143" borderId="0" applyNumberFormat="0" applyFont="0" applyBorder="0" applyAlignment="0" applyProtection="0"/>
    <xf numFmtId="346" fontId="309"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10" fillId="0" borderId="134">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87" fontId="2" fillId="69" borderId="123" applyFont="0">
      <alignment horizontal="right"/>
    </xf>
    <xf numFmtId="0" fontId="10" fillId="0" borderId="0"/>
    <xf numFmtId="187" fontId="2" fillId="69" borderId="123" applyFont="0">
      <alignment horizontal="right"/>
    </xf>
    <xf numFmtId="0" fontId="2" fillId="0" borderId="0" applyNumberFormat="0" applyFont="0" applyFill="0" applyBorder="0" applyAlignment="0" applyProtection="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65" fontId="310"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74" applyNumberFormat="0" applyBorder="0">
      <alignment horizontal="centerContinuous"/>
    </xf>
    <xf numFmtId="0" fontId="311" fillId="105" borderId="174" applyNumberFormat="0" applyBorder="0">
      <alignment horizontal="centerContinuous"/>
    </xf>
    <xf numFmtId="0" fontId="311" fillId="105" borderId="174" applyNumberFormat="0" applyBorder="0">
      <alignment horizontal="centerContinuous"/>
    </xf>
    <xf numFmtId="0" fontId="311" fillId="105" borderId="174"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45" fillId="0" borderId="0" applyNumberFormat="0"/>
    <xf numFmtId="0" fontId="10" fillId="0" borderId="0"/>
    <xf numFmtId="165"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3" fillId="0" borderId="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2" fillId="68" borderId="0">
      <alignment horizontal="center"/>
    </xf>
    <xf numFmtId="0" fontId="2" fillId="0" borderId="0" applyNumberFormat="0" applyFont="0" applyFill="0" applyBorder="0" applyAlignment="0" applyProtection="0"/>
    <xf numFmtId="0" fontId="10" fillId="0" borderId="0"/>
    <xf numFmtId="236"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3" applyNumberFormat="0" applyFont="0" applyFill="0" applyBorder="0" applyAlignment="0">
      <protection hidden="1"/>
    </xf>
    <xf numFmtId="0" fontId="10" fillId="0" borderId="0"/>
    <xf numFmtId="0" fontId="161" fillId="0" borderId="123" applyNumberFormat="0" applyFont="0" applyFill="0" applyBorder="0" applyAlignment="0">
      <protection hidden="1"/>
    </xf>
    <xf numFmtId="0" fontId="10" fillId="0" borderId="0"/>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3" fontId="210" fillId="0" borderId="134">
      <alignment vertical="center"/>
    </xf>
    <xf numFmtId="0" fontId="2" fillId="0" borderId="0" applyNumberFormat="0" applyFont="0" applyFill="0" applyBorder="0" applyAlignment="0" applyProtection="0"/>
    <xf numFmtId="0" fontId="10" fillId="0" borderId="0"/>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144" borderId="123" applyFont="0"/>
    <xf numFmtId="0" fontId="10" fillId="0" borderId="0"/>
    <xf numFmtId="0" fontId="10" fillId="0" borderId="0"/>
    <xf numFmtId="3" fontId="210" fillId="0" borderId="134">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93" borderId="123" applyFont="0"/>
    <xf numFmtId="0" fontId="10" fillId="0" borderId="0"/>
    <xf numFmtId="0" fontId="10" fillId="0" borderId="0"/>
    <xf numFmtId="3" fontId="210" fillId="0" borderId="134">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317" fillId="0" borderId="175" applyNumberFormat="0" applyAlignment="0" applyProtection="0"/>
    <xf numFmtId="0" fontId="318"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5" applyNumberFormat="0" applyProtection="0">
      <alignment horizontal="left" vertical="top"/>
    </xf>
    <xf numFmtId="0" fontId="321" fillId="0" borderId="125" applyNumberFormat="0" applyProtection="0">
      <alignment horizontal="left" vertical="top"/>
    </xf>
    <xf numFmtId="0" fontId="2" fillId="0" borderId="0" applyNumberFormat="0" applyFont="0" applyFill="0" applyBorder="0" applyAlignment="0" applyProtection="0"/>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22" fillId="0" borderId="0" applyNumberFormat="0" applyFill="0" applyBorder="0" applyProtection="0">
      <alignment horizontal="right" vertical="top"/>
    </xf>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8" fillId="0" borderId="107" applyNumberFormat="0" applyFill="0" applyAlignment="0" applyProtection="0">
      <alignment vertical="top"/>
    </xf>
    <xf numFmtId="0" fontId="318" fillId="0" borderId="107" applyNumberFormat="0" applyFill="0" applyAlignment="0" applyProtection="0">
      <alignment vertical="top"/>
    </xf>
    <xf numFmtId="349"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77" fontId="323"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lignment horizontal="centerContinuous"/>
    </xf>
    <xf numFmtId="0" fontId="10" fillId="0" borderId="0"/>
    <xf numFmtId="0" fontId="10" fillId="0" borderId="0"/>
    <xf numFmtId="3" fontId="210" fillId="0" borderId="134">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79"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51" fontId="329" fillId="0" borderId="0">
      <protection locked="0"/>
    </xf>
    <xf numFmtId="351"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38" fillId="0" borderId="41" applyNumberFormat="0" applyFill="0" applyAlignment="0" applyProtection="0"/>
    <xf numFmtId="0" fontId="10" fillId="0" borderId="0"/>
    <xf numFmtId="0" fontId="10" fillId="0" borderId="0"/>
    <xf numFmtId="0" fontId="10" fillId="0" borderId="0"/>
    <xf numFmtId="0" fontId="39" fillId="0" borderId="42" applyNumberFormat="0" applyFill="0" applyAlignment="0" applyProtection="0"/>
    <xf numFmtId="0" fontId="10" fillId="0" borderId="0"/>
    <xf numFmtId="0" fontId="10" fillId="0" borderId="0"/>
    <xf numFmtId="0" fontId="10" fillId="0" borderId="0"/>
    <xf numFmtId="0" fontId="40" fillId="0" borderId="43"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2"/>
    <xf numFmtId="0" fontId="10" fillId="0" borderId="0"/>
    <xf numFmtId="0" fontId="332" fillId="0" borderId="102"/>
    <xf numFmtId="0" fontId="10" fillId="0" borderId="0"/>
    <xf numFmtId="0" fontId="332" fillId="0" borderId="102"/>
    <xf numFmtId="0" fontId="10" fillId="0" borderId="0"/>
    <xf numFmtId="0" fontId="332" fillId="0" borderId="102"/>
    <xf numFmtId="0" fontId="332" fillId="0" borderId="102"/>
    <xf numFmtId="246" fontId="254"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10"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202" fillId="0" borderId="181">
      <alignment horizontal="right"/>
    </xf>
    <xf numFmtId="0" fontId="273"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2" applyProtection="0">
      <alignment horizontal="center"/>
    </xf>
    <xf numFmtId="0" fontId="273" fillId="0" borderId="182" applyProtection="0">
      <alignment horizontal="center"/>
    </xf>
    <xf numFmtId="0" fontId="273" fillId="0" borderId="182" applyProtection="0">
      <alignment horizontal="center"/>
    </xf>
    <xf numFmtId="0" fontId="273" fillId="0" borderId="182" applyProtection="0">
      <alignment horizont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5" fillId="69" borderId="0">
      <alignment horizontal="center"/>
    </xf>
    <xf numFmtId="0" fontId="105" fillId="69" borderId="0">
      <alignment horizontal="center"/>
    </xf>
    <xf numFmtId="3" fontId="210" fillId="0" borderId="134">
      <alignment vertical="center"/>
    </xf>
    <xf numFmtId="0" fontId="333" fillId="104" borderId="0" applyNumberFormat="0" applyBorder="0"/>
    <xf numFmtId="0" fontId="186" fillId="0" borderId="183" applyNumberFormat="0" applyFont="0" applyFill="0" applyAlignment="0"/>
    <xf numFmtId="0" fontId="334"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80" fillId="0" borderId="62" applyNumberFormat="0" applyBorder="0">
      <protection locked="0"/>
    </xf>
    <xf numFmtId="37" fontId="335" fillId="111" borderId="0"/>
    <xf numFmtId="37" fontId="161" fillId="150" borderId="123" applyNumberFormat="0" applyAlignment="0" applyProtection="0"/>
    <xf numFmtId="0" fontId="2" fillId="0" borderId="0" applyNumberFormat="0" applyFont="0" applyFill="0" applyBorder="0" applyAlignment="0" applyProtection="0"/>
    <xf numFmtId="37" fontId="161" fillId="150" borderId="123" applyNumberFormat="0" applyAlignment="0" applyProtection="0"/>
    <xf numFmtId="37" fontId="161" fillId="150" borderId="123" applyNumberFormat="0" applyAlignment="0" applyProtection="0"/>
    <xf numFmtId="37" fontId="161" fillId="150" borderId="123" applyNumberFormat="0" applyAlignment="0" applyProtection="0"/>
    <xf numFmtId="37" fontId="161" fillId="150" borderId="123" applyNumberFormat="0" applyAlignment="0" applyProtection="0"/>
    <xf numFmtId="3" fontId="210" fillId="0" borderId="134">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1"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07">
      <alignment horizontal="center"/>
    </xf>
    <xf numFmtId="43" fontId="2" fillId="0" borderId="0" applyNumberFormat="0" applyFont="0" applyBorder="0" applyAlignment="0">
      <protection locked="0"/>
    </xf>
    <xf numFmtId="2" fontId="335" fillId="111" borderId="0" applyNumberFormat="0" applyFill="0" applyBorder="0" applyAlignment="0" applyProtection="0"/>
    <xf numFmtId="352"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38" fontId="2" fillId="0" borderId="0"/>
    <xf numFmtId="2" fontId="234"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165" fontId="340" fillId="69"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354" fontId="2" fillId="0" borderId="0" applyFont="0" applyFill="0" applyBorder="0" applyAlignment="0" applyProtection="0"/>
    <xf numFmtId="355" fontId="255" fillId="0" borderId="0">
      <protection locked="0"/>
    </xf>
    <xf numFmtId="0" fontId="10" fillId="0" borderId="0"/>
    <xf numFmtId="0" fontId="10" fillId="0" borderId="0"/>
    <xf numFmtId="0" fontId="10" fillId="0" borderId="0"/>
    <xf numFmtId="0" fontId="24" fillId="64" borderId="39" applyNumberFormat="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4">
      <alignment vertical="center"/>
    </xf>
    <xf numFmtId="0" fontId="310" fillId="0" borderId="0" applyProtection="0">
      <alignment horizontal="center"/>
    </xf>
    <xf numFmtId="0" fontId="10" fillId="0" borderId="0"/>
    <xf numFmtId="3" fontId="210" fillId="0" borderId="134">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4">
      <alignment vertical="center"/>
    </xf>
    <xf numFmtId="0" fontId="45" fillId="0" borderId="0" applyNumberFormat="0" applyFill="0" applyBorder="0" applyProtection="0">
      <alignment horizontal="left"/>
    </xf>
    <xf numFmtId="331"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45" fillId="0" borderId="184" applyNumberFormat="0"/>
    <xf numFmtId="14" fontId="161" fillId="0" borderId="0" applyFont="0" applyFill="0" applyBorder="0" applyProtection="0"/>
    <xf numFmtId="16" fontId="161" fillId="0" borderId="0" applyFont="0" applyFill="0" applyBorder="0" applyProtection="0"/>
    <xf numFmtId="3" fontId="210" fillId="0" borderId="134">
      <alignment vertical="center"/>
    </xf>
    <xf numFmtId="358" fontId="344"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08" fontId="346" fillId="0" borderId="0" applyFont="0" applyFill="0" applyBorder="0" applyAlignment="0" applyProtection="0"/>
    <xf numFmtId="209" fontId="346" fillId="0" borderId="0" applyFont="0" applyFill="0" applyBorder="0" applyAlignment="0" applyProtection="0"/>
    <xf numFmtId="207" fontId="346" fillId="0" borderId="0" applyFont="0" applyFill="0" applyBorder="0" applyAlignment="0" applyProtection="0"/>
    <xf numFmtId="210"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7" fillId="0" borderId="0" applyNumberFormat="0" applyFill="0" applyBorder="0" applyAlignment="0" applyProtection="0"/>
    <xf numFmtId="3" fontId="2" fillId="74" borderId="191" applyFont="0">
      <alignment horizontal="right" vertical="center"/>
      <protection locked="0"/>
    </xf>
    <xf numFmtId="0" fontId="45" fillId="69" borderId="187" applyFont="0" applyBorder="0">
      <alignment horizontal="center" wrapText="1"/>
    </xf>
    <xf numFmtId="0" fontId="148" fillId="69" borderId="190" applyNumberFormat="0" applyFill="0" applyBorder="0" applyAlignment="0" applyProtection="0">
      <alignment horizontal="left"/>
    </xf>
    <xf numFmtId="0" fontId="1" fillId="0" borderId="0"/>
    <xf numFmtId="0" fontId="175" fillId="0" borderId="195"/>
    <xf numFmtId="244" fontId="177"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247"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0" fontId="184" fillId="108" borderId="197" applyNumberFormat="0" applyAlignment="0" applyProtection="0"/>
    <xf numFmtId="0" fontId="184" fillId="108" borderId="197" applyNumberFormat="0" applyAlignment="0" applyProtection="0"/>
    <xf numFmtId="252" fontId="105" fillId="0" borderId="197" applyNumberFormat="0" applyFont="0" applyFill="0" applyAlignment="0">
      <alignment vertical="center"/>
    </xf>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252" fontId="105" fillId="0" borderId="197" applyNumberFormat="0" applyFont="0" applyFill="0" applyAlignment="0">
      <alignment vertical="center"/>
    </xf>
    <xf numFmtId="0" fontId="105" fillId="0" borderId="197" applyNumberFormat="0" applyFont="0" applyFill="0"/>
    <xf numFmtId="252" fontId="105" fillId="0" borderId="197" applyNumberFormat="0" applyFont="0" applyFill="0" applyAlignment="0">
      <alignment vertical="center"/>
    </xf>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202" fillId="0" borderId="186" applyNumberFormat="0" applyFont="0" applyFill="0" applyAlignment="0" applyProtection="0"/>
    <xf numFmtId="0" fontId="150" fillId="0" borderId="190" applyNumberFormat="0" applyFont="0" applyFill="0" applyAlignment="0" applyProtection="0"/>
    <xf numFmtId="0" fontId="150" fillId="0" borderId="190" applyNumberFormat="0" applyFont="0" applyFill="0" applyAlignment="0" applyProtection="0"/>
    <xf numFmtId="0" fontId="150" fillId="0" borderId="190" applyNumberFormat="0" applyFont="0" applyFill="0" applyAlignment="0" applyProtection="0"/>
    <xf numFmtId="0" fontId="150" fillId="0" borderId="195" applyNumberFormat="0" applyFont="0" applyFill="0" applyAlignment="0" applyProtection="0"/>
    <xf numFmtId="0" fontId="150" fillId="0" borderId="195"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1" borderId="190">
      <protection hidden="1"/>
    </xf>
    <xf numFmtId="0" fontId="205" fillId="0" borderId="190" applyBorder="0"/>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vertical="center"/>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201" fontId="2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1" fillId="0" borderId="198" applyNumberFormat="0" applyFill="0" applyBorder="0" applyAlignment="0" applyProtection="0">
      <alignment horizontal="center"/>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3" fillId="0" borderId="0" applyFont="0" applyFill="0" applyBorder="0" applyAlignment="0" applyProtection="0">
      <alignment horizontal="righ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33" fillId="120" borderId="191" applyNumberFormat="0" applyBorder="0" applyAlignment="0">
      <alignment horizontal="center"/>
      <protection locked="0"/>
    </xf>
    <xf numFmtId="0" fontId="233" fillId="120" borderId="191" applyNumberFormat="0" applyBorder="0" applyAlignment="0">
      <alignment horizontal="center"/>
      <protection locked="0"/>
    </xf>
    <xf numFmtId="3" fontId="234" fillId="121" borderId="198" applyNumberFormat="0" applyBorder="0" applyAlignment="0" applyProtection="0">
      <protection hidden="1"/>
    </xf>
    <xf numFmtId="281" fontId="2" fillId="0" borderId="0" applyFont="0" applyFill="0" applyBorder="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3" borderId="193" applyAlignment="0" applyProtection="0"/>
    <xf numFmtId="0" fontId="45" fillId="113" borderId="193" applyAlignment="0" applyProtection="0"/>
    <xf numFmtId="0" fontId="45" fillId="113" borderId="193" applyAlignment="0" applyProtection="0"/>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37" fillId="0" borderId="193">
      <alignment horizontal="left" vertical="center"/>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0" borderId="0" applyNumberFormat="0" applyFont="0" applyFill="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2" fontId="234" fillId="129" borderId="196" applyNumberFormat="0" applyBorder="0" applyAlignment="0" applyProtection="0">
      <alignment horizontal="center"/>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49" fontId="2" fillId="71" borderId="191" applyFont="0" applyAlignment="0">
      <protection locked="0"/>
    </xf>
    <xf numFmtId="49" fontId="2" fillId="71" borderId="191" applyFont="0" applyAlignment="0">
      <protection locked="0"/>
    </xf>
    <xf numFmtId="317" fontId="161" fillId="0" borderId="196" applyBorder="0"/>
    <xf numFmtId="253" fontId="229" fillId="96" borderId="196" applyBorder="0"/>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2" fontId="234" fillId="107" borderId="191" applyNumberFormat="0" applyBorder="0" applyAlignment="0">
      <protection locked="0"/>
    </xf>
    <xf numFmtId="3" fontId="210" fillId="0" borderId="134">
      <alignment vertical="center"/>
    </xf>
    <xf numFmtId="37" fontId="202" fillId="0" borderId="0" applyNumberFormat="0" applyFill="0" applyAlignment="0"/>
    <xf numFmtId="0" fontId="284" fillId="104" borderId="192">
      <alignment horizontal="center" vertical="top" wrapText="1"/>
    </xf>
    <xf numFmtId="0" fontId="284" fillId="104" borderId="192">
      <alignment horizontal="center" vertical="top" wrapText="1"/>
    </xf>
    <xf numFmtId="0" fontId="284" fillId="104" borderId="192">
      <alignment horizontal="center" vertical="top" wrapText="1"/>
    </xf>
    <xf numFmtId="0" fontId="284" fillId="104" borderId="192">
      <alignment horizontal="center" vertical="top" wrapText="1"/>
    </xf>
    <xf numFmtId="0" fontId="2" fillId="0" borderId="193"/>
    <xf numFmtId="0" fontId="2" fillId="0" borderId="193"/>
    <xf numFmtId="0" fontId="2" fillId="0" borderId="193"/>
    <xf numFmtId="0" fontId="2" fillId="0" borderId="193"/>
    <xf numFmtId="0" fontId="45" fillId="70" borderId="187"/>
    <xf numFmtId="0" fontId="45" fillId="70" borderId="187"/>
    <xf numFmtId="0" fontId="45" fillId="70" borderId="187"/>
    <xf numFmtId="0" fontId="45" fillId="70"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4" fillId="132" borderId="192">
      <alignment horizontal="center" vertical="top"/>
    </xf>
    <xf numFmtId="0" fontId="284" fillId="132"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5" fillId="70" borderId="198"/>
    <xf numFmtId="0" fontId="285" fillId="70"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4" fillId="132" borderId="192">
      <alignment horizontal="center" vertical="top" wrapText="1"/>
    </xf>
    <xf numFmtId="0" fontId="284" fillId="132" borderId="192">
      <alignment horizontal="center" vertical="top" wrapText="1"/>
    </xf>
    <xf numFmtId="0" fontId="284" fillId="132" borderId="192">
      <alignment horizontal="center" vertical="top" wrapText="1"/>
    </xf>
    <xf numFmtId="0" fontId="284" fillId="132" borderId="192">
      <alignment horizontal="center" vertical="top" wrapText="1"/>
    </xf>
    <xf numFmtId="3" fontId="2" fillId="0" borderId="193"/>
    <xf numFmtId="3" fontId="2" fillId="0" borderId="193"/>
    <xf numFmtId="3" fontId="2" fillId="0" borderId="193"/>
    <xf numFmtId="3" fontId="2" fillId="0" borderId="193"/>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93">
      <alignment horizontal="center"/>
    </xf>
    <xf numFmtId="0" fontId="45" fillId="70" borderId="193">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88">
      <alignment horizontal="left" vertical="top"/>
    </xf>
    <xf numFmtId="0" fontId="45" fillId="70" borderId="188">
      <alignment horizontal="left" vertical="top"/>
    </xf>
    <xf numFmtId="0" fontId="45" fillId="70" borderId="188">
      <alignment horizontal="left" vertical="top"/>
    </xf>
    <xf numFmtId="0" fontId="284" fillId="132" borderId="193">
      <alignment horizontal="center" vertical="center"/>
    </xf>
    <xf numFmtId="0" fontId="284" fillId="132" borderId="193">
      <alignment horizontal="center" vertical="center"/>
    </xf>
    <xf numFmtId="0" fontId="284" fillId="132" borderId="192">
      <alignment horizontal="center" vertical="center"/>
    </xf>
    <xf numFmtId="0" fontId="284" fillId="132" borderId="192">
      <alignment horizontal="center" vertical="center"/>
    </xf>
    <xf numFmtId="0" fontId="284" fillId="132" borderId="192">
      <alignment horizontal="center" vertical="center"/>
    </xf>
    <xf numFmtId="0" fontId="284" fillId="132" borderId="192">
      <alignment horizontal="center" vertical="center"/>
    </xf>
    <xf numFmtId="0" fontId="284" fillId="104" borderId="187">
      <alignment horizontal="center" vertical="center"/>
    </xf>
    <xf numFmtId="0" fontId="284" fillId="104" borderId="187">
      <alignment horizontal="center" vertical="center"/>
    </xf>
    <xf numFmtId="0" fontId="284" fillId="104" borderId="187">
      <alignment horizontal="center" vertical="center"/>
    </xf>
    <xf numFmtId="0" fontId="284" fillId="104" borderId="187">
      <alignment horizontal="center" vertical="center"/>
    </xf>
    <xf numFmtId="0" fontId="284" fillId="104" borderId="193">
      <alignment horizontal="center" vertical="center"/>
    </xf>
    <xf numFmtId="0" fontId="284" fillId="104" borderId="193">
      <alignment horizontal="center" vertical="center"/>
    </xf>
    <xf numFmtId="0" fontId="284" fillId="104" borderId="192">
      <alignment horizontal="center" vertical="center"/>
    </xf>
    <xf numFmtId="0" fontId="284" fillId="104" borderId="192">
      <alignment horizontal="center" vertical="center"/>
    </xf>
    <xf numFmtId="0" fontId="284" fillId="104" borderId="192">
      <alignment horizontal="center" vertical="center"/>
    </xf>
    <xf numFmtId="0" fontId="284" fillId="104"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87" fillId="0" borderId="196"/>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173" fontId="234" fillId="134" borderId="196" applyNumberFormat="0" applyBorder="0" applyAlignment="0" applyProtection="0">
      <alignment horizontal="center"/>
      <protection hidden="1"/>
    </xf>
    <xf numFmtId="3" fontId="288" fillId="57" borderId="191" applyNumberFormat="0" applyBorder="0" applyAlignment="0" applyProtection="0">
      <protection hidden="1"/>
    </xf>
    <xf numFmtId="3" fontId="289" fillId="135" borderId="198" applyNumberFormat="0" applyBorder="0" applyAlignment="0" applyProtection="0">
      <protection hidden="1"/>
    </xf>
    <xf numFmtId="0" fontId="19" fillId="131" borderId="196" applyNumberFormat="0" applyFont="0" applyBorder="0" applyAlignment="0" applyProtection="0">
      <alignment horizontal="center"/>
    </xf>
    <xf numFmtId="0" fontId="19" fillId="131"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61" fillId="0" borderId="199" applyNumberFormat="0" applyAlignment="0" applyProtection="0"/>
    <xf numFmtId="0" fontId="10" fillId="0" borderId="0"/>
    <xf numFmtId="0" fontId="46" fillId="69" borderId="190">
      <alignment horizontal="center"/>
    </xf>
    <xf numFmtId="0" fontId="41" fillId="0" borderId="186">
      <alignment horizontal="center"/>
    </xf>
    <xf numFmtId="0" fontId="45" fillId="92" borderId="190" applyNumberFormat="0" applyBorder="0" applyAlignment="0"/>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0" fontId="298" fillId="45" borderId="191"/>
    <xf numFmtId="0" fontId="2" fillId="0" borderId="200">
      <alignment vertical="center"/>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 fontId="2" fillId="69" borderId="191" applyFont="0">
      <alignment horizontal="right"/>
    </xf>
    <xf numFmtId="3" fontId="2" fillId="69" borderId="191" applyFont="0">
      <alignment horizontal="right"/>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 fontId="2" fillId="68" borderId="193" applyBorder="0"/>
    <xf numFmtId="3" fontId="2" fillId="68" borderId="193" applyBorder="0"/>
    <xf numFmtId="3" fontId="2" fillId="68" borderId="193" applyBorder="0"/>
    <xf numFmtId="3" fontId="2" fillId="68" borderId="193" applyBorder="0"/>
    <xf numFmtId="3" fontId="2" fillId="68" borderId="193" applyBorder="0"/>
    <xf numFmtId="2" fontId="314" fillId="0" borderId="196" applyNumberFormat="0" applyFill="0" applyBorder="0" applyAlignment="0" applyProtection="0">
      <alignment horizontal="center"/>
      <protection locked="0"/>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49" fontId="2" fillId="144" borderId="191" applyFont="0"/>
    <xf numFmtId="49" fontId="2" fillId="144"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49" fontId="2" fillId="93" borderId="191" applyFont="0"/>
    <xf numFmtId="49" fontId="2" fillId="93" borderId="191" applyFont="0"/>
    <xf numFmtId="0" fontId="321" fillId="0" borderId="193" applyNumberFormat="0" applyProtection="0">
      <alignment horizontal="left" vertical="top"/>
    </xf>
    <xf numFmtId="0" fontId="321" fillId="0" borderId="193" applyNumberFormat="0" applyProtection="0">
      <alignment horizontal="left" vertical="top"/>
    </xf>
    <xf numFmtId="0" fontId="321" fillId="0" borderId="193" applyNumberFormat="0" applyProtection="0">
      <alignment horizontal="lef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6" fillId="0" borderId="190" applyFill="0" applyBorder="0" applyProtection="0">
      <alignment horizontal="left" vertical="top"/>
    </xf>
    <xf numFmtId="0" fontId="186" fillId="131" borderId="202" applyNumberFormat="0" applyFont="0">
      <alignment horizontal="center" vertical="center"/>
    </xf>
    <xf numFmtId="350" fontId="45" fillId="68" borderId="198" applyNumberFormat="0" applyBorder="0" applyAlignment="0">
      <alignment horizontal="right"/>
    </xf>
    <xf numFmtId="0" fontId="332" fillId="0" borderId="188"/>
    <xf numFmtId="0" fontId="332" fillId="0" borderId="188"/>
    <xf numFmtId="0" fontId="332" fillId="0" borderId="188"/>
    <xf numFmtId="0" fontId="332" fillId="0" borderId="188"/>
    <xf numFmtId="0" fontId="332"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334" fillId="0" borderId="198" applyNumberFormat="0" applyFill="0" applyBorder="0" applyAlignment="0" applyProtection="0">
      <alignment horizontal="center"/>
      <protection locked="0"/>
    </xf>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4" fillId="69" borderId="191" applyBorder="0" applyAlignment="0"/>
    <xf numFmtId="165" fontId="340" fillId="69" borderId="190">
      <alignment horizontal="center"/>
    </xf>
    <xf numFmtId="0" fontId="347" fillId="0" borderId="0" applyNumberFormat="0" applyFill="0" applyBorder="0" applyAlignment="0" applyProtection="0"/>
    <xf numFmtId="0" fontId="1" fillId="0" borderId="0"/>
    <xf numFmtId="0" fontId="1" fillId="0" borderId="0"/>
  </cellStyleXfs>
  <cellXfs count="846">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8"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8"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85" fillId="0" borderId="0" xfId="0" applyFont="1" applyAlignment="1">
      <alignment wrapText="1"/>
    </xf>
    <xf numFmtId="0" fontId="2" fillId="0" borderId="19" xfId="0" applyFont="1" applyBorder="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7" xfId="0" applyFont="1" applyBorder="1"/>
    <xf numFmtId="0" fontId="46" fillId="0" borderId="0" xfId="11" applyFont="1" applyAlignment="1">
      <alignment horizontal="right"/>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0" fontId="2" fillId="0" borderId="17"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7"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0" fontId="45" fillId="0" borderId="0" xfId="11" applyFont="1"/>
    <xf numFmtId="0" fontId="84" fillId="0" borderId="4"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59" xfId="0" applyNumberFormat="1" applyFont="1" applyBorder="1" applyAlignment="1">
      <alignment horizontal="center"/>
    </xf>
    <xf numFmtId="167" fontId="85" fillId="0" borderId="0" xfId="0" applyNumberFormat="1" applyFont="1" applyAlignment="1">
      <alignment horizontal="center"/>
    </xf>
    <xf numFmtId="167" fontId="84" fillId="0" borderId="57" xfId="0" applyNumberFormat="1" applyFont="1" applyBorder="1" applyAlignment="1">
      <alignment horizontal="center"/>
    </xf>
    <xf numFmtId="167" fontId="92" fillId="0" borderId="0" xfId="0" applyNumberFormat="1" applyFont="1" applyAlignment="1">
      <alignment horizontal="center"/>
    </xf>
    <xf numFmtId="167" fontId="84" fillId="0" borderId="60" xfId="0" applyNumberFormat="1" applyFont="1" applyBorder="1" applyAlignment="1">
      <alignment horizontal="center"/>
    </xf>
    <xf numFmtId="167" fontId="90" fillId="0" borderId="0" xfId="0" applyNumberFormat="1" applyFont="1" applyAlignment="1">
      <alignment horizontal="center"/>
    </xf>
    <xf numFmtId="167" fontId="84" fillId="0" borderId="61" xfId="0" applyNumberFormat="1" applyFont="1" applyBorder="1" applyAlignment="1">
      <alignment horizontal="center"/>
    </xf>
    <xf numFmtId="0" fontId="84" fillId="0" borderId="17" xfId="0" applyFont="1" applyBorder="1" applyAlignment="1">
      <alignment vertical="center"/>
    </xf>
    <xf numFmtId="0" fontId="2" fillId="3" borderId="20" xfId="9" applyFont="1" applyFill="1" applyBorder="1" applyAlignment="1" applyProtection="1">
      <alignment horizontal="left" vertical="center"/>
      <protection locked="0"/>
    </xf>
    <xf numFmtId="0" fontId="45" fillId="3" borderId="21" xfId="16" applyFont="1" applyFill="1" applyBorder="1" applyProtection="1">
      <protection locked="0"/>
    </xf>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ill="1" applyBorder="1" applyAlignment="1" applyProtection="1">
      <alignment horizontal="right" vertical="center"/>
      <protection locked="0"/>
    </xf>
    <xf numFmtId="0" fontId="45" fillId="3" borderId="22" xfId="16" applyFont="1" applyFill="1" applyBorder="1" applyProtection="1">
      <protection locked="0"/>
    </xf>
    <xf numFmtId="0" fontId="84" fillId="0" borderId="15" xfId="0" applyFont="1" applyBorder="1"/>
    <xf numFmtId="0" fontId="89" fillId="0" borderId="0" xfId="0" applyFont="1" applyAlignment="1">
      <alignment wrapText="1"/>
    </xf>
    <xf numFmtId="0" fontId="84" fillId="0" borderId="17" xfId="0" applyFont="1" applyBorder="1"/>
    <xf numFmtId="0" fontId="84" fillId="0" borderId="3" xfId="0" applyFont="1" applyBorder="1"/>
    <xf numFmtId="0" fontId="84" fillId="0" borderId="62" xfId="0" applyFont="1" applyBorder="1" applyAlignment="1">
      <alignment wrapText="1"/>
    </xf>
    <xf numFmtId="0" fontId="84" fillId="0" borderId="20" xfId="0" applyFont="1" applyBorder="1"/>
    <xf numFmtId="0" fontId="86" fillId="0" borderId="21" xfId="0" applyFont="1" applyBorder="1"/>
    <xf numFmtId="0" fontId="2" fillId="0" borderId="3" xfId="13" applyFont="1" applyBorder="1" applyAlignment="1" applyProtection="1">
      <alignment horizontal="center" vertical="center" wrapText="1"/>
      <protection locked="0"/>
    </xf>
    <xf numFmtId="0" fontId="45" fillId="0" borderId="24"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0" fontId="2" fillId="0" borderId="14" xfId="11" applyBorder="1" applyAlignment="1">
      <alignment vertical="center"/>
    </xf>
    <xf numFmtId="0" fontId="2" fillId="0" borderId="15"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3" xfId="0" applyFont="1" applyBorder="1"/>
    <xf numFmtId="0" fontId="3" fillId="0" borderId="54"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7" fillId="0" borderId="0" xfId="0" applyFont="1"/>
    <xf numFmtId="0" fontId="3" fillId="0" borderId="62" xfId="0"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0" fontId="86" fillId="0" borderId="0" xfId="0" applyFont="1" applyAlignment="1">
      <alignment horizontal="center" wrapText="1"/>
    </xf>
    <xf numFmtId="0" fontId="84" fillId="0" borderId="67" xfId="0" applyFont="1" applyBorder="1" applyAlignment="1">
      <alignment vertical="center" wrapText="1"/>
    </xf>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5"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7" xfId="0" applyFont="1" applyFill="1" applyBorder="1" applyAlignment="1">
      <alignment horizontal="left"/>
    </xf>
    <xf numFmtId="0" fontId="99"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0" borderId="66"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17" xfId="0" applyFont="1" applyBorder="1" applyAlignment="1">
      <alignment horizontal="center" vertical="center"/>
    </xf>
    <xf numFmtId="0" fontId="3" fillId="0" borderId="79" xfId="0" applyFont="1" applyBorder="1" applyAlignment="1">
      <alignment vertical="center"/>
    </xf>
    <xf numFmtId="0" fontId="4" fillId="0" borderId="79"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62"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0" fontId="3" fillId="0" borderId="86" xfId="0" applyFont="1" applyBorder="1" applyAlignment="1">
      <alignment horizontal="center" vertical="center"/>
    </xf>
    <xf numFmtId="0" fontId="3" fillId="0" borderId="87" xfId="0" applyFont="1" applyBorder="1" applyAlignment="1">
      <alignment vertical="center"/>
    </xf>
    <xf numFmtId="169" fontId="9" fillId="36" borderId="23" xfId="20" applyBorder="1"/>
    <xf numFmtId="169" fontId="9" fillId="36" borderId="88" xfId="20" applyBorder="1"/>
    <xf numFmtId="169" fontId="9" fillId="36" borderId="24" xfId="20" applyBorder="1"/>
    <xf numFmtId="0" fontId="3" fillId="0" borderId="90" xfId="0" applyFont="1" applyBorder="1" applyAlignment="1">
      <alignment horizontal="center" vertical="center"/>
    </xf>
    <xf numFmtId="0" fontId="3" fillId="0" borderId="91" xfId="0" applyFont="1" applyBorder="1" applyAlignment="1">
      <alignment vertical="center"/>
    </xf>
    <xf numFmtId="169" fontId="9" fillId="36" borderId="29" xfId="20" applyBorder="1"/>
    <xf numFmtId="0" fontId="4" fillId="0" borderId="0" xfId="0" applyFont="1" applyAlignment="1">
      <alignment horizontal="center"/>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80" xfId="0" applyFont="1" applyFill="1" applyBorder="1" applyAlignment="1">
      <alignment horizontal="left" vertical="center" wrapText="1"/>
    </xf>
    <xf numFmtId="0" fontId="3" fillId="0" borderId="17" xfId="0" applyFont="1" applyBorder="1" applyAlignment="1">
      <alignment horizontal="right" vertical="center" wrapText="1"/>
    </xf>
    <xf numFmtId="0" fontId="100"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0" xfId="5" applyNumberFormat="1" applyFont="1" applyBorder="1" applyAlignment="1" applyProtection="1">
      <alignment horizontal="left" vertical="center"/>
      <protection locked="0"/>
    </xf>
    <xf numFmtId="0" fontId="102" fillId="0" borderId="21" xfId="9" applyFont="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5" xfId="0" applyFont="1" applyBorder="1" applyAlignment="1">
      <alignment horizontal="left" vertical="center" wrapText="1"/>
    </xf>
    <xf numFmtId="10" fontId="96" fillId="0" borderId="95" xfId="20950" applyNumberFormat="1" applyFont="1" applyFill="1" applyBorder="1" applyAlignment="1">
      <alignment horizontal="lef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100"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2" fillId="0" borderId="21"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Border="1" applyAlignment="1">
      <alignment horizontal="left" vertical="center" wrapText="1"/>
    </xf>
    <xf numFmtId="0" fontId="4" fillId="35" borderId="81" xfId="0" applyFont="1" applyFill="1" applyBorder="1" applyAlignment="1">
      <alignment vertical="center" wrapText="1"/>
    </xf>
    <xf numFmtId="0" fontId="4" fillId="35" borderId="94" xfId="0" applyFont="1" applyFill="1" applyBorder="1" applyAlignment="1">
      <alignment vertical="center" wrapText="1"/>
    </xf>
    <xf numFmtId="0" fontId="4" fillId="35" borderId="68" xfId="0" applyFont="1" applyFill="1" applyBorder="1" applyAlignment="1">
      <alignment vertical="center" wrapText="1"/>
    </xf>
    <xf numFmtId="0" fontId="4" fillId="35"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2" xfId="20"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3"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4" xfId="0" applyFont="1" applyFill="1" applyBorder="1" applyAlignment="1">
      <alignment horizontal="center" wrapText="1"/>
    </xf>
    <xf numFmtId="0" fontId="3" fillId="0" borderId="95" xfId="0" applyFont="1" applyBorder="1" applyAlignment="1">
      <alignment horizontal="center"/>
    </xf>
    <xf numFmtId="0" fontId="3" fillId="3" borderId="62"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164" fontId="3" fillId="0" borderId="95" xfId="7" applyNumberFormat="1" applyFont="1" applyBorder="1"/>
    <xf numFmtId="164" fontId="3" fillId="0" borderId="80" xfId="7" applyNumberFormat="1" applyFont="1" applyBorder="1"/>
    <xf numFmtId="0" fontId="99" fillId="0" borderId="95" xfId="0" applyFont="1" applyBorder="1" applyAlignment="1">
      <alignment horizontal="left" wrapText="1" indent="2"/>
    </xf>
    <xf numFmtId="169" fontId="9" fillId="36" borderId="95" xfId="20" applyBorder="1"/>
    <xf numFmtId="164" fontId="3" fillId="0" borderId="95" xfId="7" applyNumberFormat="1" applyFont="1" applyBorder="1" applyAlignment="1">
      <alignment vertical="center"/>
    </xf>
    <xf numFmtId="0" fontId="4" fillId="0" borderId="17" xfId="0" applyFont="1" applyBorder="1"/>
    <xf numFmtId="0" fontId="4" fillId="0" borderId="95" xfId="0" applyFont="1" applyBorder="1" applyAlignment="1">
      <alignment wrapText="1"/>
    </xf>
    <xf numFmtId="164" fontId="4" fillId="0" borderId="80" xfId="7" applyNumberFormat="1" applyFont="1" applyBorder="1"/>
    <xf numFmtId="0" fontId="109" fillId="3" borderId="62" xfId="0" applyFont="1" applyFill="1" applyBorder="1" applyAlignment="1">
      <alignment horizontal="left"/>
    </xf>
    <xf numFmtId="0" fontId="109"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164" fontId="3" fillId="0" borderId="95" xfId="7" applyNumberFormat="1" applyFont="1" applyFill="1" applyBorder="1"/>
    <xf numFmtId="164" fontId="3" fillId="0" borderId="95" xfId="7" applyNumberFormat="1" applyFont="1" applyFill="1" applyBorder="1" applyAlignment="1">
      <alignment vertical="center"/>
    </xf>
    <xf numFmtId="0" fontId="99" fillId="0" borderId="95"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2" xfId="0" applyFont="1" applyFill="1" applyBorder="1"/>
    <xf numFmtId="0" fontId="4" fillId="0" borderId="20" xfId="0" applyFont="1" applyBorder="1"/>
    <xf numFmtId="0" fontId="4" fillId="0" borderId="21" xfId="0" applyFont="1" applyBorder="1" applyAlignment="1">
      <alignment wrapText="1"/>
    </xf>
    <xf numFmtId="10" fontId="4" fillId="0" borderId="22" xfId="20950" applyNumberFormat="1" applyFont="1" applyBorder="1"/>
    <xf numFmtId="0" fontId="2" fillId="2" borderId="86" xfId="0" applyFont="1" applyFill="1" applyBorder="1" applyAlignment="1">
      <alignment horizontal="right" vertical="center"/>
    </xf>
    <xf numFmtId="0" fontId="2" fillId="0" borderId="93" xfId="0" applyFont="1" applyBorder="1" applyAlignment="1">
      <alignment vertical="center" wrapText="1"/>
    </xf>
    <xf numFmtId="191" fontId="2" fillId="2" borderId="93" xfId="0" applyNumberFormat="1" applyFont="1" applyFill="1" applyBorder="1" applyAlignment="1" applyProtection="1">
      <alignment vertical="center"/>
      <protection locked="0"/>
    </xf>
    <xf numFmtId="191" fontId="87" fillId="2" borderId="93" xfId="0" applyNumberFormat="1" applyFont="1" applyFill="1" applyBorder="1" applyAlignment="1" applyProtection="1">
      <alignment vertical="center"/>
      <protection locked="0"/>
    </xf>
    <xf numFmtId="191" fontId="87" fillId="2" borderId="89"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7" xfId="0" applyFont="1" applyBorder="1" applyAlignment="1">
      <alignment horizontal="left" vertical="center" wrapText="1"/>
    </xf>
    <xf numFmtId="0" fontId="6" fillId="0" borderId="110" xfId="17" applyBorder="1" applyAlignment="1" applyProtection="1"/>
    <xf numFmtId="0" fontId="111" fillId="0" borderId="0" xfId="0" applyFont="1" applyAlignment="1">
      <alignment horizontal="left" vertical="top" wrapText="1"/>
    </xf>
    <xf numFmtId="0" fontId="0" fillId="0" borderId="110" xfId="0" applyBorder="1" applyAlignment="1">
      <alignment horizontal="center"/>
    </xf>
    <xf numFmtId="0" fontId="122" fillId="3" borderId="110" xfId="20954" applyFont="1" applyFill="1" applyBorder="1" applyAlignment="1">
      <alignment horizontal="left" vertical="center" wrapText="1"/>
    </xf>
    <xf numFmtId="0" fontId="123" fillId="0" borderId="110" xfId="20954" applyFont="1" applyBorder="1" applyAlignment="1">
      <alignment horizontal="left" vertical="center" wrapText="1" indent="1"/>
    </xf>
    <xf numFmtId="0" fontId="124" fillId="3" borderId="120" xfId="0" applyFont="1" applyFill="1" applyBorder="1" applyAlignment="1">
      <alignment horizontal="left" vertical="center" wrapText="1"/>
    </xf>
    <xf numFmtId="0" fontId="123" fillId="3" borderId="110" xfId="20954" applyFont="1" applyFill="1" applyBorder="1" applyAlignment="1">
      <alignment horizontal="left" vertical="center" wrapText="1" indent="1"/>
    </xf>
    <xf numFmtId="0" fontId="122" fillId="0" borderId="120" xfId="0" applyFont="1" applyBorder="1" applyAlignment="1">
      <alignment horizontal="left" vertical="center" wrapText="1"/>
    </xf>
    <xf numFmtId="0" fontId="124" fillId="0" borderId="120" xfId="0" applyFont="1" applyBorder="1" applyAlignment="1">
      <alignment horizontal="left" vertical="center" wrapText="1"/>
    </xf>
    <xf numFmtId="0" fontId="124" fillId="0" borderId="120" xfId="0" applyFont="1" applyBorder="1" applyAlignment="1">
      <alignment vertical="center" wrapText="1"/>
    </xf>
    <xf numFmtId="0" fontId="125" fillId="0" borderId="120" xfId="0" applyFont="1" applyBorder="1" applyAlignment="1">
      <alignment horizontal="left" vertical="center" wrapText="1" indent="1"/>
    </xf>
    <xf numFmtId="0" fontId="125" fillId="3" borderId="120" xfId="0" applyFont="1" applyFill="1" applyBorder="1" applyAlignment="1">
      <alignment horizontal="left" vertical="center" wrapText="1" indent="1"/>
    </xf>
    <xf numFmtId="0" fontId="124" fillId="3" borderId="121" xfId="0" applyFont="1" applyFill="1" applyBorder="1" applyAlignment="1">
      <alignment horizontal="left" vertical="center" wrapText="1"/>
    </xf>
    <xf numFmtId="0" fontId="125" fillId="0" borderId="110" xfId="20954" applyFont="1" applyBorder="1" applyAlignment="1">
      <alignment horizontal="left" vertical="center" wrapText="1" indent="1"/>
    </xf>
    <xf numFmtId="0" fontId="124" fillId="0" borderId="110" xfId="0" applyFont="1" applyBorder="1" applyAlignment="1">
      <alignment horizontal="left" vertical="center" wrapText="1"/>
    </xf>
    <xf numFmtId="0" fontId="126" fillId="0" borderId="110" xfId="20954" applyFont="1" applyBorder="1" applyAlignment="1">
      <alignment horizontal="center" vertical="center" wrapText="1"/>
    </xf>
    <xf numFmtId="0" fontId="124" fillId="3" borderId="122" xfId="0" applyFont="1" applyFill="1" applyBorder="1" applyAlignment="1">
      <alignment horizontal="left" vertical="center" wrapText="1"/>
    </xf>
    <xf numFmtId="0" fontId="0" fillId="0" borderId="123" xfId="0" applyBorder="1" applyAlignment="1">
      <alignment horizontal="center"/>
    </xf>
    <xf numFmtId="0" fontId="123" fillId="3" borderId="123" xfId="20954" applyFont="1" applyFill="1" applyBorder="1" applyAlignment="1">
      <alignment horizontal="left" vertical="center" wrapText="1" indent="1"/>
    </xf>
    <xf numFmtId="0" fontId="123" fillId="3" borderId="120" xfId="0" applyFont="1" applyFill="1" applyBorder="1" applyAlignment="1">
      <alignment horizontal="left" vertical="center" wrapText="1" indent="1"/>
    </xf>
    <xf numFmtId="0" fontId="123" fillId="0" borderId="123" xfId="20954" applyFont="1" applyBorder="1" applyAlignment="1">
      <alignment horizontal="left" vertical="center" wrapText="1" indent="1"/>
    </xf>
    <xf numFmtId="0" fontId="124" fillId="0" borderId="123" xfId="20954" applyFont="1" applyBorder="1" applyAlignment="1">
      <alignment horizontal="left" vertical="center" wrapText="1"/>
    </xf>
    <xf numFmtId="0" fontId="124" fillId="0" borderId="123" xfId="0" applyFont="1" applyBorder="1" applyAlignment="1">
      <alignment vertical="center" wrapText="1"/>
    </xf>
    <xf numFmtId="0" fontId="126" fillId="0" borderId="123" xfId="20954" applyFont="1" applyBorder="1" applyAlignment="1">
      <alignment horizontal="center" vertical="center" wrapText="1"/>
    </xf>
    <xf numFmtId="0" fontId="124" fillId="3" borderId="123" xfId="20954" applyFont="1" applyFill="1" applyBorder="1" applyAlignment="1">
      <alignment horizontal="left" vertical="center" wrapText="1"/>
    </xf>
    <xf numFmtId="0" fontId="124" fillId="0" borderId="123" xfId="0" applyFont="1" applyBorder="1" applyAlignment="1">
      <alignment horizontal="left" vertical="center" wrapText="1"/>
    </xf>
    <xf numFmtId="0" fontId="0" fillId="0" borderId="123" xfId="0" applyBorder="1" applyAlignment="1">
      <alignment horizontal="center" vertical="center"/>
    </xf>
    <xf numFmtId="0" fontId="124" fillId="0" borderId="128" xfId="0" applyFont="1" applyBorder="1" applyAlignment="1">
      <alignment horizontal="justify" vertical="center" wrapText="1"/>
    </xf>
    <xf numFmtId="0" fontId="123" fillId="0" borderId="120" xfId="0" applyFont="1" applyBorder="1" applyAlignment="1">
      <alignment horizontal="left" vertical="center" wrapText="1" indent="1"/>
    </xf>
    <xf numFmtId="0" fontId="123" fillId="0" borderId="121" xfId="0" applyFont="1" applyBorder="1" applyAlignment="1">
      <alignment horizontal="left" vertical="center" wrapText="1" indent="1"/>
    </xf>
    <xf numFmtId="0" fontId="124" fillId="0" borderId="120" xfId="0" applyFont="1" applyBorder="1" applyAlignment="1">
      <alignment horizontal="justify" vertical="center" wrapText="1"/>
    </xf>
    <xf numFmtId="0" fontId="122" fillId="0" borderId="120" xfId="0" applyFont="1" applyBorder="1" applyAlignment="1">
      <alignment horizontal="justify" vertical="center" wrapText="1"/>
    </xf>
    <xf numFmtId="0" fontId="124" fillId="3" borderId="120" xfId="0" applyFont="1" applyFill="1" applyBorder="1" applyAlignment="1">
      <alignment horizontal="justify" vertical="center" wrapText="1"/>
    </xf>
    <xf numFmtId="0" fontId="124" fillId="0" borderId="121" xfId="0" applyFont="1" applyBorder="1" applyAlignment="1">
      <alignment horizontal="justify" vertical="center" wrapText="1"/>
    </xf>
    <xf numFmtId="0" fontId="124" fillId="0" borderId="122" xfId="0" applyFont="1" applyBorder="1" applyAlignment="1">
      <alignment horizontal="justify" vertical="center" wrapText="1"/>
    </xf>
    <xf numFmtId="0" fontId="122" fillId="0" borderId="120" xfId="0" applyFont="1" applyBorder="1" applyAlignment="1">
      <alignment vertical="center" wrapText="1"/>
    </xf>
    <xf numFmtId="0" fontId="123" fillId="0" borderId="120" xfId="0" applyFont="1" applyBorder="1" applyAlignment="1">
      <alignment horizontal="left" vertical="center" wrapText="1"/>
    </xf>
    <xf numFmtId="0" fontId="124" fillId="0" borderId="129" xfId="0" applyFont="1" applyBorder="1" applyAlignment="1">
      <alignment vertical="center" wrapText="1"/>
    </xf>
    <xf numFmtId="0" fontId="124" fillId="3" borderId="120" xfId="0" applyFont="1" applyFill="1" applyBorder="1" applyAlignment="1">
      <alignment vertical="center" wrapText="1"/>
    </xf>
    <xf numFmtId="0" fontId="2" fillId="0" borderId="126" xfId="0" applyFont="1" applyBorder="1" applyAlignment="1">
      <alignment horizontal="left" vertical="center" wrapText="1" indent="4"/>
    </xf>
    <xf numFmtId="0" fontId="45" fillId="0" borderId="126" xfId="0" applyFont="1" applyBorder="1" applyAlignment="1">
      <alignment vertical="center" wrapText="1"/>
    </xf>
    <xf numFmtId="0" fontId="2" fillId="0" borderId="123" xfId="0" applyFont="1" applyBorder="1" applyAlignment="1" applyProtection="1">
      <alignment horizontal="left" vertical="center" indent="11"/>
      <protection locked="0"/>
    </xf>
    <xf numFmtId="0" fontId="46" fillId="0" borderId="123" xfId="0" applyFont="1" applyBorder="1" applyAlignment="1" applyProtection="1">
      <alignment horizontal="left" vertical="center" indent="17"/>
      <protection locked="0"/>
    </xf>
    <xf numFmtId="0" fontId="2" fillId="0" borderId="126" xfId="0" applyFont="1" applyBorder="1" applyAlignment="1">
      <alignment horizontal="left" vertical="center" wrapText="1"/>
    </xf>
    <xf numFmtId="0" fontId="123" fillId="3" borderId="121" xfId="0" applyFont="1" applyFill="1" applyBorder="1" applyAlignment="1">
      <alignment horizontal="left" vertical="center" wrapText="1" indent="1"/>
    </xf>
    <xf numFmtId="0" fontId="123" fillId="3" borderId="123" xfId="0" applyFont="1" applyFill="1" applyBorder="1" applyAlignment="1">
      <alignment horizontal="left" vertical="center" wrapText="1" indent="1"/>
    </xf>
    <xf numFmtId="0" fontId="123" fillId="0" borderId="123" xfId="0" applyFont="1" applyBorder="1" applyAlignment="1">
      <alignment horizontal="left" vertical="center" wrapText="1" indent="1"/>
    </xf>
    <xf numFmtId="0" fontId="124" fillId="3" borderId="123" xfId="0" applyFont="1" applyFill="1" applyBorder="1" applyAlignment="1">
      <alignment horizontal="left" vertical="center" wrapText="1"/>
    </xf>
    <xf numFmtId="0" fontId="125" fillId="3" borderId="123" xfId="0" applyFont="1" applyFill="1" applyBorder="1" applyAlignment="1">
      <alignment horizontal="left" vertical="center" wrapText="1" indent="1"/>
    </xf>
    <xf numFmtId="0" fontId="127" fillId="0" borderId="123" xfId="0" applyFont="1" applyBorder="1" applyAlignment="1">
      <alignment horizontal="justify"/>
    </xf>
    <xf numFmtId="167" fontId="86" fillId="0" borderId="55" xfId="0" applyNumberFormat="1" applyFont="1" applyBorder="1" applyAlignment="1">
      <alignment horizontal="center"/>
    </xf>
    <xf numFmtId="167" fontId="88" fillId="0" borderId="57" xfId="0" applyNumberFormat="1" applyFont="1" applyBorder="1" applyAlignment="1">
      <alignment horizontal="center"/>
    </xf>
    <xf numFmtId="167" fontId="46" fillId="0" borderId="57" xfId="0" applyNumberFormat="1" applyFont="1" applyBorder="1" applyAlignment="1">
      <alignment horizontal="center"/>
    </xf>
    <xf numFmtId="0" fontId="84" fillId="0" borderId="123" xfId="0" applyFont="1" applyBorder="1" applyAlignment="1">
      <alignment horizontal="center"/>
    </xf>
    <xf numFmtId="0" fontId="114" fillId="0" borderId="123" xfId="0" applyFont="1" applyBorder="1"/>
    <xf numFmtId="49" fontId="116" fillId="0" borderId="123" xfId="5" applyNumberFormat="1" applyFont="1" applyBorder="1" applyAlignment="1" applyProtection="1">
      <alignment horizontal="right" vertical="center"/>
      <protection locked="0"/>
    </xf>
    <xf numFmtId="0" fontId="115" fillId="3" borderId="123" xfId="13" applyFont="1" applyFill="1" applyBorder="1" applyAlignment="1" applyProtection="1">
      <alignment horizontal="left" vertical="center" wrapText="1"/>
      <protection locked="0"/>
    </xf>
    <xf numFmtId="49" fontId="115" fillId="3" borderId="123" xfId="5" applyNumberFormat="1" applyFont="1" applyFill="1" applyBorder="1" applyAlignment="1" applyProtection="1">
      <alignment horizontal="right" vertical="center"/>
      <protection locked="0"/>
    </xf>
    <xf numFmtId="0" fontId="115" fillId="0" borderId="123" xfId="13" applyFont="1" applyBorder="1" applyAlignment="1" applyProtection="1">
      <alignment horizontal="left" vertical="center" wrapText="1"/>
      <protection locked="0"/>
    </xf>
    <xf numFmtId="49" fontId="115" fillId="0" borderId="123" xfId="5" applyNumberFormat="1" applyFont="1" applyBorder="1" applyAlignment="1" applyProtection="1">
      <alignment horizontal="right" vertical="center"/>
      <protection locked="0"/>
    </xf>
    <xf numFmtId="0" fontId="117" fillId="0" borderId="123" xfId="13" applyFont="1" applyBorder="1" applyAlignment="1" applyProtection="1">
      <alignment horizontal="left" vertical="center" wrapText="1"/>
      <protection locked="0"/>
    </xf>
    <xf numFmtId="0" fontId="114" fillId="0" borderId="123" xfId="0" applyFont="1" applyBorder="1" applyAlignment="1">
      <alignment horizontal="center" vertical="center" wrapText="1"/>
    </xf>
    <xf numFmtId="43" fontId="96" fillId="0" borderId="0" xfId="7" applyFont="1"/>
    <xf numFmtId="0" fontId="111" fillId="0" borderId="0" xfId="0" applyFont="1" applyAlignment="1">
      <alignment wrapText="1"/>
    </xf>
    <xf numFmtId="0" fontId="110" fillId="0" borderId="123" xfId="0" applyFont="1" applyBorder="1"/>
    <xf numFmtId="0" fontId="110" fillId="0" borderId="123" xfId="0" applyFont="1" applyBorder="1" applyAlignment="1">
      <alignment horizontal="left" indent="8"/>
    </xf>
    <xf numFmtId="0" fontId="110" fillId="0" borderId="123" xfId="0" applyFont="1" applyBorder="1" applyAlignment="1">
      <alignment wrapText="1"/>
    </xf>
    <xf numFmtId="0" fontId="114" fillId="0" borderId="0" xfId="0" applyFont="1"/>
    <xf numFmtId="0" fontId="113" fillId="0" borderId="123" xfId="0" applyFont="1" applyBorder="1"/>
    <xf numFmtId="49" fontId="116" fillId="0" borderId="123" xfId="5" applyNumberFormat="1" applyFont="1" applyBorder="1" applyAlignment="1" applyProtection="1">
      <alignment horizontal="right" vertical="center" wrapText="1"/>
      <protection locked="0"/>
    </xf>
    <xf numFmtId="49" fontId="115" fillId="3" borderId="123" xfId="5" applyNumberFormat="1" applyFont="1" applyFill="1" applyBorder="1" applyAlignment="1" applyProtection="1">
      <alignment horizontal="right" vertical="center" wrapText="1"/>
      <protection locked="0"/>
    </xf>
    <xf numFmtId="49" fontId="115" fillId="0" borderId="123" xfId="5" applyNumberFormat="1" applyFont="1" applyBorder="1" applyAlignment="1" applyProtection="1">
      <alignment horizontal="right" vertical="center" wrapText="1"/>
      <protection locked="0"/>
    </xf>
    <xf numFmtId="0" fontId="110" fillId="0" borderId="123" xfId="0" applyFont="1" applyBorder="1" applyAlignment="1">
      <alignment horizontal="center" vertical="center" wrapText="1"/>
    </xf>
    <xf numFmtId="0" fontId="110" fillId="0" borderId="127" xfId="0" applyFont="1" applyBorder="1" applyAlignment="1">
      <alignment horizontal="center" vertical="center" wrapText="1"/>
    </xf>
    <xf numFmtId="0" fontId="110" fillId="0" borderId="123"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23" xfId="0" applyFont="1" applyBorder="1" applyAlignment="1">
      <alignment horizontal="left" vertical="center" wrapText="1"/>
    </xf>
    <xf numFmtId="0" fontId="113" fillId="0" borderId="123" xfId="0" applyFont="1" applyBorder="1" applyAlignment="1">
      <alignment horizontal="left" wrapText="1" indent="1"/>
    </xf>
    <xf numFmtId="0" fontId="113" fillId="0" borderId="123" xfId="0" applyFont="1" applyBorder="1" applyAlignment="1">
      <alignment horizontal="left" vertical="center" indent="1"/>
    </xf>
    <xf numFmtId="0" fontId="111" fillId="0" borderId="123" xfId="0" applyFont="1" applyBorder="1"/>
    <xf numFmtId="0" fontId="110" fillId="0" borderId="123" xfId="0" applyFont="1" applyBorder="1" applyAlignment="1">
      <alignment horizontal="left" wrapText="1" indent="1"/>
    </xf>
    <xf numFmtId="0" fontId="110" fillId="0" borderId="123" xfId="0" applyFont="1" applyBorder="1" applyAlignment="1">
      <alignment horizontal="left" indent="1"/>
    </xf>
    <xf numFmtId="0" fontId="110" fillId="0" borderId="123" xfId="0" applyFont="1" applyBorder="1" applyAlignment="1">
      <alignment horizontal="left" wrapText="1" indent="4"/>
    </xf>
    <xf numFmtId="0" fontId="110" fillId="0" borderId="123" xfId="0" applyFont="1" applyBorder="1" applyAlignment="1">
      <alignment horizontal="left" indent="3"/>
    </xf>
    <xf numFmtId="0" fontId="113" fillId="0" borderId="123" xfId="0" applyFont="1" applyBorder="1" applyAlignment="1">
      <alignment horizontal="left" indent="1"/>
    </xf>
    <xf numFmtId="0" fontId="114" fillId="0" borderId="7" xfId="0" applyFont="1" applyBorder="1"/>
    <xf numFmtId="0" fontId="111" fillId="0" borderId="123" xfId="0" applyFont="1" applyBorder="1" applyAlignment="1">
      <alignment horizontal="left" wrapText="1" indent="2"/>
    </xf>
    <xf numFmtId="0" fontId="111" fillId="0" borderId="123" xfId="0" applyFont="1" applyBorder="1" applyAlignment="1">
      <alignment horizontal="left" wrapText="1"/>
    </xf>
    <xf numFmtId="0" fontId="113" fillId="75" borderId="123" xfId="0" applyFont="1" applyFill="1" applyBorder="1"/>
    <xf numFmtId="0" fontId="110" fillId="0" borderId="123"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02" xfId="0" applyFont="1" applyBorder="1" applyAlignment="1">
      <alignment horizontal="center" vertical="center" wrapText="1"/>
    </xf>
    <xf numFmtId="0" fontId="110" fillId="0" borderId="126" xfId="0" applyFont="1" applyBorder="1" applyAlignment="1">
      <alignment horizontal="center" vertical="center" wrapText="1"/>
    </xf>
    <xf numFmtId="0" fontId="110" fillId="0" borderId="103" xfId="0" applyFont="1" applyBorder="1" applyAlignment="1">
      <alignment horizontal="center" vertical="center" wrapText="1"/>
    </xf>
    <xf numFmtId="49" fontId="110" fillId="0" borderId="22" xfId="0" applyNumberFormat="1" applyFont="1" applyBorder="1" applyAlignment="1">
      <alignment horizontal="left" wrapText="1" indent="1"/>
    </xf>
    <xf numFmtId="0" fontId="110" fillId="0" borderId="20" xfId="0" applyFont="1" applyBorder="1" applyAlignment="1">
      <alignment horizontal="left" wrapText="1" indent="1"/>
    </xf>
    <xf numFmtId="49" fontId="110" fillId="0" borderId="80" xfId="0" applyNumberFormat="1" applyFont="1" applyBorder="1" applyAlignment="1">
      <alignment horizontal="left" wrapText="1" indent="1"/>
    </xf>
    <xf numFmtId="0" fontId="110" fillId="0" borderId="17" xfId="0" applyFont="1" applyBorder="1" applyAlignment="1">
      <alignment horizontal="left" wrapText="1" indent="1"/>
    </xf>
    <xf numFmtId="49" fontId="110" fillId="0" borderId="17" xfId="0" applyNumberFormat="1" applyFont="1" applyBorder="1" applyAlignment="1">
      <alignment horizontal="left" wrapText="1" indent="3"/>
    </xf>
    <xf numFmtId="49" fontId="110" fillId="0" borderId="80" xfId="0" applyNumberFormat="1" applyFont="1" applyBorder="1" applyAlignment="1">
      <alignment horizontal="left" wrapText="1" indent="3"/>
    </xf>
    <xf numFmtId="49" fontId="110" fillId="0" borderId="17" xfId="0" applyNumberFormat="1" applyFont="1" applyBorder="1" applyAlignment="1">
      <alignment horizontal="left" wrapText="1" indent="2"/>
    </xf>
    <xf numFmtId="49" fontId="110" fillId="0" borderId="80" xfId="0" applyNumberFormat="1" applyFont="1" applyBorder="1" applyAlignment="1">
      <alignment horizontal="left" wrapText="1" indent="2"/>
    </xf>
    <xf numFmtId="49" fontId="110" fillId="0" borderId="80" xfId="0" applyNumberFormat="1" applyFont="1" applyBorder="1" applyAlignment="1">
      <alignment horizontal="left" vertical="top" wrapText="1" indent="2"/>
    </xf>
    <xf numFmtId="0" fontId="110" fillId="78" borderId="80" xfId="0" applyFont="1" applyFill="1" applyBorder="1"/>
    <xf numFmtId="0" fontId="110" fillId="78" borderId="123" xfId="0" applyFont="1" applyFill="1" applyBorder="1"/>
    <xf numFmtId="0" fontId="110" fillId="78" borderId="126" xfId="0" applyFont="1" applyFill="1" applyBorder="1"/>
    <xf numFmtId="0" fontId="110" fillId="78" borderId="17" xfId="0" applyFont="1" applyFill="1" applyBorder="1"/>
    <xf numFmtId="49" fontId="110" fillId="0" borderId="80" xfId="0" applyNumberFormat="1" applyFont="1" applyBorder="1" applyAlignment="1">
      <alignment horizontal="left" indent="1"/>
    </xf>
    <xf numFmtId="0" fontId="110" fillId="0" borderId="17" xfId="0" applyFont="1" applyBorder="1" applyAlignment="1">
      <alignment horizontal="left" indent="1"/>
    </xf>
    <xf numFmtId="49" fontId="110" fillId="0" borderId="17" xfId="0" applyNumberFormat="1" applyFont="1" applyBorder="1" applyAlignment="1">
      <alignment horizontal="left" indent="1"/>
    </xf>
    <xf numFmtId="49" fontId="110" fillId="0" borderId="17" xfId="0" applyNumberFormat="1" applyFont="1" applyBorder="1" applyAlignment="1">
      <alignment horizontal="left" indent="3"/>
    </xf>
    <xf numFmtId="49" fontId="110" fillId="0" borderId="80" xfId="0" applyNumberFormat="1" applyFont="1" applyBorder="1" applyAlignment="1">
      <alignment horizontal="left" indent="3"/>
    </xf>
    <xf numFmtId="0" fontId="110" fillId="0" borderId="17" xfId="0" applyFont="1" applyBorder="1" applyAlignment="1">
      <alignment horizontal="left" indent="2"/>
    </xf>
    <xf numFmtId="0" fontId="110" fillId="0" borderId="80" xfId="0" applyFont="1" applyBorder="1" applyAlignment="1">
      <alignment horizontal="left" indent="2"/>
    </xf>
    <xf numFmtId="0" fontId="110" fillId="0" borderId="80" xfId="0" applyFont="1" applyBorder="1" applyAlignment="1">
      <alignment horizontal="left" indent="1"/>
    </xf>
    <xf numFmtId="0" fontId="113" fillId="0" borderId="63" xfId="0" applyFont="1" applyBorder="1"/>
    <xf numFmtId="0" fontId="110" fillId="0" borderId="66" xfId="0" applyFont="1" applyBorder="1"/>
    <xf numFmtId="0" fontId="110" fillId="0" borderId="74" xfId="0" applyFont="1" applyBorder="1" applyAlignment="1">
      <alignment horizontal="center" vertical="center" wrapText="1"/>
    </xf>
    <xf numFmtId="0" fontId="110" fillId="0" borderId="80" xfId="0" applyFont="1" applyBorder="1" applyAlignment="1">
      <alignment horizontal="center" vertical="center" wrapText="1"/>
    </xf>
    <xf numFmtId="0" fontId="110" fillId="0" borderId="0" xfId="0" applyFont="1" applyAlignment="1">
      <alignment horizontal="left"/>
    </xf>
    <xf numFmtId="0" fontId="113" fillId="0" borderId="123" xfId="0" applyFont="1" applyBorder="1" applyAlignment="1">
      <alignment horizontal="left" vertical="center" wrapText="1"/>
    </xf>
    <xf numFmtId="0" fontId="115" fillId="0" borderId="0" xfId="0" applyFont="1"/>
    <xf numFmtId="0" fontId="94" fillId="0" borderId="0" xfId="0" applyFont="1" applyAlignment="1">
      <alignment wrapText="1"/>
    </xf>
    <xf numFmtId="0" fontId="113" fillId="0" borderId="123"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18" xfId="0" applyFont="1" applyBorder="1" applyAlignment="1">
      <alignment horizontal="left" vertical="center" wrapText="1" indent="1" readingOrder="1"/>
    </xf>
    <xf numFmtId="0" fontId="131" fillId="0" borderId="123" xfId="0" applyFont="1" applyBorder="1" applyAlignment="1">
      <alignment horizontal="left" indent="3"/>
    </xf>
    <xf numFmtId="0" fontId="113" fillId="0" borderId="123" xfId="0" applyFont="1" applyBorder="1" applyAlignment="1">
      <alignment vertical="center" wrapText="1" readingOrder="1"/>
    </xf>
    <xf numFmtId="0" fontId="131" fillId="0" borderId="123" xfId="0" applyFont="1" applyBorder="1" applyAlignment="1">
      <alignment horizontal="left" indent="2"/>
    </xf>
    <xf numFmtId="0" fontId="110" fillId="0" borderId="119" xfId="0" applyFont="1" applyBorder="1" applyAlignment="1">
      <alignment vertical="center" wrapText="1" readingOrder="1"/>
    </xf>
    <xf numFmtId="0" fontId="131" fillId="0" borderId="127" xfId="0" applyFont="1" applyBorder="1" applyAlignment="1">
      <alignment horizontal="left" indent="2"/>
    </xf>
    <xf numFmtId="0" fontId="110" fillId="0" borderId="118" xfId="0" applyFont="1" applyBorder="1" applyAlignment="1">
      <alignment vertical="center" wrapText="1" readingOrder="1"/>
    </xf>
    <xf numFmtId="0" fontId="110" fillId="0" borderId="117" xfId="0" applyFont="1" applyBorder="1" applyAlignment="1">
      <alignment vertical="center" wrapText="1" readingOrder="1"/>
    </xf>
    <xf numFmtId="0" fontId="131" fillId="0" borderId="7" xfId="0" applyFont="1" applyBorder="1"/>
    <xf numFmtId="167" fontId="132" fillId="79" borderId="56" xfId="0" applyNumberFormat="1" applyFont="1" applyFill="1" applyBorder="1" applyAlignment="1">
      <alignment horizontal="center"/>
    </xf>
    <xf numFmtId="0" fontId="96" fillId="0" borderId="0" xfId="11" applyFont="1"/>
    <xf numFmtId="0" fontId="96" fillId="0" borderId="0" xfId="0" applyFont="1"/>
    <xf numFmtId="0" fontId="133" fillId="0" borderId="0" xfId="11" applyFont="1"/>
    <xf numFmtId="0" fontId="134" fillId="0" borderId="0" xfId="0" applyFont="1"/>
    <xf numFmtId="0" fontId="135" fillId="80" borderId="15" xfId="0" applyFont="1" applyFill="1" applyBorder="1" applyAlignment="1">
      <alignment horizontal="center" vertical="center"/>
    </xf>
    <xf numFmtId="0" fontId="135" fillId="80" borderId="16" xfId="0" applyFont="1" applyFill="1" applyBorder="1" applyAlignment="1">
      <alignment horizontal="center" vertical="center"/>
    </xf>
    <xf numFmtId="0" fontId="135" fillId="81" borderId="123" xfId="0" applyFont="1" applyFill="1" applyBorder="1" applyAlignment="1">
      <alignment horizontal="left" vertical="center"/>
    </xf>
    <xf numFmtId="192" fontId="135" fillId="81" borderId="80" xfId="7" applyNumberFormat="1" applyFont="1" applyFill="1" applyBorder="1" applyAlignment="1">
      <alignment horizontal="left" vertical="center"/>
    </xf>
    <xf numFmtId="49" fontId="137" fillId="0" borderId="123" xfId="0" applyNumberFormat="1" applyFont="1" applyBorder="1" applyAlignment="1">
      <alignment horizontal="left" vertical="center"/>
    </xf>
    <xf numFmtId="192" fontId="137" fillId="0" borderId="80" xfId="7" applyNumberFormat="1" applyFont="1" applyFill="1" applyBorder="1" applyAlignment="1">
      <alignment horizontal="left" vertical="center"/>
    </xf>
    <xf numFmtId="0" fontId="137" fillId="0" borderId="123" xfId="0" applyFont="1" applyBorder="1" applyAlignment="1">
      <alignment horizontal="left" vertical="center"/>
    </xf>
    <xf numFmtId="0" fontId="135" fillId="0" borderId="123" xfId="0" applyFont="1" applyBorder="1" applyAlignment="1">
      <alignment horizontal="left" vertical="center"/>
    </xf>
    <xf numFmtId="10" fontId="96" fillId="0" borderId="80" xfId="0" applyNumberFormat="1" applyFont="1" applyBorder="1" applyAlignment="1">
      <alignment horizontal="right" vertical="center" wrapText="1"/>
    </xf>
    <xf numFmtId="0" fontId="139" fillId="82" borderId="21" xfId="0" applyFont="1" applyFill="1" applyBorder="1" applyAlignment="1">
      <alignment horizontal="left" vertical="center"/>
    </xf>
    <xf numFmtId="10" fontId="133" fillId="83" borderId="22"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23" xfId="0" applyFont="1" applyFill="1" applyBorder="1" applyAlignment="1">
      <alignment horizontal="center" vertical="center" wrapText="1"/>
    </xf>
    <xf numFmtId="0" fontId="4" fillId="83" borderId="123" xfId="0" applyFont="1" applyFill="1" applyBorder="1" applyAlignment="1">
      <alignment vertical="center" wrapText="1"/>
    </xf>
    <xf numFmtId="192" fontId="4" fillId="83" borderId="123" xfId="7" applyNumberFormat="1" applyFont="1" applyFill="1" applyBorder="1" applyAlignment="1">
      <alignment vertical="center"/>
    </xf>
    <xf numFmtId="192" fontId="4" fillId="83" borderId="80" xfId="7" applyNumberFormat="1" applyFont="1" applyFill="1" applyBorder="1" applyAlignment="1">
      <alignment vertical="center"/>
    </xf>
    <xf numFmtId="0" fontId="137" fillId="81" borderId="123" xfId="0" applyFont="1" applyFill="1" applyBorder="1" applyAlignment="1">
      <alignment horizontal="left" vertical="center" wrapText="1" indent="3"/>
    </xf>
    <xf numFmtId="192" fontId="4" fillId="35" borderId="123" xfId="7" applyNumberFormat="1" applyFont="1" applyFill="1" applyBorder="1" applyAlignment="1">
      <alignment vertical="center"/>
    </xf>
    <xf numFmtId="0" fontId="143" fillId="81" borderId="123" xfId="0" applyFont="1" applyFill="1" applyBorder="1" applyAlignment="1">
      <alignment horizontal="left" vertical="center" wrapText="1" indent="5"/>
    </xf>
    <xf numFmtId="0" fontId="144" fillId="80" borderId="123" xfId="0" applyFont="1" applyFill="1" applyBorder="1" applyAlignment="1">
      <alignment horizontal="left" vertical="center" wrapText="1" indent="1"/>
    </xf>
    <xf numFmtId="192" fontId="144" fillId="80" borderId="123" xfId="7" applyNumberFormat="1" applyFont="1" applyFill="1" applyBorder="1" applyAlignment="1">
      <alignment vertical="center"/>
    </xf>
    <xf numFmtId="192" fontId="144" fillId="82" borderId="80" xfId="7" applyNumberFormat="1" applyFont="1" applyFill="1" applyBorder="1" applyAlignment="1">
      <alignment vertical="center"/>
    </xf>
    <xf numFmtId="192" fontId="145" fillId="81" borderId="123" xfId="7" applyNumberFormat="1" applyFont="1" applyFill="1" applyBorder="1" applyAlignment="1">
      <alignment vertical="center"/>
    </xf>
    <xf numFmtId="192" fontId="145" fillId="82" borderId="80" xfId="7" applyNumberFormat="1" applyFont="1" applyFill="1" applyBorder="1" applyAlignment="1">
      <alignment vertical="center"/>
    </xf>
    <xf numFmtId="192" fontId="145" fillId="81" borderId="21" xfId="7" applyNumberFormat="1" applyFont="1" applyFill="1" applyBorder="1" applyAlignment="1">
      <alignment vertical="center"/>
    </xf>
    <xf numFmtId="192" fontId="145" fillId="82" borderId="22" xfId="7" applyNumberFormat="1" applyFont="1" applyFill="1" applyBorder="1" applyAlignment="1">
      <alignment vertical="center"/>
    </xf>
    <xf numFmtId="0" fontId="349" fillId="0" borderId="0" xfId="0" applyFont="1"/>
    <xf numFmtId="169" fontId="9" fillId="36" borderId="92" xfId="20" applyBorder="1"/>
    <xf numFmtId="0" fontId="94" fillId="0" borderId="185" xfId="0" applyFont="1" applyBorder="1" applyAlignment="1">
      <alignment horizontal="center" vertical="center" wrapText="1"/>
    </xf>
    <xf numFmtId="0" fontId="348" fillId="0" borderId="0" xfId="0" applyFont="1"/>
    <xf numFmtId="0" fontId="94" fillId="0" borderId="0" xfId="0" applyFont="1"/>
    <xf numFmtId="0" fontId="350" fillId="0" borderId="0" xfId="0" applyFont="1"/>
    <xf numFmtId="0" fontId="351" fillId="0" borderId="110" xfId="0" applyFont="1" applyBorder="1" applyAlignment="1">
      <alignment horizontal="center" vertical="center"/>
    </xf>
    <xf numFmtId="0" fontId="350" fillId="0" borderId="110" xfId="0" applyFont="1" applyBorder="1" applyAlignment="1">
      <alignment horizontal="center"/>
    </xf>
    <xf numFmtId="0" fontId="120" fillId="3" borderId="110" xfId="20954" applyFont="1" applyFill="1" applyBorder="1" applyAlignment="1">
      <alignment horizontal="left" vertical="center" wrapText="1"/>
    </xf>
    <xf numFmtId="0" fontId="94" fillId="0" borderId="110" xfId="20954" applyFont="1" applyBorder="1" applyAlignment="1">
      <alignment horizontal="left" vertical="center" wrapText="1" indent="1"/>
    </xf>
    <xf numFmtId="0" fontId="352" fillId="3" borderId="120" xfId="0" applyFont="1" applyFill="1" applyBorder="1" applyAlignment="1">
      <alignment horizontal="left" vertical="center" wrapText="1"/>
    </xf>
    <xf numFmtId="0" fontId="94" fillId="3" borderId="110" xfId="20954" applyFont="1" applyFill="1" applyBorder="1" applyAlignment="1">
      <alignment horizontal="left" vertical="center" wrapText="1" indent="1"/>
    </xf>
    <xf numFmtId="0" fontId="120" fillId="0" borderId="120" xfId="0" applyFont="1" applyBorder="1" applyAlignment="1">
      <alignment horizontal="left" vertical="center" wrapText="1"/>
    </xf>
    <xf numFmtId="0" fontId="352" fillId="0" borderId="120" xfId="0" applyFont="1" applyBorder="1" applyAlignment="1">
      <alignment horizontal="left" vertical="center" wrapText="1"/>
    </xf>
    <xf numFmtId="0" fontId="352" fillId="0" borderId="120" xfId="0" applyFont="1" applyBorder="1" applyAlignment="1">
      <alignment vertical="center" wrapText="1"/>
    </xf>
    <xf numFmtId="0" fontId="353" fillId="0" borderId="120" xfId="0" applyFont="1" applyBorder="1" applyAlignment="1">
      <alignment horizontal="left" vertical="center" wrapText="1" indent="1"/>
    </xf>
    <xf numFmtId="0" fontId="353" fillId="3" borderId="120" xfId="0" applyFont="1" applyFill="1" applyBorder="1" applyAlignment="1">
      <alignment horizontal="left" vertical="center" wrapText="1" indent="1"/>
    </xf>
    <xf numFmtId="0" fontId="352" fillId="3" borderId="121" xfId="0" applyFont="1" applyFill="1" applyBorder="1" applyAlignment="1">
      <alignment horizontal="left" vertical="center" wrapText="1"/>
    </xf>
    <xf numFmtId="0" fontId="353" fillId="0" borderId="110" xfId="20954" applyFont="1" applyBorder="1" applyAlignment="1">
      <alignment horizontal="left" vertical="center" wrapText="1" indent="1"/>
    </xf>
    <xf numFmtId="0" fontId="352" fillId="0" borderId="110" xfId="0" applyFont="1" applyBorder="1" applyAlignment="1">
      <alignment horizontal="left" vertical="center" wrapText="1"/>
    </xf>
    <xf numFmtId="0" fontId="352" fillId="0" borderId="110" xfId="20954" applyFont="1" applyBorder="1" applyAlignment="1">
      <alignment horizontal="center" vertical="center" wrapText="1"/>
    </xf>
    <xf numFmtId="0" fontId="352" fillId="3" borderId="122" xfId="0" applyFont="1" applyFill="1" applyBorder="1" applyAlignment="1">
      <alignment horizontal="left" vertical="center" wrapText="1"/>
    </xf>
    <xf numFmtId="0" fontId="350" fillId="0" borderId="123" xfId="0" applyFont="1" applyBorder="1" applyAlignment="1">
      <alignment horizontal="center"/>
    </xf>
    <xf numFmtId="0" fontId="94" fillId="3" borderId="123" xfId="20954" applyFont="1" applyFill="1" applyBorder="1" applyAlignment="1">
      <alignment horizontal="left" vertical="center" wrapText="1" indent="1"/>
    </xf>
    <xf numFmtId="0" fontId="94" fillId="3" borderId="120" xfId="0" applyFont="1" applyFill="1" applyBorder="1" applyAlignment="1">
      <alignment horizontal="left" vertical="center" wrapText="1" indent="1"/>
    </xf>
    <xf numFmtId="0" fontId="94" fillId="0" borderId="123" xfId="20954" applyFont="1" applyBorder="1" applyAlignment="1">
      <alignment horizontal="left" vertical="center" wrapText="1" indent="1"/>
    </xf>
    <xf numFmtId="0" fontId="94" fillId="0" borderId="120" xfId="0" applyFont="1" applyBorder="1" applyAlignment="1">
      <alignment horizontal="left" vertical="center" wrapText="1" indent="1"/>
    </xf>
    <xf numFmtId="0" fontId="94" fillId="0" borderId="121" xfId="0" applyFont="1" applyBorder="1" applyAlignment="1">
      <alignment horizontal="left" vertical="center" wrapText="1" indent="1"/>
    </xf>
    <xf numFmtId="0" fontId="352" fillId="0" borderId="123" xfId="20954" applyFont="1" applyBorder="1" applyAlignment="1">
      <alignment horizontal="left" vertical="center" wrapText="1"/>
    </xf>
    <xf numFmtId="0" fontId="352" fillId="0" borderId="123" xfId="0" applyFont="1" applyBorder="1" applyAlignment="1">
      <alignment vertical="center" wrapText="1"/>
    </xf>
    <xf numFmtId="0" fontId="352" fillId="0" borderId="123" xfId="20954" applyFont="1" applyBorder="1" applyAlignment="1">
      <alignment horizontal="center" vertical="center" wrapText="1"/>
    </xf>
    <xf numFmtId="0" fontId="352" fillId="3" borderId="123" xfId="20954" applyFont="1" applyFill="1" applyBorder="1" applyAlignment="1">
      <alignment horizontal="left" vertical="center" wrapText="1"/>
    </xf>
    <xf numFmtId="0" fontId="354" fillId="0" borderId="0" xfId="0" applyFont="1" applyAlignment="1">
      <alignment horizontal="justify"/>
    </xf>
    <xf numFmtId="0" fontId="352" fillId="0" borderId="123" xfId="0" applyFont="1" applyBorder="1" applyAlignment="1">
      <alignment horizontal="left" vertical="center" wrapText="1"/>
    </xf>
    <xf numFmtId="0" fontId="350" fillId="0" borderId="0" xfId="0" applyFont="1" applyAlignment="1">
      <alignment horizontal="center"/>
    </xf>
    <xf numFmtId="0" fontId="350" fillId="0" borderId="0" xfId="0" applyFont="1" applyAlignment="1">
      <alignment horizontal="left" vertical="center"/>
    </xf>
    <xf numFmtId="0" fontId="86" fillId="0" borderId="123" xfId="0" applyFont="1" applyBorder="1" applyAlignment="1">
      <alignment vertical="center"/>
    </xf>
    <xf numFmtId="0" fontId="45" fillId="0" borderId="123" xfId="0" applyFont="1" applyBorder="1" applyAlignment="1">
      <alignment vertical="center" wrapText="1"/>
    </xf>
    <xf numFmtId="0" fontId="352" fillId="0" borderId="191" xfId="20954" applyFont="1" applyBorder="1" applyAlignment="1">
      <alignment horizontal="left" vertical="center" wrapText="1"/>
    </xf>
    <xf numFmtId="0" fontId="6" fillId="0" borderId="191" xfId="17" applyFill="1" applyBorder="1" applyAlignment="1" applyProtection="1"/>
    <xf numFmtId="49" fontId="84" fillId="0" borderId="191" xfId="0" applyNumberFormat="1" applyFont="1" applyBorder="1" applyAlignment="1">
      <alignment horizontal="right"/>
    </xf>
    <xf numFmtId="0" fontId="84" fillId="0" borderId="191" xfId="0" applyFont="1" applyBorder="1"/>
    <xf numFmtId="0" fontId="355" fillId="3" borderId="0" xfId="37364" applyFont="1" applyFill="1" applyAlignment="1" applyProtection="1">
      <alignment vertical="center"/>
      <protection locked="0"/>
    </xf>
    <xf numFmtId="0" fontId="131" fillId="3" borderId="191" xfId="5" applyFont="1" applyFill="1" applyBorder="1" applyAlignment="1" applyProtection="1">
      <alignment vertical="center" wrapText="1"/>
      <protection locked="0"/>
    </xf>
    <xf numFmtId="0" fontId="131" fillId="0" borderId="191" xfId="37365" applyFont="1" applyBorder="1" applyAlignment="1" applyProtection="1">
      <alignment horizontal="center" vertical="center" wrapText="1"/>
      <protection locked="0"/>
    </xf>
    <xf numFmtId="3" fontId="131" fillId="3" borderId="191" xfId="1" applyNumberFormat="1" applyFont="1" applyFill="1" applyBorder="1" applyAlignment="1" applyProtection="1">
      <alignment horizontal="center" vertical="center" wrapText="1"/>
      <protection locked="0"/>
    </xf>
    <xf numFmtId="9" fontId="131" fillId="3" borderId="191" xfId="15" applyNumberFormat="1" applyFont="1" applyFill="1" applyBorder="1" applyAlignment="1" applyProtection="1">
      <alignment horizontal="center" vertical="center" wrapText="1"/>
      <protection locked="0"/>
    </xf>
    <xf numFmtId="0" fontId="131" fillId="3" borderId="191" xfId="37365" applyFont="1" applyFill="1" applyBorder="1" applyAlignment="1" applyProtection="1">
      <alignment horizontal="center" vertical="center" wrapText="1"/>
      <protection locked="0"/>
    </xf>
    <xf numFmtId="0" fontId="355" fillId="3" borderId="191" xfId="37365" applyFont="1" applyFill="1" applyBorder="1" applyProtection="1">
      <protection locked="0"/>
    </xf>
    <xf numFmtId="3" fontId="131" fillId="151" borderId="191" xfId="5" applyNumberFormat="1" applyFont="1" applyFill="1" applyBorder="1"/>
    <xf numFmtId="0" fontId="356" fillId="3" borderId="191" xfId="37365" applyFont="1" applyFill="1" applyBorder="1" applyAlignment="1" applyProtection="1">
      <alignment horizontal="right"/>
      <protection locked="0"/>
    </xf>
    <xf numFmtId="359" fontId="131" fillId="151" borderId="191" xfId="5" applyNumberFormat="1" applyFont="1" applyFill="1" applyBorder="1" applyProtection="1">
      <protection locked="0"/>
    </xf>
    <xf numFmtId="164" fontId="131" fillId="151" borderId="191" xfId="1" applyNumberFormat="1" applyFont="1" applyFill="1" applyBorder="1" applyAlignment="1" applyProtection="1"/>
    <xf numFmtId="0" fontId="131" fillId="3" borderId="191" xfId="37365" applyFont="1" applyFill="1" applyBorder="1" applyAlignment="1" applyProtection="1">
      <alignment horizontal="left" vertical="center"/>
      <protection locked="0"/>
    </xf>
    <xf numFmtId="3" fontId="131" fillId="3" borderId="191" xfId="5" applyNumberFormat="1" applyFont="1" applyFill="1" applyBorder="1" applyProtection="1">
      <protection locked="0"/>
    </xf>
    <xf numFmtId="0" fontId="131" fillId="3" borderId="191" xfId="5" applyFont="1" applyFill="1" applyBorder="1" applyProtection="1">
      <protection locked="0"/>
    </xf>
    <xf numFmtId="0" fontId="357" fillId="3" borderId="191" xfId="37365" applyFont="1" applyFill="1" applyBorder="1" applyAlignment="1" applyProtection="1">
      <alignment horizontal="right"/>
      <protection locked="0"/>
    </xf>
    <xf numFmtId="0" fontId="131" fillId="0" borderId="191" xfId="37365" applyFont="1" applyBorder="1" applyAlignment="1" applyProtection="1">
      <alignment horizontal="left" vertical="center"/>
      <protection locked="0"/>
    </xf>
    <xf numFmtId="0" fontId="355" fillId="3" borderId="191" xfId="16" applyFont="1" applyFill="1" applyBorder="1" applyProtection="1">
      <protection locked="0"/>
    </xf>
    <xf numFmtId="3" fontId="355" fillId="75" borderId="191" xfId="16" applyNumberFormat="1" applyFont="1" applyFill="1" applyBorder="1"/>
    <xf numFmtId="0" fontId="360" fillId="0" borderId="0" xfId="37364" applyFont="1" applyAlignment="1" applyProtection="1">
      <alignment vertical="center"/>
      <protection locked="0"/>
    </xf>
    <xf numFmtId="0" fontId="131" fillId="0" borderId="191" xfId="37365" applyFont="1" applyBorder="1" applyAlignment="1" applyProtection="1">
      <alignment horizontal="center" vertical="top" wrapText="1"/>
      <protection locked="0"/>
    </xf>
    <xf numFmtId="0" fontId="355" fillId="3" borderId="191" xfId="37365" applyFont="1" applyFill="1" applyBorder="1" applyAlignment="1" applyProtection="1">
      <alignment wrapText="1"/>
      <protection locked="0"/>
    </xf>
    <xf numFmtId="3" fontId="131" fillId="0" borderId="191" xfId="5" applyNumberFormat="1" applyFont="1" applyBorder="1"/>
    <xf numFmtId="0" fontId="120" fillId="75" borderId="96" xfId="20952" applyFont="1" applyFill="1" applyBorder="1">
      <alignment vertical="center"/>
    </xf>
    <xf numFmtId="0" fontId="120" fillId="75" borderId="97" xfId="20952" applyFont="1" applyFill="1" applyBorder="1">
      <alignment vertical="center"/>
    </xf>
    <xf numFmtId="0" fontId="120" fillId="75" borderId="94" xfId="20952" applyFont="1" applyFill="1" applyBorder="1">
      <alignment vertical="center"/>
    </xf>
    <xf numFmtId="164" fontId="120" fillId="75" borderId="94" xfId="7" applyNumberFormat="1" applyFont="1" applyFill="1" applyBorder="1" applyAlignment="1">
      <alignment horizontal="right" vertical="center"/>
    </xf>
    <xf numFmtId="0" fontId="120" fillId="76" borderId="97" xfId="20952" applyFont="1" applyFill="1" applyBorder="1">
      <alignment vertical="center"/>
    </xf>
    <xf numFmtId="0" fontId="120" fillId="3" borderId="97" xfId="20952" applyFont="1" applyFill="1" applyBorder="1">
      <alignment vertical="center"/>
    </xf>
    <xf numFmtId="0" fontId="94" fillId="69" borderId="93" xfId="20952" applyFont="1" applyFill="1" applyBorder="1" applyAlignment="1">
      <alignment horizontal="center" vertical="center"/>
    </xf>
    <xf numFmtId="0" fontId="94" fillId="69" borderId="94" xfId="20952" applyFont="1" applyFill="1" applyBorder="1" applyAlignment="1">
      <alignment horizontal="left" vertical="center" wrapText="1"/>
    </xf>
    <xf numFmtId="164" fontId="94" fillId="0" borderId="95" xfId="7" applyNumberFormat="1" applyFont="1" applyFill="1" applyBorder="1" applyAlignment="1" applyProtection="1">
      <alignment horizontal="right" vertical="center"/>
      <protection locked="0"/>
    </xf>
    <xf numFmtId="0" fontId="120" fillId="76" borderId="95" xfId="20952" applyFont="1" applyFill="1" applyBorder="1" applyAlignment="1">
      <alignment horizontal="center" vertical="center"/>
    </xf>
    <xf numFmtId="0" fontId="120" fillId="76" borderId="97" xfId="20952" applyFont="1" applyFill="1" applyBorder="1" applyAlignment="1">
      <alignment vertical="top" wrapText="1"/>
    </xf>
    <xf numFmtId="0" fontId="94" fillId="69" borderId="97" xfId="20952" applyFont="1" applyFill="1" applyBorder="1" applyAlignment="1">
      <alignment vertical="center" wrapText="1"/>
    </xf>
    <xf numFmtId="0" fontId="94" fillId="69" borderId="94" xfId="20952" applyFont="1" applyFill="1" applyBorder="1" applyAlignment="1">
      <alignment horizontal="left" vertical="center"/>
    </xf>
    <xf numFmtId="360" fontId="94" fillId="0" borderId="95" xfId="7" applyNumberFormat="1" applyFont="1" applyFill="1" applyBorder="1" applyAlignment="1" applyProtection="1">
      <alignment horizontal="right" vertical="center"/>
      <protection locked="0"/>
    </xf>
    <xf numFmtId="0" fontId="94" fillId="3" borderId="93" xfId="20952" applyFont="1" applyFill="1" applyBorder="1" applyAlignment="1">
      <alignment horizontal="center" vertical="center"/>
    </xf>
    <xf numFmtId="164" fontId="94" fillId="76" borderId="95" xfId="7" applyNumberFormat="1" applyFont="1" applyFill="1" applyBorder="1" applyAlignment="1" applyProtection="1">
      <alignment horizontal="right" vertical="center"/>
      <protection locked="0"/>
    </xf>
    <xf numFmtId="164" fontId="94" fillId="3" borderId="95" xfId="7" applyNumberFormat="1" applyFont="1" applyFill="1" applyBorder="1" applyAlignment="1" applyProtection="1">
      <alignment horizontal="right" vertical="center"/>
      <protection locked="0"/>
    </xf>
    <xf numFmtId="0" fontId="94" fillId="69" borderId="95" xfId="20952" applyFont="1" applyFill="1" applyBorder="1" applyAlignment="1">
      <alignment horizontal="center" vertical="center"/>
    </xf>
    <xf numFmtId="0" fontId="350" fillId="0" borderId="0" xfId="0" applyFont="1" applyAlignment="1">
      <alignment wrapText="1"/>
    </xf>
    <xf numFmtId="0" fontId="106" fillId="69" borderId="198" xfId="20952" applyFont="1" applyFill="1" applyBorder="1" applyAlignment="1" applyProtection="1">
      <alignment horizontal="center" vertical="center"/>
      <protection locked="0"/>
    </xf>
    <xf numFmtId="0" fontId="107" fillId="76" borderId="191" xfId="20952" applyFont="1" applyFill="1" applyBorder="1" applyAlignment="1" applyProtection="1">
      <alignment horizontal="center" vertical="center"/>
      <protection locked="0"/>
    </xf>
    <xf numFmtId="14" fontId="2" fillId="0" borderId="0" xfId="0" applyNumberFormat="1" applyFont="1" applyAlignment="1">
      <alignment horizontal="left"/>
    </xf>
    <xf numFmtId="14" fontId="94" fillId="0" borderId="0" xfId="0" applyNumberFormat="1" applyFont="1" applyAlignment="1">
      <alignment horizontal="left"/>
    </xf>
    <xf numFmtId="14" fontId="111" fillId="0" borderId="0" xfId="0" applyNumberFormat="1" applyFont="1" applyAlignment="1">
      <alignment horizontal="left"/>
    </xf>
    <xf numFmtId="14" fontId="3" fillId="0" borderId="0" xfId="0" applyNumberFormat="1" applyFont="1" applyAlignment="1">
      <alignment horizontal="left"/>
    </xf>
    <xf numFmtId="0" fontId="2" fillId="0" borderId="204" xfId="0" applyFont="1" applyBorder="1" applyAlignment="1">
      <alignment wrapText="1"/>
    </xf>
    <xf numFmtId="10" fontId="84" fillId="0" borderId="205" xfId="20950" applyNumberFormat="1" applyFont="1" applyBorder="1"/>
    <xf numFmtId="10" fontId="84" fillId="0" borderId="205" xfId="0" applyNumberFormat="1" applyFont="1" applyBorder="1"/>
    <xf numFmtId="10" fontId="84" fillId="0" borderId="3" xfId="20950" applyNumberFormat="1" applyFont="1" applyBorder="1" applyAlignment="1" applyProtection="1">
      <alignment vertical="center" wrapText="1"/>
      <protection locked="0"/>
    </xf>
    <xf numFmtId="10" fontId="84" fillId="0" borderId="18" xfId="20950" applyNumberFormat="1" applyFont="1" applyBorder="1" applyAlignment="1" applyProtection="1">
      <alignment vertical="center" wrapText="1"/>
      <protection locked="0"/>
    </xf>
    <xf numFmtId="10" fontId="2" fillId="0" borderId="3" xfId="20950" applyNumberFormat="1" applyFont="1" applyBorder="1" applyAlignment="1" applyProtection="1">
      <alignment horizontal="right" vertical="center" wrapText="1"/>
      <protection locked="0"/>
    </xf>
    <xf numFmtId="10" fontId="2" fillId="2" borderId="3" xfId="20950" applyNumberFormat="1" applyFont="1" applyFill="1" applyBorder="1" applyAlignment="1" applyProtection="1">
      <alignment vertical="center"/>
      <protection locked="0"/>
    </xf>
    <xf numFmtId="10" fontId="87" fillId="2" borderId="3" xfId="20950" applyNumberFormat="1" applyFont="1" applyFill="1" applyBorder="1" applyAlignment="1" applyProtection="1">
      <alignment vertical="center"/>
      <protection locked="0"/>
    </xf>
    <xf numFmtId="10" fontId="87" fillId="2" borderId="18" xfId="20950" applyNumberFormat="1" applyFont="1" applyFill="1" applyBorder="1" applyAlignment="1" applyProtection="1">
      <alignment vertical="center"/>
      <protection locked="0"/>
    </xf>
    <xf numFmtId="10" fontId="2" fillId="2" borderId="93" xfId="20950" applyNumberFormat="1" applyFont="1" applyFill="1" applyBorder="1" applyAlignment="1" applyProtection="1">
      <alignment vertical="center"/>
      <protection locked="0"/>
    </xf>
    <xf numFmtId="10" fontId="87" fillId="2" borderId="93" xfId="20950" applyNumberFormat="1" applyFont="1" applyFill="1" applyBorder="1" applyAlignment="1" applyProtection="1">
      <alignment vertical="center"/>
      <protection locked="0"/>
    </xf>
    <xf numFmtId="10" fontId="87" fillId="2" borderId="89" xfId="20950" applyNumberFormat="1" applyFont="1" applyFill="1" applyBorder="1" applyAlignment="1" applyProtection="1">
      <alignment vertical="center"/>
      <protection locked="0"/>
    </xf>
    <xf numFmtId="10" fontId="2" fillId="2" borderId="21" xfId="20950" applyNumberFormat="1" applyFont="1" applyFill="1" applyBorder="1" applyAlignment="1" applyProtection="1">
      <alignment vertical="center"/>
      <protection locked="0"/>
    </xf>
    <xf numFmtId="10" fontId="87" fillId="2" borderId="21" xfId="20950" applyNumberFormat="1" applyFont="1" applyFill="1" applyBorder="1" applyAlignment="1" applyProtection="1">
      <alignment vertical="center"/>
      <protection locked="0"/>
    </xf>
    <xf numFmtId="10" fontId="87" fillId="2" borderId="22" xfId="20950" applyNumberFormat="1" applyFont="1" applyFill="1" applyBorder="1" applyAlignment="1" applyProtection="1">
      <alignment vertical="center"/>
      <protection locked="0"/>
    </xf>
    <xf numFmtId="164" fontId="85" fillId="0" borderId="0" xfId="7" applyNumberFormat="1" applyFont="1"/>
    <xf numFmtId="164" fontId="350" fillId="0" borderId="0" xfId="7" applyNumberFormat="1" applyFont="1"/>
    <xf numFmtId="164" fontId="94" fillId="0" borderId="0" xfId="7" applyNumberFormat="1" applyFont="1"/>
    <xf numFmtId="164" fontId="94" fillId="0" borderId="110" xfId="7" applyNumberFormat="1" applyFont="1" applyBorder="1" applyAlignment="1">
      <alignment horizontal="center" vertical="center" wrapText="1"/>
    </xf>
    <xf numFmtId="164" fontId="350" fillId="0" borderId="110" xfId="7" applyNumberFormat="1" applyFont="1" applyBorder="1"/>
    <xf numFmtId="164" fontId="350" fillId="35" borderId="110" xfId="7" applyNumberFormat="1" applyFont="1" applyFill="1" applyBorder="1"/>
    <xf numFmtId="164" fontId="350" fillId="0" borderId="110" xfId="7" applyNumberFormat="1" applyFont="1" applyBorder="1" applyAlignment="1">
      <alignment vertical="center"/>
    </xf>
    <xf numFmtId="164" fontId="350" fillId="35" borderId="110" xfId="7" applyNumberFormat="1" applyFont="1" applyFill="1" applyBorder="1" applyAlignment="1">
      <alignment vertical="center"/>
    </xf>
    <xf numFmtId="164" fontId="350" fillId="35" borderId="123" xfId="7" applyNumberFormat="1" applyFont="1" applyFill="1" applyBorder="1"/>
    <xf numFmtId="164" fontId="350" fillId="0" borderId="123" xfId="7" applyNumberFormat="1" applyFont="1" applyBorder="1"/>
    <xf numFmtId="164" fontId="0" fillId="0" borderId="0" xfId="7" applyNumberFormat="1" applyFont="1"/>
    <xf numFmtId="164" fontId="2" fillId="0" borderId="0" xfId="7" applyNumberFormat="1" applyFont="1"/>
    <xf numFmtId="164" fontId="84" fillId="0" borderId="0" xfId="7" applyNumberFormat="1" applyFont="1"/>
    <xf numFmtId="164" fontId="2" fillId="0" borderId="123" xfId="7" applyNumberFormat="1" applyFont="1" applyBorder="1" applyAlignment="1">
      <alignment horizontal="center" vertical="center" wrapText="1"/>
    </xf>
    <xf numFmtId="164" fontId="0" fillId="0" borderId="123" xfId="7" applyNumberFormat="1" applyFont="1" applyBorder="1"/>
    <xf numFmtId="164" fontId="0" fillId="35" borderId="123" xfId="7" applyNumberFormat="1" applyFont="1" applyFill="1" applyBorder="1"/>
    <xf numFmtId="164" fontId="0" fillId="0" borderId="191" xfId="7" applyNumberFormat="1" applyFont="1" applyBorder="1"/>
    <xf numFmtId="164" fontId="0" fillId="35" borderId="191" xfId="7" applyNumberFormat="1" applyFont="1" applyFill="1" applyBorder="1"/>
    <xf numFmtId="164" fontId="45" fillId="0" borderId="15" xfId="7" applyNumberFormat="1" applyFont="1" applyBorder="1" applyAlignment="1">
      <alignment horizontal="center" vertical="center"/>
    </xf>
    <xf numFmtId="164" fontId="45" fillId="0" borderId="16" xfId="7" applyNumberFormat="1" applyFont="1" applyBorder="1" applyAlignment="1">
      <alignment horizontal="center" vertical="center"/>
    </xf>
    <xf numFmtId="164" fontId="2" fillId="0" borderId="123" xfId="7" applyNumberFormat="1" applyFont="1" applyBorder="1" applyAlignment="1">
      <alignment horizontal="right"/>
    </xf>
    <xf numFmtId="164" fontId="2" fillId="35" borderId="123" xfId="7" applyNumberFormat="1" applyFont="1" applyFill="1" applyBorder="1" applyAlignment="1">
      <alignment horizontal="right"/>
    </xf>
    <xf numFmtId="164" fontId="2" fillId="35" borderId="80" xfId="7" applyNumberFormat="1" applyFont="1" applyFill="1" applyBorder="1" applyAlignment="1">
      <alignment horizontal="right"/>
    </xf>
    <xf numFmtId="164" fontId="94" fillId="0" borderId="191" xfId="7" applyNumberFormat="1" applyFont="1" applyBorder="1" applyAlignment="1">
      <alignment horizontal="right"/>
    </xf>
    <xf numFmtId="164" fontId="94" fillId="35" borderId="191" xfId="7" applyNumberFormat="1" applyFont="1" applyFill="1" applyBorder="1" applyAlignment="1">
      <alignment horizontal="right"/>
    </xf>
    <xf numFmtId="164" fontId="94" fillId="0" borderId="0" xfId="7" applyNumberFormat="1" applyFont="1" applyAlignment="1">
      <alignment horizontal="right"/>
    </xf>
    <xf numFmtId="164" fontId="89" fillId="0" borderId="0" xfId="7" applyNumberFormat="1" applyFont="1"/>
    <xf numFmtId="164" fontId="46" fillId="0" borderId="0" xfId="7" applyNumberFormat="1" applyFont="1" applyAlignment="1">
      <alignment horizontal="center"/>
    </xf>
    <xf numFmtId="164" fontId="2" fillId="0" borderId="15" xfId="7" applyNumberFormat="1" applyFont="1" applyBorder="1" applyAlignment="1">
      <alignment horizontal="left" vertical="center" wrapText="1" indent="1"/>
    </xf>
    <xf numFmtId="164" fontId="2" fillId="0" borderId="16" xfId="7" applyNumberFormat="1" applyFont="1" applyBorder="1" applyAlignment="1">
      <alignment horizontal="left" vertical="center" wrapText="1" indent="1"/>
    </xf>
    <xf numFmtId="164" fontId="103" fillId="35" borderId="95" xfId="7" applyNumberFormat="1" applyFont="1" applyFill="1" applyBorder="1" applyAlignment="1">
      <alignment vertical="center" wrapText="1"/>
    </xf>
    <xf numFmtId="164" fontId="103" fillId="35" borderId="96" xfId="7" applyNumberFormat="1" applyFont="1" applyFill="1" applyBorder="1" applyAlignment="1">
      <alignment vertical="center" wrapText="1"/>
    </xf>
    <xf numFmtId="164" fontId="103" fillId="35" borderId="83" xfId="7" applyNumberFormat="1" applyFont="1" applyFill="1" applyBorder="1" applyAlignment="1">
      <alignment vertical="center" wrapText="1"/>
    </xf>
    <xf numFmtId="164" fontId="103" fillId="0" borderId="95" xfId="7" applyNumberFormat="1" applyFont="1" applyBorder="1" applyAlignment="1">
      <alignment vertical="center" wrapText="1"/>
    </xf>
    <xf numFmtId="164" fontId="103" fillId="0" borderId="96" xfId="7" applyNumberFormat="1" applyFont="1" applyBorder="1" applyAlignment="1">
      <alignment vertical="center" wrapText="1"/>
    </xf>
    <xf numFmtId="164" fontId="103" fillId="0" borderId="83" xfId="7" applyNumberFormat="1" applyFont="1" applyBorder="1" applyAlignment="1">
      <alignment vertical="center" wrapText="1"/>
    </xf>
    <xf numFmtId="164" fontId="103" fillId="35" borderId="21" xfId="7" applyNumberFormat="1" applyFont="1" applyFill="1" applyBorder="1" applyAlignment="1">
      <alignment vertical="center" wrapText="1"/>
    </xf>
    <xf numFmtId="164" fontId="103" fillId="35" borderId="23" xfId="7" applyNumberFormat="1" applyFont="1" applyFill="1" applyBorder="1" applyAlignment="1">
      <alignment vertical="center" wrapText="1"/>
    </xf>
    <xf numFmtId="164" fontId="103" fillId="35" borderId="37" xfId="7" applyNumberFormat="1" applyFont="1" applyFill="1" applyBorder="1" applyAlignment="1">
      <alignment vertical="center" wrapText="1"/>
    </xf>
    <xf numFmtId="164" fontId="89" fillId="0" borderId="0" xfId="0" applyNumberFormat="1" applyFont="1"/>
    <xf numFmtId="43" fontId="85" fillId="0" borderId="0" xfId="0" applyNumberFormat="1" applyFont="1"/>
    <xf numFmtId="164" fontId="86" fillId="0" borderId="79" xfId="7" applyNumberFormat="1" applyFont="1" applyBorder="1" applyAlignment="1">
      <alignment horizontal="center" vertical="center" wrapText="1"/>
    </xf>
    <xf numFmtId="164" fontId="84" fillId="0" borderId="79" xfId="7" applyNumberFormat="1" applyFont="1" applyFill="1" applyBorder="1" applyAlignment="1">
      <alignment horizontal="center" vertical="center"/>
    </xf>
    <xf numFmtId="164" fontId="84" fillId="0" borderId="123" xfId="7" applyNumberFormat="1" applyFont="1" applyFill="1" applyBorder="1" applyAlignment="1">
      <alignment horizontal="center" vertical="center"/>
    </xf>
    <xf numFmtId="164" fontId="86" fillId="35" borderId="21" xfId="7" applyNumberFormat="1" applyFont="1" applyFill="1" applyBorder="1" applyAlignment="1">
      <alignment horizontal="center" vertical="center"/>
    </xf>
    <xf numFmtId="191" fontId="84" fillId="0" borderId="0" xfId="0" applyNumberFormat="1" applyFont="1"/>
    <xf numFmtId="164" fontId="84" fillId="0" borderId="18" xfId="7" applyNumberFormat="1" applyFont="1" applyBorder="1"/>
    <xf numFmtId="164" fontId="84" fillId="35" borderId="18" xfId="7" applyNumberFormat="1" applyFont="1" applyFill="1" applyBorder="1" applyAlignment="1">
      <alignment horizontal="center" vertical="center" wrapText="1"/>
    </xf>
    <xf numFmtId="164" fontId="84" fillId="0" borderId="18" xfId="7" applyNumberFormat="1" applyFont="1" applyBorder="1" applyAlignment="1">
      <alignment wrapText="1"/>
    </xf>
    <xf numFmtId="164" fontId="84" fillId="35" borderId="22" xfId="7" applyNumberFormat="1" applyFont="1" applyFill="1" applyBorder="1" applyAlignment="1">
      <alignment horizontal="center" vertical="center" wrapText="1"/>
    </xf>
    <xf numFmtId="164" fontId="2" fillId="3" borderId="16" xfId="7" applyNumberFormat="1" applyFont="1" applyFill="1" applyBorder="1" applyAlignment="1" applyProtection="1">
      <alignment horizontal="center" vertical="center"/>
      <protection locked="0"/>
    </xf>
    <xf numFmtId="164" fontId="2" fillId="35" borderId="18" xfId="7" applyNumberFormat="1" applyFont="1" applyFill="1" applyBorder="1" applyAlignment="1" applyProtection="1">
      <alignment vertical="top"/>
    </xf>
    <xf numFmtId="164" fontId="2" fillId="3" borderId="18" xfId="7" applyNumberFormat="1" applyFont="1" applyFill="1" applyBorder="1" applyAlignment="1" applyProtection="1">
      <alignment vertical="top"/>
      <protection locked="0"/>
    </xf>
    <xf numFmtId="164" fontId="2" fillId="35" borderId="18" xfId="7" applyNumberFormat="1" applyFont="1" applyFill="1" applyBorder="1" applyAlignment="1" applyProtection="1">
      <alignment vertical="top" wrapText="1"/>
    </xf>
    <xf numFmtId="164" fontId="2" fillId="3" borderId="18" xfId="7" applyNumberFormat="1" applyFont="1" applyFill="1" applyBorder="1" applyAlignment="1" applyProtection="1">
      <alignment vertical="top" wrapText="1"/>
      <protection locked="0"/>
    </xf>
    <xf numFmtId="164" fontId="2" fillId="35" borderId="18" xfId="7" applyNumberFormat="1" applyFont="1" applyFill="1" applyBorder="1" applyAlignment="1" applyProtection="1">
      <alignment vertical="top" wrapText="1"/>
      <protection locked="0"/>
    </xf>
    <xf numFmtId="164" fontId="2" fillId="35" borderId="22" xfId="7" applyNumberFormat="1" applyFont="1" applyFill="1" applyBorder="1" applyAlignment="1" applyProtection="1">
      <alignment vertical="top" wrapText="1"/>
    </xf>
    <xf numFmtId="43" fontId="3" fillId="0" borderId="0" xfId="7" applyFont="1" applyAlignment="1">
      <alignment horizontal="left" vertical="center"/>
    </xf>
    <xf numFmtId="164" fontId="3" fillId="0" borderId="80" xfId="7" applyNumberFormat="1" applyFont="1" applyBorder="1" applyAlignment="1">
      <alignment horizontal="right" vertical="center" wrapText="1"/>
    </xf>
    <xf numFmtId="164" fontId="4" fillId="35" borderId="80" xfId="7" applyNumberFormat="1" applyFont="1" applyFill="1" applyBorder="1" applyAlignment="1">
      <alignment horizontal="left" vertical="center" wrapText="1"/>
    </xf>
    <xf numFmtId="164" fontId="4" fillId="35" borderId="80" xfId="7" applyNumberFormat="1" applyFont="1" applyFill="1" applyBorder="1" applyAlignment="1">
      <alignment horizontal="center" vertical="center" wrapText="1"/>
    </xf>
    <xf numFmtId="164" fontId="3" fillId="0" borderId="22" xfId="7" applyNumberFormat="1" applyFont="1" applyBorder="1" applyAlignment="1">
      <alignment horizontal="right" vertical="center" wrapText="1"/>
    </xf>
    <xf numFmtId="164" fontId="84" fillId="0" borderId="58" xfId="7" applyNumberFormat="1" applyFont="1" applyBorder="1" applyAlignment="1">
      <alignment horizontal="center" vertical="center" wrapText="1"/>
    </xf>
    <xf numFmtId="164" fontId="84" fillId="0" borderId="30" xfId="7" applyNumberFormat="1" applyFont="1" applyBorder="1" applyAlignment="1">
      <alignment horizontal="center" vertical="center"/>
    </xf>
    <xf numFmtId="164" fontId="84" fillId="0" borderId="11" xfId="7" applyNumberFormat="1" applyFont="1" applyBorder="1" applyAlignment="1">
      <alignment horizontal="center" vertical="center"/>
    </xf>
    <xf numFmtId="164" fontId="88" fillId="0" borderId="11" xfId="7" applyNumberFormat="1" applyFont="1" applyBorder="1" applyAlignment="1">
      <alignment horizontal="center" vertical="center"/>
    </xf>
    <xf numFmtId="164" fontId="84" fillId="0" borderId="13" xfId="7" applyNumberFormat="1" applyFont="1" applyBorder="1" applyAlignment="1">
      <alignment horizontal="center" vertical="center"/>
    </xf>
    <xf numFmtId="164" fontId="84" fillId="0" borderId="12" xfId="7" applyNumberFormat="1" applyFont="1" applyBorder="1" applyAlignment="1">
      <alignment horizontal="center" vertical="center"/>
    </xf>
    <xf numFmtId="164" fontId="88" fillId="0" borderId="12" xfId="7" applyNumberFormat="1" applyFont="1" applyBorder="1" applyAlignment="1">
      <alignment vertical="center"/>
    </xf>
    <xf numFmtId="164" fontId="84" fillId="0" borderId="123" xfId="7" applyNumberFormat="1" applyFont="1" applyBorder="1" applyAlignment="1">
      <alignment horizontal="center"/>
    </xf>
    <xf numFmtId="164" fontId="84" fillId="0" borderId="123" xfId="7" applyNumberFormat="1" applyFont="1" applyBorder="1"/>
    <xf numFmtId="0" fontId="350" fillId="0" borderId="80" xfId="0" applyFont="1" applyBorder="1"/>
    <xf numFmtId="0" fontId="350" fillId="0" borderId="206" xfId="0" applyFont="1" applyBorder="1"/>
    <xf numFmtId="164" fontId="84" fillId="0" borderId="3" xfId="7" applyNumberFormat="1" applyFont="1" applyBorder="1"/>
    <xf numFmtId="164" fontId="84" fillId="35" borderId="21" xfId="7" applyNumberFormat="1" applyFont="1" applyFill="1" applyBorder="1"/>
    <xf numFmtId="164" fontId="84" fillId="0" borderId="0" xfId="0" applyNumberFormat="1" applyFont="1"/>
    <xf numFmtId="164" fontId="84" fillId="0" borderId="17" xfId="7" applyNumberFormat="1" applyFont="1" applyBorder="1"/>
    <xf numFmtId="164" fontId="84" fillId="0" borderId="19" xfId="7" applyNumberFormat="1" applyFont="1" applyBorder="1"/>
    <xf numFmtId="164" fontId="84" fillId="35" borderId="51" xfId="7" applyNumberFormat="1" applyFont="1" applyFill="1" applyBorder="1"/>
    <xf numFmtId="164" fontId="84" fillId="35" borderId="20" xfId="7" applyNumberFormat="1" applyFont="1" applyFill="1" applyBorder="1"/>
    <xf numFmtId="164" fontId="84" fillId="35" borderId="22" xfId="7" applyNumberFormat="1" applyFont="1" applyFill="1" applyBorder="1"/>
    <xf numFmtId="164" fontId="84" fillId="35" borderId="52" xfId="7" applyNumberFormat="1" applyFont="1" applyFill="1" applyBorder="1"/>
    <xf numFmtId="164" fontId="3" fillId="0" borderId="3" xfId="7" applyNumberFormat="1" applyFont="1" applyBorder="1"/>
    <xf numFmtId="164" fontId="3" fillId="35" borderId="21" xfId="7" applyNumberFormat="1" applyFont="1" applyFill="1" applyBorder="1"/>
    <xf numFmtId="164" fontId="84" fillId="0" borderId="0" xfId="0" applyNumberFormat="1" applyFont="1" applyAlignment="1">
      <alignment horizontal="center" vertical="center" wrapText="1"/>
    </xf>
    <xf numFmtId="9" fontId="3" fillId="0" borderId="18" xfId="20950" applyFont="1" applyBorder="1"/>
    <xf numFmtId="9" fontId="3" fillId="0" borderId="80" xfId="20950" applyFont="1" applyBorder="1"/>
    <xf numFmtId="9" fontId="3" fillId="35" borderId="22" xfId="20950" applyFont="1" applyFill="1" applyBorder="1"/>
    <xf numFmtId="164" fontId="3" fillId="0" borderId="0" xfId="7" applyNumberFormat="1" applyFont="1"/>
    <xf numFmtId="164" fontId="3" fillId="0" borderId="207" xfId="7" applyNumberFormat="1" applyFont="1" applyFill="1" applyBorder="1" applyAlignment="1">
      <alignment vertical="center"/>
    </xf>
    <xf numFmtId="164" fontId="3" fillId="0" borderId="208" xfId="7" applyNumberFormat="1" applyFont="1" applyFill="1" applyBorder="1" applyAlignment="1">
      <alignment vertical="center"/>
    </xf>
    <xf numFmtId="164" fontId="3" fillId="0" borderId="188" xfId="7" applyNumberFormat="1" applyFont="1" applyFill="1" applyBorder="1" applyAlignment="1">
      <alignment vertical="center"/>
    </xf>
    <xf numFmtId="164" fontId="3" fillId="0" borderId="89" xfId="7" applyNumberFormat="1" applyFont="1" applyFill="1" applyBorder="1" applyAlignment="1">
      <alignment vertical="center"/>
    </xf>
    <xf numFmtId="10" fontId="3" fillId="0" borderId="209" xfId="20950" applyNumberFormat="1" applyFont="1" applyFill="1" applyBorder="1" applyAlignment="1">
      <alignment vertical="center"/>
    </xf>
    <xf numFmtId="10" fontId="3" fillId="0" borderId="210" xfId="20950" applyNumberFormat="1" applyFont="1" applyFill="1" applyBorder="1" applyAlignment="1">
      <alignment vertical="center"/>
    </xf>
    <xf numFmtId="164" fontId="3" fillId="3" borderId="82" xfId="7" applyNumberFormat="1" applyFont="1" applyFill="1" applyBorder="1" applyAlignment="1">
      <alignment vertical="center"/>
    </xf>
    <xf numFmtId="164" fontId="3" fillId="3" borderId="83" xfId="7" applyNumberFormat="1" applyFont="1" applyFill="1" applyBorder="1" applyAlignment="1">
      <alignment vertical="center"/>
    </xf>
    <xf numFmtId="164" fontId="9" fillId="36" borderId="0" xfId="7" applyNumberFormat="1" applyFont="1" applyFill="1"/>
    <xf numFmtId="164" fontId="3" fillId="0" borderId="84" xfId="7" applyNumberFormat="1" applyFont="1" applyBorder="1" applyAlignment="1">
      <alignment vertical="center"/>
    </xf>
    <xf numFmtId="164" fontId="3" fillId="0" borderId="63" xfId="7" applyNumberFormat="1" applyFont="1" applyBorder="1" applyAlignment="1">
      <alignment vertical="center"/>
    </xf>
    <xf numFmtId="164" fontId="3" fillId="0" borderId="79" xfId="7" applyNumberFormat="1" applyFont="1" applyBorder="1" applyAlignment="1">
      <alignment vertical="center"/>
    </xf>
    <xf numFmtId="164" fontId="3" fillId="0" borderId="85" xfId="7" applyNumberFormat="1" applyFont="1" applyBorder="1" applyAlignment="1">
      <alignment vertical="center"/>
    </xf>
    <xf numFmtId="164" fontId="3" fillId="0" borderId="80" xfId="7" applyNumberFormat="1" applyFont="1" applyBorder="1" applyAlignment="1">
      <alignment vertical="center"/>
    </xf>
    <xf numFmtId="164" fontId="3" fillId="0" borderId="21" xfId="7" applyNumberFormat="1" applyFont="1" applyBorder="1" applyAlignment="1">
      <alignment vertical="center"/>
    </xf>
    <xf numFmtId="164" fontId="3" fillId="0" borderId="23" xfId="7" applyNumberFormat="1" applyFont="1" applyBorder="1" applyAlignment="1">
      <alignment vertical="center"/>
    </xf>
    <xf numFmtId="164" fontId="3" fillId="0" borderId="22" xfId="7" applyNumberFormat="1" applyFont="1" applyBorder="1" applyAlignment="1">
      <alignment vertical="center"/>
    </xf>
    <xf numFmtId="164" fontId="3" fillId="3" borderId="0" xfId="7" applyNumberFormat="1" applyFont="1" applyFill="1" applyAlignment="1">
      <alignment vertical="center"/>
    </xf>
    <xf numFmtId="164" fontId="9" fillId="36" borderId="54" xfId="7" applyNumberFormat="1" applyFont="1" applyFill="1" applyBorder="1"/>
    <xf numFmtId="164" fontId="9" fillId="36" borderId="23" xfId="7" applyNumberFormat="1" applyFont="1" applyFill="1" applyBorder="1"/>
    <xf numFmtId="164" fontId="9" fillId="36" borderId="88" xfId="7" applyNumberFormat="1" applyFont="1" applyFill="1" applyBorder="1"/>
    <xf numFmtId="164" fontId="9" fillId="36" borderId="24" xfId="7" applyNumberFormat="1" applyFont="1" applyFill="1" applyBorder="1"/>
    <xf numFmtId="164" fontId="350" fillId="0" borderId="0" xfId="0" applyNumberFormat="1" applyFont="1"/>
    <xf numFmtId="10" fontId="94" fillId="0" borderId="95" xfId="20950" applyNumberFormat="1" applyFont="1" applyFill="1" applyBorder="1" applyAlignment="1" applyProtection="1">
      <alignment horizontal="right" vertical="center"/>
      <protection locked="0"/>
    </xf>
    <xf numFmtId="43" fontId="111" fillId="0" borderId="0" xfId="7" applyFont="1"/>
    <xf numFmtId="164" fontId="111" fillId="0" borderId="0" xfId="7" applyNumberFormat="1" applyFont="1"/>
    <xf numFmtId="164" fontId="111" fillId="0" borderId="123" xfId="7" applyNumberFormat="1" applyFont="1" applyBorder="1"/>
    <xf numFmtId="164" fontId="114" fillId="0" borderId="123" xfId="7" applyNumberFormat="1" applyFont="1" applyBorder="1"/>
    <xf numFmtId="164" fontId="110" fillId="0" borderId="123" xfId="7" applyNumberFormat="1" applyFont="1" applyBorder="1"/>
    <xf numFmtId="164" fontId="110" fillId="35" borderId="123" xfId="7" applyNumberFormat="1" applyFont="1" applyFill="1" applyBorder="1"/>
    <xf numFmtId="164" fontId="113" fillId="0" borderId="123" xfId="7" applyNumberFormat="1" applyFont="1" applyBorder="1"/>
    <xf numFmtId="164" fontId="113" fillId="35" borderId="123" xfId="7" applyNumberFormat="1" applyFont="1" applyFill="1" applyBorder="1"/>
    <xf numFmtId="164" fontId="111" fillId="0" borderId="0" xfId="0" applyNumberFormat="1" applyFont="1"/>
    <xf numFmtId="164" fontId="111" fillId="77" borderId="123" xfId="7" applyNumberFormat="1" applyFont="1" applyFill="1" applyBorder="1"/>
    <xf numFmtId="164" fontId="110" fillId="0" borderId="0" xfId="7" applyNumberFormat="1" applyFont="1"/>
    <xf numFmtId="164" fontId="110" fillId="0" borderId="123" xfId="7" applyNumberFormat="1" applyFont="1" applyBorder="1" applyAlignment="1">
      <alignment horizontal="left" indent="1"/>
    </xf>
    <xf numFmtId="164" fontId="110" fillId="0" borderId="17" xfId="7" applyNumberFormat="1" applyFont="1" applyBorder="1"/>
    <xf numFmtId="164" fontId="110" fillId="0" borderId="80" xfId="7" applyNumberFormat="1" applyFont="1" applyBorder="1"/>
    <xf numFmtId="164" fontId="110" fillId="0" borderId="126" xfId="7" applyNumberFormat="1" applyFont="1" applyBorder="1"/>
    <xf numFmtId="164" fontId="110" fillId="0" borderId="17" xfId="7" applyNumberFormat="1" applyFont="1" applyBorder="1" applyAlignment="1">
      <alignment horizontal="left" indent="1"/>
    </xf>
    <xf numFmtId="164" fontId="110" fillId="0" borderId="17" xfId="7" applyNumberFormat="1" applyFont="1" applyBorder="1" applyAlignment="1">
      <alignment horizontal="left" indent="2"/>
    </xf>
    <xf numFmtId="164" fontId="110" fillId="0" borderId="17" xfId="7" applyNumberFormat="1" applyFont="1" applyBorder="1" applyAlignment="1">
      <alignment horizontal="left" indent="3"/>
    </xf>
    <xf numFmtId="164" fontId="110" fillId="0" borderId="17" xfId="7" applyNumberFormat="1" applyFont="1" applyBorder="1" applyAlignment="1">
      <alignment horizontal="left" vertical="top" wrapText="1" indent="2"/>
    </xf>
    <xf numFmtId="164" fontId="110" fillId="0" borderId="17" xfId="7" applyNumberFormat="1" applyFont="1" applyBorder="1" applyAlignment="1">
      <alignment horizontal="left" wrapText="1" indent="3"/>
    </xf>
    <xf numFmtId="164" fontId="110" fillId="0" borderId="17" xfId="7" applyNumberFormat="1" applyFont="1" applyBorder="1" applyAlignment="1">
      <alignment horizontal="left" wrapText="1" indent="2"/>
    </xf>
    <xf numFmtId="164" fontId="110" fillId="0" borderId="17" xfId="7" applyNumberFormat="1" applyFont="1" applyBorder="1" applyAlignment="1">
      <alignment horizontal="left" wrapText="1" indent="1"/>
    </xf>
    <xf numFmtId="164" fontId="110" fillId="0" borderId="20" xfId="7" applyNumberFormat="1" applyFont="1" applyBorder="1" applyAlignment="1">
      <alignment horizontal="left" wrapText="1" indent="1"/>
    </xf>
    <xf numFmtId="164" fontId="110" fillId="0" borderId="21" xfId="7" applyNumberFormat="1" applyFont="1" applyBorder="1"/>
    <xf numFmtId="164" fontId="110" fillId="0" borderId="22" xfId="7" applyNumberFormat="1" applyFont="1" applyBorder="1"/>
    <xf numFmtId="164" fontId="110" fillId="0" borderId="24" xfId="7" applyNumberFormat="1" applyFont="1" applyBorder="1"/>
    <xf numFmtId="164" fontId="110" fillId="0" borderId="191" xfId="7" applyNumberFormat="1" applyFont="1" applyBorder="1" applyAlignment="1">
      <alignment horizontal="left" vertical="center" wrapText="1"/>
    </xf>
    <xf numFmtId="164" fontId="110" fillId="0" borderId="191" xfId="7" applyNumberFormat="1" applyFont="1" applyBorder="1"/>
    <xf numFmtId="164" fontId="110" fillId="0" borderId="191" xfId="7" applyNumberFormat="1" applyFont="1" applyBorder="1" applyAlignment="1">
      <alignment horizontal="center" vertical="center" textRotation="90" wrapText="1"/>
    </xf>
    <xf numFmtId="164" fontId="110" fillId="0" borderId="191" xfId="7" applyNumberFormat="1" applyFont="1" applyBorder="1" applyAlignment="1">
      <alignment horizontal="center" vertical="center" wrapText="1"/>
    </xf>
    <xf numFmtId="164" fontId="110" fillId="0" borderId="191" xfId="7" applyNumberFormat="1" applyFont="1" applyBorder="1" applyAlignment="1">
      <alignment horizontal="center" vertical="center"/>
    </xf>
    <xf numFmtId="164" fontId="120" fillId="0" borderId="191" xfId="0" applyNumberFormat="1" applyFont="1" applyBorder="1" applyAlignment="1">
      <alignment horizontal="left" vertical="center" wrapText="1"/>
    </xf>
    <xf numFmtId="164" fontId="110" fillId="0" borderId="0" xfId="0" applyNumberFormat="1" applyFont="1"/>
    <xf numFmtId="164" fontId="115" fillId="0" borderId="0" xfId="0" applyNumberFormat="1" applyFont="1"/>
    <xf numFmtId="164" fontId="115" fillId="0" borderId="123" xfId="7" applyNumberFormat="1" applyFont="1" applyBorder="1"/>
    <xf numFmtId="164" fontId="115" fillId="0" borderId="127" xfId="7" applyNumberFormat="1" applyFont="1" applyBorder="1"/>
    <xf numFmtId="164" fontId="131" fillId="0" borderId="0" xfId="0" applyNumberFormat="1" applyFont="1"/>
    <xf numFmtId="165" fontId="115" fillId="0" borderId="191" xfId="20950" applyNumberFormat="1" applyFont="1" applyBorder="1"/>
    <xf numFmtId="10" fontId="115" fillId="0" borderId="191" xfId="20950" applyNumberFormat="1" applyFont="1" applyBorder="1"/>
    <xf numFmtId="165" fontId="115" fillId="0" borderId="198" xfId="20950" applyNumberFormat="1" applyFont="1" applyBorder="1"/>
    <xf numFmtId="10" fontId="115" fillId="0" borderId="198" xfId="20950" applyNumberFormat="1" applyFont="1" applyBorder="1"/>
    <xf numFmtId="0" fontId="93" fillId="0" borderId="65" xfId="0" applyFont="1" applyBorder="1" applyAlignment="1">
      <alignment horizontal="left" wrapText="1"/>
    </xf>
    <xf numFmtId="0" fontId="93" fillId="0" borderId="64" xfId="0" applyFont="1" applyBorder="1" applyAlignment="1">
      <alignment horizontal="left" wrapText="1"/>
    </xf>
    <xf numFmtId="0" fontId="93" fillId="0" borderId="131" xfId="0" applyFont="1" applyBorder="1" applyAlignment="1">
      <alignment horizontal="center" vertical="center"/>
    </xf>
    <xf numFmtId="0" fontId="93" fillId="0" borderId="29" xfId="0" applyFont="1" applyBorder="1" applyAlignment="1">
      <alignment horizontal="center" vertical="center"/>
    </xf>
    <xf numFmtId="0" fontId="93" fillId="0" borderId="132" xfId="0" applyFont="1" applyBorder="1" applyAlignment="1">
      <alignment horizontal="center" vertical="center"/>
    </xf>
    <xf numFmtId="164" fontId="350" fillId="0" borderId="124" xfId="7" applyNumberFormat="1" applyFont="1" applyBorder="1" applyAlignment="1">
      <alignment horizontal="center"/>
    </xf>
    <xf numFmtId="164" fontId="350" fillId="0" borderId="125" xfId="7" applyNumberFormat="1" applyFont="1" applyBorder="1" applyAlignment="1">
      <alignment horizontal="center"/>
    </xf>
    <xf numFmtId="164" fontId="350" fillId="0" borderId="126" xfId="7" applyNumberFormat="1" applyFont="1" applyBorder="1" applyAlignment="1">
      <alignment horizontal="center"/>
    </xf>
    <xf numFmtId="0" fontId="350" fillId="0" borderId="110" xfId="0" applyFont="1" applyBorder="1" applyAlignment="1">
      <alignment horizontal="center" vertical="center"/>
    </xf>
    <xf numFmtId="0" fontId="351" fillId="0" borderId="111" xfId="0" applyFont="1" applyBorder="1" applyAlignment="1">
      <alignment horizontal="center" vertical="center"/>
    </xf>
    <xf numFmtId="0" fontId="351" fillId="0" borderId="7" xfId="0" applyFont="1" applyBorder="1" applyAlignment="1">
      <alignment horizontal="center" vertical="center"/>
    </xf>
    <xf numFmtId="164" fontId="120" fillId="0" borderId="15" xfId="7" applyNumberFormat="1" applyFont="1" applyBorder="1" applyAlignment="1">
      <alignment horizontal="center" vertical="center"/>
    </xf>
    <xf numFmtId="164" fontId="120" fillId="0" borderId="16" xfId="7" applyNumberFormat="1" applyFont="1" applyBorder="1" applyAlignment="1">
      <alignment horizontal="center" vertical="center"/>
    </xf>
    <xf numFmtId="164" fontId="350" fillId="0" borderId="112" xfId="7" applyNumberFormat="1" applyFont="1" applyBorder="1" applyAlignment="1">
      <alignment horizontal="center"/>
    </xf>
    <xf numFmtId="164" fontId="350" fillId="0" borderId="113" xfId="7" applyNumberFormat="1" applyFont="1" applyBorder="1" applyAlignment="1">
      <alignment horizontal="center"/>
    </xf>
    <xf numFmtId="164" fontId="350" fillId="0" borderId="114" xfId="7" applyNumberFormat="1" applyFont="1" applyBorder="1" applyAlignment="1">
      <alignment horizontal="center"/>
    </xf>
    <xf numFmtId="0" fontId="0" fillId="0" borderId="67" xfId="0" applyBorder="1" applyAlignment="1">
      <alignment horizontal="center" vertical="center"/>
    </xf>
    <xf numFmtId="0" fontId="0" fillId="0" borderId="74" xfId="0" applyBorder="1" applyAlignment="1">
      <alignment horizontal="center" vertical="center"/>
    </xf>
    <xf numFmtId="0" fontId="119" fillId="0" borderId="127" xfId="0" applyFont="1" applyBorder="1" applyAlignment="1">
      <alignment horizontal="center" vertical="center" wrapText="1"/>
    </xf>
    <xf numFmtId="0" fontId="119" fillId="0" borderId="7"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164" fontId="45" fillId="0" borderId="15" xfId="7" applyNumberFormat="1" applyFont="1" applyBorder="1" applyAlignment="1">
      <alignment horizontal="center" vertical="center"/>
    </xf>
    <xf numFmtId="164" fontId="45" fillId="0" borderId="16" xfId="7" applyNumberFormat="1"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9" xfId="0" applyFont="1" applyBorder="1" applyAlignment="1">
      <alignment horizontal="center" vertical="center" wrapText="1"/>
    </xf>
    <xf numFmtId="0" fontId="84" fillId="0" borderId="79" xfId="0" applyFont="1" applyBorder="1" applyAlignment="1">
      <alignment horizontal="center" vertical="center" wrapText="1"/>
    </xf>
    <xf numFmtId="164" fontId="86" fillId="0" borderId="79" xfId="7" applyNumberFormat="1" applyFont="1" applyBorder="1" applyAlignment="1">
      <alignment horizontal="center" vertical="center" wrapText="1"/>
    </xf>
    <xf numFmtId="164" fontId="45" fillId="0" borderId="79" xfId="7" applyNumberFormat="1" applyFont="1" applyBorder="1" applyAlignment="1">
      <alignment horizontal="center" vertical="center" wrapText="1"/>
    </xf>
    <xf numFmtId="164" fontId="45" fillId="0" borderId="80" xfId="7" applyNumberFormat="1" applyFont="1" applyBorder="1" applyAlignment="1">
      <alignment horizontal="center" vertical="center" wrapText="1"/>
    </xf>
    <xf numFmtId="0" fontId="45" fillId="0" borderId="69"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3"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3" xfId="0" applyFont="1" applyFill="1" applyBorder="1" applyAlignment="1">
      <alignment horizontal="center" vertical="center" wrapText="1"/>
    </xf>
    <xf numFmtId="0" fontId="4" fillId="83" borderId="80"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70" xfId="13" applyFont="1" applyFill="1" applyBorder="1" applyAlignment="1" applyProtection="1">
      <alignment horizontal="center" vertical="center" wrapText="1"/>
      <protection locked="0"/>
    </xf>
    <xf numFmtId="0" fontId="98" fillId="3" borderId="63"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8"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4" fontId="45" fillId="0" borderId="71" xfId="1" applyNumberFormat="1" applyFont="1" applyFill="1" applyBorder="1" applyAlignment="1" applyProtection="1">
      <alignment horizontal="center" vertical="center" wrapText="1"/>
      <protection locked="0"/>
    </xf>
    <xf numFmtId="164" fontId="45" fillId="0" borderId="72" xfId="1" applyNumberFormat="1" applyFont="1" applyFill="1" applyBorder="1" applyAlignment="1" applyProtection="1">
      <alignment horizontal="center" vertical="center" wrapText="1"/>
      <protection locked="0"/>
    </xf>
    <xf numFmtId="0" fontId="3" fillId="0" borderId="70" xfId="0" applyFont="1" applyBorder="1" applyAlignment="1">
      <alignment horizontal="center" vertical="center" wrapText="1"/>
    </xf>
    <xf numFmtId="0" fontId="3" fillId="0" borderId="63" xfId="0" applyFont="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3" xfId="0" applyFont="1" applyBorder="1" applyAlignment="1">
      <alignment horizontal="left" vertical="center"/>
    </xf>
    <xf numFmtId="0" fontId="99" fillId="0" borderId="54" xfId="0" applyFont="1" applyBorder="1" applyAlignment="1">
      <alignment horizontal="left" vertical="center"/>
    </xf>
    <xf numFmtId="0" fontId="3" fillId="0" borderId="54" xfId="0" applyFont="1" applyBorder="1" applyAlignment="1">
      <alignment horizontal="center" vertical="center" wrapText="1"/>
    </xf>
    <xf numFmtId="0" fontId="3" fillId="0" borderId="76" xfId="0" applyFont="1" applyBorder="1" applyAlignment="1">
      <alignment horizontal="center" vertical="center" wrapText="1"/>
    </xf>
    <xf numFmtId="164" fontId="3" fillId="0" borderId="58" xfId="7" applyNumberFormat="1" applyFont="1" applyBorder="1" applyAlignment="1">
      <alignment horizontal="center" vertical="center" wrapText="1"/>
    </xf>
    <xf numFmtId="164" fontId="3" fillId="0" borderId="54" xfId="7" applyNumberFormat="1" applyFont="1" applyBorder="1" applyAlignment="1">
      <alignment horizontal="center" vertical="center" wrapText="1"/>
    </xf>
    <xf numFmtId="164" fontId="3" fillId="0" borderId="76" xfId="7" applyNumberFormat="1"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80" xfId="0" applyFont="1" applyBorder="1" applyAlignment="1">
      <alignment horizontal="center" vertical="center" wrapText="1"/>
    </xf>
    <xf numFmtId="0" fontId="113" fillId="0" borderId="100" xfId="0" applyFont="1" applyBorder="1" applyAlignment="1">
      <alignment horizontal="left" vertical="center" wrapText="1"/>
    </xf>
    <xf numFmtId="0" fontId="113" fillId="0" borderId="101" xfId="0" applyFont="1" applyBorder="1" applyAlignment="1">
      <alignment horizontal="left" vertical="center" wrapText="1"/>
    </xf>
    <xf numFmtId="0" fontId="113" fillId="0" borderId="105" xfId="0" applyFont="1" applyBorder="1" applyAlignment="1">
      <alignment horizontal="left" vertical="center" wrapText="1"/>
    </xf>
    <xf numFmtId="0" fontId="113" fillId="0" borderId="106" xfId="0" applyFont="1" applyBorder="1" applyAlignment="1">
      <alignment horizontal="left" vertical="center" wrapText="1"/>
    </xf>
    <xf numFmtId="0" fontId="113" fillId="0" borderId="108" xfId="0" applyFont="1" applyBorder="1" applyAlignment="1">
      <alignment horizontal="left" vertical="center" wrapText="1"/>
    </xf>
    <xf numFmtId="0" fontId="113" fillId="0" borderId="109" xfId="0" applyFont="1" applyBorder="1" applyAlignment="1">
      <alignment horizontal="left" vertical="center" wrapText="1"/>
    </xf>
    <xf numFmtId="0" fontId="114" fillId="0" borderId="102" xfId="0" applyFont="1" applyBorder="1" applyAlignment="1">
      <alignment horizontal="center" vertical="center" wrapText="1"/>
    </xf>
    <xf numFmtId="0" fontId="114" fillId="0" borderId="103" xfId="0" applyFont="1" applyBorder="1" applyAlignment="1">
      <alignment horizontal="center" vertical="center" wrapText="1"/>
    </xf>
    <xf numFmtId="0" fontId="114" fillId="0" borderId="104" xfId="0" applyFont="1" applyBorder="1" applyAlignment="1">
      <alignment horizontal="center" vertical="center" wrapText="1"/>
    </xf>
    <xf numFmtId="0" fontId="114" fillId="0" borderId="84" xfId="0" applyFont="1" applyBorder="1" applyAlignment="1">
      <alignment horizontal="center" vertical="center" wrapText="1"/>
    </xf>
    <xf numFmtId="0" fontId="114" fillId="0" borderId="107" xfId="0" applyFont="1" applyBorder="1" applyAlignment="1">
      <alignment horizontal="center" vertical="center" wrapText="1"/>
    </xf>
    <xf numFmtId="0" fontId="114" fillId="0" borderId="74" xfId="0" applyFont="1" applyBorder="1" applyAlignment="1">
      <alignment horizontal="center" vertical="center" wrapText="1"/>
    </xf>
    <xf numFmtId="0" fontId="110" fillId="0" borderId="127"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3" xfId="0" applyFont="1" applyBorder="1" applyAlignment="1">
      <alignment horizontal="center" vertical="center" wrapText="1"/>
    </xf>
    <xf numFmtId="0" fontId="118" fillId="0" borderId="123" xfId="0" applyFont="1" applyBorder="1" applyAlignment="1">
      <alignment horizontal="center" vertical="center"/>
    </xf>
    <xf numFmtId="0" fontId="118" fillId="0" borderId="102" xfId="0" applyFont="1" applyBorder="1" applyAlignment="1">
      <alignment horizontal="center" vertical="center"/>
    </xf>
    <xf numFmtId="0" fontId="118" fillId="0" borderId="104" xfId="0" applyFont="1" applyBorder="1" applyAlignment="1">
      <alignment horizontal="center" vertical="center"/>
    </xf>
    <xf numFmtId="0" fontId="118" fillId="0" borderId="84" xfId="0" applyFont="1" applyBorder="1" applyAlignment="1">
      <alignment horizontal="center" vertical="center"/>
    </xf>
    <xf numFmtId="0" fontId="118" fillId="0" borderId="74" xfId="0" applyFont="1" applyBorder="1" applyAlignment="1">
      <alignment horizontal="center" vertical="center"/>
    </xf>
    <xf numFmtId="0" fontId="114" fillId="0" borderId="123" xfId="0" applyFont="1" applyBorder="1" applyAlignment="1">
      <alignment horizontal="center" vertical="center" wrapText="1"/>
    </xf>
    <xf numFmtId="0" fontId="110" fillId="0" borderId="126" xfId="0" applyFont="1" applyBorder="1" applyAlignment="1">
      <alignment horizontal="center" vertical="center" wrapText="1"/>
    </xf>
    <xf numFmtId="0" fontId="113" fillId="0" borderId="102" xfId="0" applyFont="1" applyBorder="1" applyAlignment="1">
      <alignment horizontal="center" vertical="center" wrapText="1"/>
    </xf>
    <xf numFmtId="0" fontId="113" fillId="0" borderId="104" xfId="0" applyFont="1" applyBorder="1" applyAlignment="1">
      <alignment horizontal="center" vertical="center" wrapText="1"/>
    </xf>
    <xf numFmtId="0" fontId="113" fillId="0" borderId="69" xfId="0" applyFont="1" applyBorder="1" applyAlignment="1">
      <alignment horizontal="center" vertical="center" wrapText="1"/>
    </xf>
    <xf numFmtId="0" fontId="113" fillId="0" borderId="67" xfId="0" applyFont="1" applyBorder="1" applyAlignment="1">
      <alignment horizontal="center" vertical="center" wrapText="1"/>
    </xf>
    <xf numFmtId="0" fontId="113" fillId="0" borderId="84" xfId="0" applyFont="1" applyBorder="1" applyAlignment="1">
      <alignment horizontal="center" vertical="center" wrapText="1"/>
    </xf>
    <xf numFmtId="0" fontId="113" fillId="0" borderId="74" xfId="0" applyFont="1" applyBorder="1" applyAlignment="1">
      <alignment horizontal="center" vertical="center" wrapText="1"/>
    </xf>
    <xf numFmtId="0" fontId="110" fillId="0" borderId="124" xfId="0" applyFont="1" applyBorder="1" applyAlignment="1">
      <alignment horizontal="center" vertical="center" wrapText="1"/>
    </xf>
    <xf numFmtId="0" fontId="110" fillId="0" borderId="125" xfId="0" applyFont="1" applyBorder="1" applyAlignment="1">
      <alignment horizontal="center" vertical="center" wrapText="1"/>
    </xf>
    <xf numFmtId="0" fontId="113" fillId="0" borderId="75" xfId="0" applyFont="1" applyBorder="1" applyAlignment="1">
      <alignment horizontal="center" vertical="center" wrapText="1"/>
    </xf>
    <xf numFmtId="0" fontId="113" fillId="0" borderId="7" xfId="0" applyFont="1" applyBorder="1" applyAlignment="1">
      <alignment horizontal="center" vertical="center" wrapText="1"/>
    </xf>
    <xf numFmtId="0" fontId="110" fillId="0" borderId="75" xfId="0" applyFont="1" applyBorder="1" applyAlignment="1">
      <alignment horizontal="center" vertical="center" wrapText="1"/>
    </xf>
    <xf numFmtId="0" fontId="110" fillId="0" borderId="74" xfId="0" applyFont="1" applyBorder="1" applyAlignment="1">
      <alignment horizontal="center" vertical="center" wrapText="1"/>
    </xf>
    <xf numFmtId="0" fontId="113" fillId="0" borderId="53" xfId="0" applyFont="1" applyBorder="1" applyAlignment="1">
      <alignment horizontal="left" vertical="top" wrapText="1"/>
    </xf>
    <xf numFmtId="0" fontId="113" fillId="0" borderId="76" xfId="0" applyFont="1" applyBorder="1" applyAlignment="1">
      <alignment horizontal="left" vertical="top" wrapText="1"/>
    </xf>
    <xf numFmtId="0" fontId="113" fillId="0" borderId="62" xfId="0" applyFont="1" applyBorder="1" applyAlignment="1">
      <alignment horizontal="left" vertical="top" wrapText="1"/>
    </xf>
    <xf numFmtId="0" fontId="113" fillId="0" borderId="92" xfId="0" applyFont="1" applyBorder="1" applyAlignment="1">
      <alignment horizontal="left" vertical="top" wrapText="1"/>
    </xf>
    <xf numFmtId="0" fontId="113" fillId="0" borderId="99" xfId="0" applyFont="1" applyBorder="1" applyAlignment="1">
      <alignment horizontal="left" vertical="top" wrapText="1"/>
    </xf>
    <xf numFmtId="0" fontId="113" fillId="0" borderId="130" xfId="0" applyFont="1" applyBorder="1" applyAlignment="1">
      <alignment horizontal="left" vertical="top" wrapText="1"/>
    </xf>
    <xf numFmtId="0" fontId="113" fillId="0" borderId="86" xfId="0" applyFont="1" applyBorder="1" applyAlignment="1">
      <alignment horizontal="center" vertical="center" wrapText="1"/>
    </xf>
    <xf numFmtId="0" fontId="113" fillId="0" borderId="66" xfId="0" applyFont="1" applyBorder="1" applyAlignment="1">
      <alignment horizontal="center" vertical="center" wrapText="1"/>
    </xf>
    <xf numFmtId="0" fontId="110" fillId="0" borderId="63" xfId="0" applyFont="1" applyBorder="1" applyAlignment="1">
      <alignment horizontal="center" vertical="center" wrapText="1"/>
    </xf>
    <xf numFmtId="0" fontId="110" fillId="0" borderId="68" xfId="0" applyFont="1" applyBorder="1" applyAlignment="1">
      <alignment horizontal="center" vertical="center" wrapText="1"/>
    </xf>
    <xf numFmtId="0" fontId="110" fillId="0" borderId="26"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102" xfId="0" applyFont="1" applyBorder="1" applyAlignment="1">
      <alignment horizontal="center" vertical="top" wrapText="1"/>
    </xf>
    <xf numFmtId="0" fontId="110" fillId="0" borderId="103" xfId="0" applyFont="1" applyBorder="1" applyAlignment="1">
      <alignment horizontal="center" vertical="top" wrapText="1"/>
    </xf>
    <xf numFmtId="0" fontId="110" fillId="0" borderId="125" xfId="0" applyFont="1" applyBorder="1" applyAlignment="1">
      <alignment horizontal="center" vertical="top" wrapText="1"/>
    </xf>
    <xf numFmtId="0" fontId="110" fillId="0" borderId="126" xfId="0" applyFont="1" applyBorder="1" applyAlignment="1">
      <alignment horizontal="center" vertical="top" wrapText="1"/>
    </xf>
    <xf numFmtId="0" fontId="130" fillId="0" borderId="115" xfId="0" applyFont="1" applyBorder="1" applyAlignment="1">
      <alignment horizontal="left" vertical="top" wrapText="1"/>
    </xf>
    <xf numFmtId="0" fontId="130" fillId="0" borderId="116" xfId="0" applyFont="1" applyBorder="1" applyAlignment="1">
      <alignment horizontal="left" vertical="top" wrapText="1"/>
    </xf>
    <xf numFmtId="0" fontId="116" fillId="0" borderId="102" xfId="0" applyFont="1" applyBorder="1" applyAlignment="1">
      <alignment horizontal="center" vertical="center"/>
    </xf>
    <xf numFmtId="0" fontId="116" fillId="0" borderId="104" xfId="0" applyFont="1" applyBorder="1" applyAlignment="1">
      <alignment horizontal="center" vertical="center"/>
    </xf>
    <xf numFmtId="0" fontId="116" fillId="0" borderId="84" xfId="0" applyFont="1" applyBorder="1" applyAlignment="1">
      <alignment horizontal="center" vertical="center"/>
    </xf>
    <xf numFmtId="0" fontId="116" fillId="0" borderId="74" xfId="0" applyFont="1" applyBorder="1" applyAlignment="1">
      <alignment horizontal="center" vertical="center"/>
    </xf>
    <xf numFmtId="0" fontId="115" fillId="0" borderId="123" xfId="0" applyFont="1" applyBorder="1" applyAlignment="1">
      <alignment horizontal="center" vertical="center" wrapText="1"/>
    </xf>
    <xf numFmtId="0" fontId="115" fillId="0" borderId="127" xfId="0" applyFont="1" applyBorder="1" applyAlignment="1">
      <alignment horizontal="center" vertical="center" wrapText="1"/>
    </xf>
    <xf numFmtId="164" fontId="86" fillId="0" borderId="211" xfId="7" applyNumberFormat="1" applyFont="1" applyBorder="1" applyAlignment="1">
      <alignment horizontal="center" vertical="center" wrapText="1"/>
    </xf>
    <xf numFmtId="164" fontId="84" fillId="0" borderId="211" xfId="7" applyNumberFormat="1" applyFont="1" applyFill="1" applyBorder="1" applyAlignment="1">
      <alignment horizontal="center" vertical="center"/>
    </xf>
    <xf numFmtId="164" fontId="86" fillId="35" borderId="206" xfId="7" applyNumberFormat="1" applyFont="1" applyFill="1" applyBorder="1" applyAlignment="1">
      <alignment horizontal="center" vertical="center"/>
    </xf>
    <xf numFmtId="167" fontId="84" fillId="0" borderId="211" xfId="0" applyNumberFormat="1" applyFont="1" applyBorder="1" applyAlignment="1">
      <alignment horizontal="center"/>
    </xf>
    <xf numFmtId="167" fontId="86" fillId="0" borderId="211" xfId="0" applyNumberFormat="1" applyFont="1" applyBorder="1" applyAlignment="1">
      <alignment horizontal="center"/>
    </xf>
    <xf numFmtId="0" fontId="84" fillId="0" borderId="211" xfId="0" applyFont="1" applyBorder="1"/>
    <xf numFmtId="0" fontId="350" fillId="0" borderId="211" xfId="0" applyFont="1" applyBorder="1"/>
    <xf numFmtId="167" fontId="132" fillId="79" borderId="212" xfId="0" applyNumberFormat="1" applyFont="1" applyFill="1" applyBorder="1" applyAlignment="1">
      <alignment horizontal="center"/>
    </xf>
    <xf numFmtId="0" fontId="0" fillId="0" borderId="213" xfId="0" applyBorder="1" applyAlignment="1">
      <alignment horizontal="center"/>
    </xf>
    <xf numFmtId="0" fontId="124" fillId="0" borderId="213" xfId="0" applyFont="1" applyBorder="1" applyAlignment="1">
      <alignment horizontal="left" vertical="center" wrapText="1"/>
    </xf>
    <xf numFmtId="164" fontId="84" fillId="0" borderId="213" xfId="7" applyNumberFormat="1" applyFont="1" applyBorder="1" applyAlignment="1">
      <alignment horizontal="center"/>
    </xf>
    <xf numFmtId="164" fontId="3" fillId="0" borderId="0" xfId="0" applyNumberFormat="1" applyFont="1"/>
    <xf numFmtId="164" fontId="0" fillId="0" borderId="0" xfId="0" applyNumberFormat="1"/>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91"/>
      <c r="B1" s="97" t="s">
        <v>209</v>
      </c>
      <c r="C1" s="91"/>
    </row>
    <row r="2" spans="1:3">
      <c r="A2" s="98">
        <v>1</v>
      </c>
      <c r="B2" s="192" t="s">
        <v>210</v>
      </c>
      <c r="C2" s="43" t="s">
        <v>752</v>
      </c>
    </row>
    <row r="3" spans="1:3">
      <c r="A3" s="98">
        <v>2</v>
      </c>
      <c r="B3" s="193" t="s">
        <v>206</v>
      </c>
      <c r="C3" s="43" t="s">
        <v>753</v>
      </c>
    </row>
    <row r="4" spans="1:3">
      <c r="A4" s="98">
        <v>3</v>
      </c>
      <c r="B4" s="194" t="s">
        <v>211</v>
      </c>
      <c r="C4" s="43" t="s">
        <v>754</v>
      </c>
    </row>
    <row r="5" spans="1:3">
      <c r="A5" s="99">
        <v>4</v>
      </c>
      <c r="B5" s="195" t="s">
        <v>207</v>
      </c>
      <c r="C5" s="43" t="s">
        <v>755</v>
      </c>
    </row>
    <row r="6" spans="1:3" s="100" customFormat="1" ht="45.75" customHeight="1">
      <c r="A6" s="705" t="s">
        <v>283</v>
      </c>
      <c r="B6" s="706"/>
      <c r="C6" s="706"/>
    </row>
    <row r="7" spans="1:3" ht="15">
      <c r="A7" s="101" t="s">
        <v>29</v>
      </c>
      <c r="B7" s="97" t="s">
        <v>208</v>
      </c>
    </row>
    <row r="8" spans="1:3">
      <c r="A8" s="91">
        <v>1</v>
      </c>
      <c r="B8" s="126" t="s">
        <v>20</v>
      </c>
    </row>
    <row r="9" spans="1:3">
      <c r="A9" s="91">
        <v>2</v>
      </c>
      <c r="B9" s="127" t="s">
        <v>21</v>
      </c>
    </row>
    <row r="10" spans="1:3">
      <c r="A10" s="91">
        <v>3</v>
      </c>
      <c r="B10" s="127" t="s">
        <v>22</v>
      </c>
    </row>
    <row r="11" spans="1:3">
      <c r="A11" s="91">
        <v>4</v>
      </c>
      <c r="B11" s="127" t="s">
        <v>23</v>
      </c>
    </row>
    <row r="12" spans="1:3">
      <c r="A12" s="91">
        <v>5</v>
      </c>
      <c r="B12" s="127" t="s">
        <v>24</v>
      </c>
    </row>
    <row r="13" spans="1:3">
      <c r="A13" s="91">
        <v>6</v>
      </c>
      <c r="B13" s="128" t="s">
        <v>218</v>
      </c>
    </row>
    <row r="14" spans="1:3">
      <c r="A14" s="91">
        <v>7</v>
      </c>
      <c r="B14" s="127" t="s">
        <v>212</v>
      </c>
    </row>
    <row r="15" spans="1:3">
      <c r="A15" s="91">
        <v>8</v>
      </c>
      <c r="B15" s="127" t="s">
        <v>213</v>
      </c>
    </row>
    <row r="16" spans="1:3">
      <c r="A16" s="91">
        <v>9</v>
      </c>
      <c r="B16" s="127" t="s">
        <v>25</v>
      </c>
    </row>
    <row r="17" spans="1:2">
      <c r="A17" s="191" t="s">
        <v>282</v>
      </c>
      <c r="B17" s="190" t="s">
        <v>269</v>
      </c>
    </row>
    <row r="18" spans="1:2">
      <c r="A18" s="191" t="s">
        <v>711</v>
      </c>
      <c r="B18" s="486" t="s">
        <v>713</v>
      </c>
    </row>
    <row r="19" spans="1:2">
      <c r="A19" s="487" t="s">
        <v>712</v>
      </c>
      <c r="B19" s="486" t="s">
        <v>714</v>
      </c>
    </row>
    <row r="20" spans="1:2">
      <c r="A20" s="91">
        <v>10</v>
      </c>
      <c r="B20" s="127" t="s">
        <v>26</v>
      </c>
    </row>
    <row r="21" spans="1:2">
      <c r="A21" s="91">
        <v>11</v>
      </c>
      <c r="B21" s="128" t="s">
        <v>214</v>
      </c>
    </row>
    <row r="22" spans="1:2">
      <c r="A22" s="91">
        <v>12</v>
      </c>
      <c r="B22" s="128" t="s">
        <v>27</v>
      </c>
    </row>
    <row r="23" spans="1:2">
      <c r="A23" s="211">
        <v>13</v>
      </c>
      <c r="B23" s="212" t="s">
        <v>215</v>
      </c>
    </row>
    <row r="24" spans="1:2">
      <c r="A24" s="211">
        <v>14</v>
      </c>
      <c r="B24" s="213" t="s">
        <v>240</v>
      </c>
    </row>
    <row r="25" spans="1:2">
      <c r="A25" s="211">
        <v>15</v>
      </c>
      <c r="B25" s="214" t="s">
        <v>28</v>
      </c>
    </row>
    <row r="26" spans="1:2">
      <c r="A26" s="211">
        <v>15.1</v>
      </c>
      <c r="B26" s="215" t="s">
        <v>296</v>
      </c>
    </row>
    <row r="27" spans="1:2">
      <c r="A27" s="488">
        <v>15.2</v>
      </c>
      <c r="B27" s="486" t="s">
        <v>716</v>
      </c>
    </row>
    <row r="28" spans="1:2">
      <c r="A28" s="211">
        <v>16</v>
      </c>
      <c r="B28" s="215" t="s">
        <v>337</v>
      </c>
    </row>
    <row r="29" spans="1:2">
      <c r="A29" s="211">
        <v>17</v>
      </c>
      <c r="B29" s="215" t="s">
        <v>378</v>
      </c>
    </row>
    <row r="30" spans="1:2">
      <c r="A30" s="211">
        <v>18</v>
      </c>
      <c r="B30" s="215" t="s">
        <v>666</v>
      </c>
    </row>
    <row r="31" spans="1:2">
      <c r="A31" s="211">
        <v>19</v>
      </c>
      <c r="B31" s="215" t="s">
        <v>667</v>
      </c>
    </row>
    <row r="32" spans="1:2">
      <c r="A32" s="211">
        <v>20</v>
      </c>
      <c r="B32" s="272" t="s">
        <v>668</v>
      </c>
    </row>
    <row r="33" spans="1:2">
      <c r="A33" s="211">
        <v>21</v>
      </c>
      <c r="B33" s="215" t="s">
        <v>494</v>
      </c>
    </row>
    <row r="34" spans="1:2">
      <c r="A34" s="211">
        <v>22</v>
      </c>
      <c r="B34" s="215" t="s">
        <v>669</v>
      </c>
    </row>
    <row r="35" spans="1:2">
      <c r="A35" s="211">
        <v>23</v>
      </c>
      <c r="B35" s="215" t="s">
        <v>670</v>
      </c>
    </row>
    <row r="36" spans="1:2">
      <c r="A36" s="211">
        <v>24</v>
      </c>
      <c r="B36" s="215" t="s">
        <v>671</v>
      </c>
    </row>
    <row r="37" spans="1:2">
      <c r="A37" s="211">
        <v>25</v>
      </c>
      <c r="B37" s="215" t="s">
        <v>379</v>
      </c>
    </row>
    <row r="38" spans="1:2">
      <c r="A38" s="211">
        <v>26</v>
      </c>
      <c r="B38" s="215"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F56"/>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9.5703125" style="4" bestFit="1" customWidth="1"/>
    <col min="2" max="2" width="132.42578125" style="4" customWidth="1"/>
    <col min="3" max="3" width="18.42578125" style="563" customWidth="1"/>
    <col min="4" max="5" width="9.140625" style="4"/>
    <col min="6" max="6" width="13.140625" style="4" bestFit="1" customWidth="1"/>
    <col min="7" max="16384" width="9.140625" style="4"/>
  </cols>
  <sheetData>
    <row r="1" spans="1:6">
      <c r="A1" s="2" t="s">
        <v>30</v>
      </c>
      <c r="B1" s="3" t="str">
        <f>'Info '!C2</f>
        <v>JSC Cartu Bank</v>
      </c>
    </row>
    <row r="2" spans="1:6" s="2" customFormat="1" ht="15.75" customHeight="1">
      <c r="A2" s="2" t="s">
        <v>31</v>
      </c>
      <c r="B2" s="532">
        <f>'1. key ratios '!B2</f>
        <v>45747</v>
      </c>
      <c r="C2" s="562"/>
    </row>
    <row r="3" spans="1:6" s="2" customFormat="1" ht="15.75" customHeight="1">
      <c r="C3" s="562"/>
    </row>
    <row r="4" spans="1:6" ht="13.5" thickBot="1">
      <c r="A4" s="4" t="s">
        <v>143</v>
      </c>
      <c r="B4" s="79" t="s">
        <v>142</v>
      </c>
    </row>
    <row r="5" spans="1:6">
      <c r="A5" s="48" t="s">
        <v>6</v>
      </c>
      <c r="B5" s="49"/>
      <c r="C5" s="601" t="s">
        <v>35</v>
      </c>
    </row>
    <row r="6" spans="1:6">
      <c r="A6" s="50">
        <v>1</v>
      </c>
      <c r="B6" s="51" t="s">
        <v>141</v>
      </c>
      <c r="C6" s="602">
        <f>SUM(C7:C11)</f>
        <v>430691945.11729014</v>
      </c>
      <c r="E6" s="626"/>
      <c r="F6" s="596"/>
    </row>
    <row r="7" spans="1:6">
      <c r="A7" s="50">
        <v>2</v>
      </c>
      <c r="B7" s="52" t="s">
        <v>140</v>
      </c>
      <c r="C7" s="603">
        <v>114430000</v>
      </c>
      <c r="E7" s="626"/>
      <c r="F7" s="596"/>
    </row>
    <row r="8" spans="1:6">
      <c r="A8" s="50">
        <v>3</v>
      </c>
      <c r="B8" s="53" t="s">
        <v>139</v>
      </c>
      <c r="C8" s="603">
        <v>0</v>
      </c>
      <c r="E8" s="626"/>
      <c r="F8" s="596"/>
    </row>
    <row r="9" spans="1:6">
      <c r="A9" s="50">
        <v>4</v>
      </c>
      <c r="B9" s="53" t="s">
        <v>138</v>
      </c>
      <c r="C9" s="603">
        <v>21959.87840556982</v>
      </c>
      <c r="E9" s="626"/>
      <c r="F9" s="596"/>
    </row>
    <row r="10" spans="1:6">
      <c r="A10" s="50">
        <v>5</v>
      </c>
      <c r="B10" s="53" t="s">
        <v>137</v>
      </c>
      <c r="C10" s="603">
        <v>7438034.3799999999</v>
      </c>
      <c r="E10" s="626"/>
      <c r="F10" s="596"/>
    </row>
    <row r="11" spans="1:6">
      <c r="A11" s="50">
        <v>6</v>
      </c>
      <c r="B11" s="54" t="s">
        <v>136</v>
      </c>
      <c r="C11" s="603">
        <v>308801950.85888457</v>
      </c>
      <c r="E11" s="626"/>
      <c r="F11" s="596"/>
    </row>
    <row r="12" spans="1:6" s="27" customFormat="1">
      <c r="A12" s="50">
        <v>7</v>
      </c>
      <c r="B12" s="51" t="s">
        <v>135</v>
      </c>
      <c r="C12" s="604">
        <f>SUM(C13:C28)</f>
        <v>12372374.228405572</v>
      </c>
      <c r="E12" s="626"/>
      <c r="F12" s="596"/>
    </row>
    <row r="13" spans="1:6" s="27" customFormat="1">
      <c r="A13" s="50">
        <v>8</v>
      </c>
      <c r="B13" s="55" t="s">
        <v>134</v>
      </c>
      <c r="C13" s="603">
        <v>21959.87840556982</v>
      </c>
      <c r="E13" s="626"/>
      <c r="F13" s="596"/>
    </row>
    <row r="14" spans="1:6" s="27" customFormat="1" ht="25.5">
      <c r="A14" s="50">
        <v>9</v>
      </c>
      <c r="B14" s="56" t="s">
        <v>133</v>
      </c>
      <c r="C14" s="603">
        <v>0</v>
      </c>
      <c r="E14" s="626"/>
      <c r="F14" s="596"/>
    </row>
    <row r="15" spans="1:6" s="27" customFormat="1">
      <c r="A15" s="50">
        <v>10</v>
      </c>
      <c r="B15" s="57" t="s">
        <v>132</v>
      </c>
      <c r="C15" s="603">
        <v>12350414.350000003</v>
      </c>
      <c r="E15" s="626"/>
      <c r="F15" s="596"/>
    </row>
    <row r="16" spans="1:6" s="27" customFormat="1">
      <c r="A16" s="50">
        <v>11</v>
      </c>
      <c r="B16" s="58" t="s">
        <v>131</v>
      </c>
      <c r="C16" s="603">
        <v>0</v>
      </c>
      <c r="E16" s="626"/>
      <c r="F16" s="596"/>
    </row>
    <row r="17" spans="1:6" s="27" customFormat="1">
      <c r="A17" s="50">
        <v>12</v>
      </c>
      <c r="B17" s="57" t="s">
        <v>130</v>
      </c>
      <c r="C17" s="603">
        <v>0</v>
      </c>
      <c r="E17" s="626"/>
      <c r="F17" s="596"/>
    </row>
    <row r="18" spans="1:6" s="27" customFormat="1">
      <c r="A18" s="50">
        <v>13</v>
      </c>
      <c r="B18" s="57" t="s">
        <v>129</v>
      </c>
      <c r="C18" s="603">
        <v>0</v>
      </c>
      <c r="E18" s="626"/>
      <c r="F18" s="596"/>
    </row>
    <row r="19" spans="1:6" s="27" customFormat="1">
      <c r="A19" s="50">
        <v>14</v>
      </c>
      <c r="B19" s="57" t="s">
        <v>128</v>
      </c>
      <c r="C19" s="603">
        <v>0</v>
      </c>
      <c r="E19" s="626"/>
      <c r="F19" s="596"/>
    </row>
    <row r="20" spans="1:6" s="27" customFormat="1">
      <c r="A20" s="50">
        <v>15</v>
      </c>
      <c r="B20" s="57" t="s">
        <v>127</v>
      </c>
      <c r="C20" s="603">
        <v>0</v>
      </c>
      <c r="E20" s="626"/>
      <c r="F20" s="596"/>
    </row>
    <row r="21" spans="1:6" s="27" customFormat="1" ht="25.5">
      <c r="A21" s="50">
        <v>16</v>
      </c>
      <c r="B21" s="56" t="s">
        <v>126</v>
      </c>
      <c r="C21" s="603">
        <v>0</v>
      </c>
      <c r="E21" s="626"/>
      <c r="F21" s="596"/>
    </row>
    <row r="22" spans="1:6" s="27" customFormat="1">
      <c r="A22" s="50">
        <v>17</v>
      </c>
      <c r="B22" s="59" t="s">
        <v>125</v>
      </c>
      <c r="C22" s="603">
        <v>0</v>
      </c>
      <c r="E22" s="626"/>
      <c r="F22" s="596"/>
    </row>
    <row r="23" spans="1:6" s="27" customFormat="1">
      <c r="A23" s="50">
        <v>18</v>
      </c>
      <c r="B23" s="59" t="s">
        <v>517</v>
      </c>
      <c r="C23" s="603">
        <v>0</v>
      </c>
      <c r="E23" s="626"/>
      <c r="F23" s="596"/>
    </row>
    <row r="24" spans="1:6" s="27" customFormat="1">
      <c r="A24" s="50">
        <v>19</v>
      </c>
      <c r="B24" s="56" t="s">
        <v>124</v>
      </c>
      <c r="C24" s="603">
        <v>0</v>
      </c>
      <c r="E24" s="626"/>
      <c r="F24" s="596"/>
    </row>
    <row r="25" spans="1:6" s="27" customFormat="1" ht="25.5">
      <c r="A25" s="50">
        <v>20</v>
      </c>
      <c r="B25" s="56" t="s">
        <v>101</v>
      </c>
      <c r="C25" s="603">
        <v>0</v>
      </c>
      <c r="E25" s="626"/>
      <c r="F25" s="596"/>
    </row>
    <row r="26" spans="1:6" s="27" customFormat="1">
      <c r="A26" s="50">
        <v>21</v>
      </c>
      <c r="B26" s="58" t="s">
        <v>123</v>
      </c>
      <c r="C26" s="603">
        <v>0</v>
      </c>
      <c r="E26" s="626"/>
      <c r="F26" s="596"/>
    </row>
    <row r="27" spans="1:6" s="27" customFormat="1">
      <c r="A27" s="50">
        <v>22</v>
      </c>
      <c r="B27" s="58" t="s">
        <v>122</v>
      </c>
      <c r="C27" s="603">
        <v>0</v>
      </c>
      <c r="E27" s="626"/>
      <c r="F27" s="596"/>
    </row>
    <row r="28" spans="1:6" s="27" customFormat="1">
      <c r="A28" s="50">
        <v>23</v>
      </c>
      <c r="B28" s="58" t="s">
        <v>121</v>
      </c>
      <c r="C28" s="603">
        <v>0</v>
      </c>
      <c r="E28" s="626"/>
      <c r="F28" s="596"/>
    </row>
    <row r="29" spans="1:6" s="27" customFormat="1">
      <c r="A29" s="50">
        <v>24</v>
      </c>
      <c r="B29" s="60" t="s">
        <v>120</v>
      </c>
      <c r="C29" s="604">
        <f>C6-C12</f>
        <v>418319570.88888454</v>
      </c>
      <c r="E29" s="626"/>
      <c r="F29" s="596"/>
    </row>
    <row r="30" spans="1:6" s="27" customFormat="1">
      <c r="A30" s="61"/>
      <c r="B30" s="62"/>
      <c r="C30" s="605"/>
      <c r="E30" s="626"/>
      <c r="F30" s="596"/>
    </row>
    <row r="31" spans="1:6" s="27" customFormat="1">
      <c r="A31" s="61">
        <v>25</v>
      </c>
      <c r="B31" s="60" t="s">
        <v>119</v>
      </c>
      <c r="C31" s="604">
        <f>C32+C35</f>
        <v>74717100</v>
      </c>
      <c r="E31" s="626"/>
      <c r="F31" s="596"/>
    </row>
    <row r="32" spans="1:6" s="27" customFormat="1">
      <c r="A32" s="61">
        <v>26</v>
      </c>
      <c r="B32" s="53" t="s">
        <v>118</v>
      </c>
      <c r="C32" s="606">
        <f>C33+C34</f>
        <v>74717100</v>
      </c>
      <c r="E32" s="626"/>
      <c r="F32" s="596"/>
    </row>
    <row r="33" spans="1:6" s="27" customFormat="1">
      <c r="A33" s="61">
        <v>27</v>
      </c>
      <c r="B33" s="63" t="s">
        <v>179</v>
      </c>
      <c r="C33" s="603">
        <v>23845347.84</v>
      </c>
      <c r="E33" s="626"/>
      <c r="F33" s="596"/>
    </row>
    <row r="34" spans="1:6" s="27" customFormat="1">
      <c r="A34" s="61">
        <v>28</v>
      </c>
      <c r="B34" s="63" t="s">
        <v>117</v>
      </c>
      <c r="C34" s="603">
        <v>50871752.159999996</v>
      </c>
      <c r="E34" s="626"/>
      <c r="F34" s="596"/>
    </row>
    <row r="35" spans="1:6" s="27" customFormat="1">
      <c r="A35" s="61">
        <v>29</v>
      </c>
      <c r="B35" s="53" t="s">
        <v>116</v>
      </c>
      <c r="C35" s="603">
        <v>0</v>
      </c>
      <c r="E35" s="626"/>
      <c r="F35" s="596"/>
    </row>
    <row r="36" spans="1:6" s="27" customFormat="1">
      <c r="A36" s="61">
        <v>30</v>
      </c>
      <c r="B36" s="60" t="s">
        <v>115</v>
      </c>
      <c r="C36" s="604">
        <f>SUM(C37:C41)</f>
        <v>0</v>
      </c>
      <c r="E36" s="626"/>
      <c r="F36" s="596"/>
    </row>
    <row r="37" spans="1:6" s="27" customFormat="1">
      <c r="A37" s="61">
        <v>31</v>
      </c>
      <c r="B37" s="56" t="s">
        <v>114</v>
      </c>
      <c r="C37" s="603">
        <v>0</v>
      </c>
      <c r="E37" s="626"/>
      <c r="F37" s="596"/>
    </row>
    <row r="38" spans="1:6" s="27" customFormat="1">
      <c r="A38" s="61">
        <v>32</v>
      </c>
      <c r="B38" s="57" t="s">
        <v>113</v>
      </c>
      <c r="C38" s="603">
        <v>0</v>
      </c>
      <c r="E38" s="626"/>
      <c r="F38" s="596"/>
    </row>
    <row r="39" spans="1:6" s="27" customFormat="1" ht="25.5">
      <c r="A39" s="61">
        <v>33</v>
      </c>
      <c r="B39" s="56" t="s">
        <v>112</v>
      </c>
      <c r="C39" s="603">
        <v>0</v>
      </c>
      <c r="E39" s="626"/>
      <c r="F39" s="596"/>
    </row>
    <row r="40" spans="1:6" s="27" customFormat="1" ht="25.5">
      <c r="A40" s="61">
        <v>34</v>
      </c>
      <c r="B40" s="56" t="s">
        <v>101</v>
      </c>
      <c r="C40" s="603">
        <v>0</v>
      </c>
      <c r="E40" s="626"/>
      <c r="F40" s="596"/>
    </row>
    <row r="41" spans="1:6" s="27" customFormat="1">
      <c r="A41" s="61">
        <v>35</v>
      </c>
      <c r="B41" s="58" t="s">
        <v>111</v>
      </c>
      <c r="C41" s="603">
        <v>0</v>
      </c>
      <c r="E41" s="626"/>
      <c r="F41" s="596"/>
    </row>
    <row r="42" spans="1:6" s="27" customFormat="1">
      <c r="A42" s="61">
        <v>36</v>
      </c>
      <c r="B42" s="60" t="s">
        <v>110</v>
      </c>
      <c r="C42" s="604">
        <f>C31-C36</f>
        <v>74717100</v>
      </c>
      <c r="E42" s="626"/>
      <c r="F42" s="596"/>
    </row>
    <row r="43" spans="1:6" s="27" customFormat="1">
      <c r="A43" s="61"/>
      <c r="B43" s="62"/>
      <c r="C43" s="605"/>
      <c r="E43" s="626"/>
      <c r="F43" s="596"/>
    </row>
    <row r="44" spans="1:6" s="27" customFormat="1">
      <c r="A44" s="61">
        <v>37</v>
      </c>
      <c r="B44" s="64" t="s">
        <v>109</v>
      </c>
      <c r="C44" s="604">
        <f>SUM(C45:C47)</f>
        <v>16050340</v>
      </c>
      <c r="E44" s="626"/>
      <c r="F44" s="596"/>
    </row>
    <row r="45" spans="1:6" s="27" customFormat="1">
      <c r="A45" s="61">
        <v>38</v>
      </c>
      <c r="B45" s="53" t="s">
        <v>108</v>
      </c>
      <c r="C45" s="603">
        <v>16050340</v>
      </c>
      <c r="E45" s="626"/>
      <c r="F45" s="596"/>
    </row>
    <row r="46" spans="1:6" s="27" customFormat="1">
      <c r="A46" s="61">
        <v>39</v>
      </c>
      <c r="B46" s="53" t="s">
        <v>107</v>
      </c>
      <c r="C46" s="603">
        <v>0</v>
      </c>
      <c r="E46" s="626"/>
      <c r="F46" s="596"/>
    </row>
    <row r="47" spans="1:6" s="27" customFormat="1">
      <c r="A47" s="61">
        <v>40</v>
      </c>
      <c r="B47" s="53" t="s">
        <v>106</v>
      </c>
      <c r="C47" s="603">
        <v>0</v>
      </c>
      <c r="E47" s="626"/>
      <c r="F47" s="596"/>
    </row>
    <row r="48" spans="1:6" s="27" customFormat="1">
      <c r="A48" s="61">
        <v>41</v>
      </c>
      <c r="B48" s="64" t="s">
        <v>105</v>
      </c>
      <c r="C48" s="604">
        <f>SUM(C49:C52)</f>
        <v>0</v>
      </c>
      <c r="E48" s="626"/>
      <c r="F48" s="596"/>
    </row>
    <row r="49" spans="1:6" s="27" customFormat="1">
      <c r="A49" s="61">
        <v>42</v>
      </c>
      <c r="B49" s="56" t="s">
        <v>104</v>
      </c>
      <c r="C49" s="603">
        <v>0</v>
      </c>
      <c r="E49" s="626"/>
      <c r="F49" s="596"/>
    </row>
    <row r="50" spans="1:6" s="27" customFormat="1">
      <c r="A50" s="61">
        <v>43</v>
      </c>
      <c r="B50" s="57" t="s">
        <v>103</v>
      </c>
      <c r="C50" s="603">
        <v>0</v>
      </c>
      <c r="E50" s="626"/>
      <c r="F50" s="596"/>
    </row>
    <row r="51" spans="1:6" s="27" customFormat="1">
      <c r="A51" s="61">
        <v>44</v>
      </c>
      <c r="B51" s="56" t="s">
        <v>102</v>
      </c>
      <c r="C51" s="603">
        <v>0</v>
      </c>
      <c r="E51" s="626"/>
      <c r="F51" s="596"/>
    </row>
    <row r="52" spans="1:6" s="27" customFormat="1" ht="25.5">
      <c r="A52" s="61">
        <v>45</v>
      </c>
      <c r="B52" s="56" t="s">
        <v>101</v>
      </c>
      <c r="C52" s="603">
        <v>0</v>
      </c>
      <c r="E52" s="626"/>
      <c r="F52" s="596"/>
    </row>
    <row r="53" spans="1:6" s="27" customFormat="1" ht="13.5" thickBot="1">
      <c r="A53" s="61">
        <v>46</v>
      </c>
      <c r="B53" s="65" t="s">
        <v>100</v>
      </c>
      <c r="C53" s="607">
        <f>C44-C48</f>
        <v>16050340</v>
      </c>
      <c r="E53" s="626"/>
      <c r="F53" s="596"/>
    </row>
    <row r="56" spans="1:6">
      <c r="B56" s="4" t="s">
        <v>7</v>
      </c>
    </row>
  </sheetData>
  <dataValidations count="1">
    <dataValidation operator="lessThanOrEqual" allowBlank="1" showInputMessage="1" showErrorMessage="1" errorTitle="Should be negative number" error="Should be whole negative number or 0" sqref="C29:C32 C36 C42:C44 C48 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G23"/>
  <sheetViews>
    <sheetView showGridLines="0" zoomScale="80" zoomScaleNormal="80" workbookViewId="0"/>
  </sheetViews>
  <sheetFormatPr defaultColWidth="9.140625" defaultRowHeight="12.75"/>
  <cols>
    <col min="1" max="1" width="9.42578125" style="118" bestFit="1" customWidth="1"/>
    <col min="2" max="2" width="59" style="118" customWidth="1"/>
    <col min="3" max="3" width="16.85546875" style="118" bestFit="1" customWidth="1"/>
    <col min="4" max="4" width="15.5703125" style="118" bestFit="1" customWidth="1"/>
    <col min="5" max="5" width="9.140625" style="118"/>
    <col min="6" max="6" width="9.28515625" style="118" bestFit="1" customWidth="1"/>
    <col min="7" max="7" width="16.42578125" style="118" bestFit="1" customWidth="1"/>
    <col min="8" max="16384" width="9.140625" style="118"/>
  </cols>
  <sheetData>
    <row r="1" spans="1:7" ht="15">
      <c r="A1" s="116" t="s">
        <v>30</v>
      </c>
      <c r="B1" s="3" t="str">
        <f>'Info '!C2</f>
        <v>JSC Cartu Bank</v>
      </c>
    </row>
    <row r="2" spans="1:7" s="116" customFormat="1" ht="15.75" customHeight="1">
      <c r="A2" s="116" t="s">
        <v>31</v>
      </c>
      <c r="B2" s="532">
        <f>'1. key ratios '!B2</f>
        <v>45747</v>
      </c>
    </row>
    <row r="3" spans="1:7" s="116" customFormat="1" ht="15.75" customHeight="1"/>
    <row r="4" spans="1:7" ht="13.5" thickBot="1">
      <c r="A4" s="118" t="s">
        <v>268</v>
      </c>
      <c r="B4" s="183" t="s">
        <v>269</v>
      </c>
    </row>
    <row r="5" spans="1:7" s="123" customFormat="1" ht="12.75" customHeight="1">
      <c r="A5" s="209"/>
      <c r="B5" s="210" t="s">
        <v>272</v>
      </c>
      <c r="C5" s="176" t="s">
        <v>270</v>
      </c>
      <c r="D5" s="177" t="s">
        <v>271</v>
      </c>
    </row>
    <row r="6" spans="1:7" s="184" customFormat="1">
      <c r="A6" s="178">
        <v>1</v>
      </c>
      <c r="B6" s="205" t="s">
        <v>273</v>
      </c>
      <c r="C6" s="205"/>
      <c r="D6" s="179"/>
    </row>
    <row r="7" spans="1:7" s="184" customFormat="1">
      <c r="A7" s="180" t="s">
        <v>259</v>
      </c>
      <c r="B7" s="206" t="s">
        <v>274</v>
      </c>
      <c r="C7" s="198">
        <v>4.4999999999999998E-2</v>
      </c>
      <c r="D7" s="609">
        <f>C7*'5. RWA '!$C$13</f>
        <v>78011395.39587301</v>
      </c>
      <c r="F7" s="608"/>
      <c r="G7" s="608"/>
    </row>
    <row r="8" spans="1:7" s="184" customFormat="1">
      <c r="A8" s="180" t="s">
        <v>260</v>
      </c>
      <c r="B8" s="206" t="s">
        <v>275</v>
      </c>
      <c r="C8" s="199">
        <v>0.06</v>
      </c>
      <c r="D8" s="609">
        <f>C8*'5. RWA '!$C$13</f>
        <v>104015193.86116402</v>
      </c>
      <c r="F8" s="608"/>
      <c r="G8" s="608"/>
    </row>
    <row r="9" spans="1:7" s="184" customFormat="1">
      <c r="A9" s="180" t="s">
        <v>261</v>
      </c>
      <c r="B9" s="206" t="s">
        <v>276</v>
      </c>
      <c r="C9" s="199">
        <v>0.08</v>
      </c>
      <c r="D9" s="609">
        <f>C9*'5. RWA '!$C$13</f>
        <v>138686925.14821869</v>
      </c>
      <c r="F9" s="608"/>
      <c r="G9" s="608"/>
    </row>
    <row r="10" spans="1:7" s="184" customFormat="1">
      <c r="A10" s="178" t="s">
        <v>262</v>
      </c>
      <c r="B10" s="205" t="s">
        <v>277</v>
      </c>
      <c r="C10" s="200"/>
      <c r="D10" s="610"/>
      <c r="F10" s="608"/>
      <c r="G10" s="608"/>
    </row>
    <row r="11" spans="1:7" s="185" customFormat="1">
      <c r="A11" s="181" t="s">
        <v>263</v>
      </c>
      <c r="B11" s="197" t="s">
        <v>747</v>
      </c>
      <c r="C11" s="201">
        <v>2.5000000000000001E-2</v>
      </c>
      <c r="D11" s="609">
        <f>C11*'5. RWA '!$C$13</f>
        <v>43339664.108818345</v>
      </c>
      <c r="F11" s="608"/>
      <c r="G11" s="608"/>
    </row>
    <row r="12" spans="1:7" s="185" customFormat="1">
      <c r="A12" s="181" t="s">
        <v>264</v>
      </c>
      <c r="B12" s="197" t="s">
        <v>278</v>
      </c>
      <c r="C12" s="201">
        <v>5.0000000000000001E-3</v>
      </c>
      <c r="D12" s="609">
        <f>C12*'5. RWA '!$C$13</f>
        <v>8667932.8217636682</v>
      </c>
      <c r="F12" s="608"/>
      <c r="G12" s="608"/>
    </row>
    <row r="13" spans="1:7" s="185" customFormat="1">
      <c r="A13" s="181" t="s">
        <v>265</v>
      </c>
      <c r="B13" s="197" t="s">
        <v>279</v>
      </c>
      <c r="C13" s="201">
        <v>0</v>
      </c>
      <c r="D13" s="609">
        <f>C13*'5. RWA '!$C$13</f>
        <v>0</v>
      </c>
      <c r="F13" s="608"/>
      <c r="G13" s="608"/>
    </row>
    <row r="14" spans="1:7" s="185" customFormat="1">
      <c r="A14" s="178" t="s">
        <v>266</v>
      </c>
      <c r="B14" s="205" t="s">
        <v>326</v>
      </c>
      <c r="C14" s="202"/>
      <c r="D14" s="610"/>
      <c r="F14" s="608"/>
      <c r="G14" s="608"/>
    </row>
    <row r="15" spans="1:7" s="185" customFormat="1">
      <c r="A15" s="181">
        <v>3.1</v>
      </c>
      <c r="B15" s="197" t="s">
        <v>284</v>
      </c>
      <c r="C15" s="201">
        <v>9.7681247412716471E-2</v>
      </c>
      <c r="D15" s="609">
        <f>C15*'5. RWA '!$C$13</f>
        <v>169338898.10390049</v>
      </c>
      <c r="F15" s="608"/>
      <c r="G15" s="608"/>
    </row>
    <row r="16" spans="1:7" s="185" customFormat="1">
      <c r="A16" s="181">
        <v>3.2</v>
      </c>
      <c r="B16" s="197" t="s">
        <v>285</v>
      </c>
      <c r="C16" s="201">
        <v>0.11710244604049888</v>
      </c>
      <c r="D16" s="609">
        <f>C16*'5. RWA '!$C$13</f>
        <v>203007227.10864982</v>
      </c>
      <c r="F16" s="608"/>
      <c r="G16" s="608"/>
    </row>
    <row r="17" spans="1:7" s="184" customFormat="1">
      <c r="A17" s="181">
        <v>3.3</v>
      </c>
      <c r="B17" s="197" t="s">
        <v>286</v>
      </c>
      <c r="C17" s="201">
        <v>0.14265665476126524</v>
      </c>
      <c r="D17" s="609">
        <f>C17*'5. RWA '!$C$13</f>
        <v>247307660.00963584</v>
      </c>
      <c r="F17" s="608"/>
      <c r="G17" s="608"/>
    </row>
    <row r="18" spans="1:7" s="123" customFormat="1" ht="12.75" customHeight="1">
      <c r="A18" s="207"/>
      <c r="B18" s="208" t="s">
        <v>325</v>
      </c>
      <c r="C18" s="203" t="s">
        <v>270</v>
      </c>
      <c r="D18" s="611" t="s">
        <v>271</v>
      </c>
      <c r="F18" s="608"/>
      <c r="G18" s="608"/>
    </row>
    <row r="19" spans="1:7" s="184" customFormat="1">
      <c r="A19" s="182">
        <v>4</v>
      </c>
      <c r="B19" s="197" t="s">
        <v>280</v>
      </c>
      <c r="C19" s="201">
        <f>C7+C11+C12+C13+C15</f>
        <v>0.17268124741271648</v>
      </c>
      <c r="D19" s="609">
        <f>C19*'5. RWA '!$C$13</f>
        <v>299357890.43035555</v>
      </c>
      <c r="F19" s="608"/>
      <c r="G19" s="608"/>
    </row>
    <row r="20" spans="1:7" s="184" customFormat="1">
      <c r="A20" s="182">
        <v>5</v>
      </c>
      <c r="B20" s="197" t="s">
        <v>90</v>
      </c>
      <c r="C20" s="201">
        <f>C8+C11+C12+C13+C16</f>
        <v>0.20710244604049888</v>
      </c>
      <c r="D20" s="609">
        <f>C20*'5. RWA '!$C$13</f>
        <v>359030017.90039587</v>
      </c>
      <c r="F20" s="608"/>
      <c r="G20" s="608"/>
    </row>
    <row r="21" spans="1:7" s="184" customFormat="1" ht="13.5" thickBot="1">
      <c r="A21" s="186" t="s">
        <v>267</v>
      </c>
      <c r="B21" s="187" t="s">
        <v>281</v>
      </c>
      <c r="C21" s="204">
        <f>C9+C11+C12+C13+C17</f>
        <v>0.25265665476126525</v>
      </c>
      <c r="D21" s="612">
        <f>C21*'5. RWA '!$C$13</f>
        <v>438002182.08843654</v>
      </c>
      <c r="F21" s="608"/>
      <c r="G21" s="608"/>
    </row>
    <row r="23" spans="1:7">
      <c r="B23" s="15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80" zoomScaleNormal="80" workbookViewId="0"/>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14" t="str">
        <f>'9.1. Capital Requirements'!A1</f>
        <v>Bank:</v>
      </c>
      <c r="B1" s="535" t="str">
        <f>'1. key ratios '!B1</f>
        <v>JSC Cartu Bank</v>
      </c>
    </row>
    <row r="2" spans="1:3">
      <c r="A2" s="414" t="str">
        <f>'9.1. Capital Requirements'!A2</f>
        <v>Date:</v>
      </c>
      <c r="B2" s="535">
        <f>'1. key ratios '!B2</f>
        <v>45747</v>
      </c>
    </row>
    <row r="3" spans="1:3">
      <c r="A3" s="416" t="s">
        <v>675</v>
      </c>
      <c r="B3" s="417" t="s">
        <v>676</v>
      </c>
    </row>
    <row r="4" spans="1:3" ht="15.75" thickBot="1"/>
    <row r="5" spans="1:3">
      <c r="A5" s="418"/>
      <c r="B5" s="419" t="s">
        <v>677</v>
      </c>
      <c r="C5" s="450"/>
    </row>
    <row r="6" spans="1:3">
      <c r="A6" s="420" t="s">
        <v>697</v>
      </c>
      <c r="B6" s="421">
        <f>SUM(B7,B11)</f>
        <v>509087010.88888454</v>
      </c>
      <c r="C6" s="450"/>
    </row>
    <row r="7" spans="1:3">
      <c r="A7" s="420" t="s">
        <v>683</v>
      </c>
      <c r="B7" s="421">
        <f>SUM(B8:B10)</f>
        <v>509087010.88888454</v>
      </c>
      <c r="C7" s="450"/>
    </row>
    <row r="8" spans="1:3">
      <c r="A8" s="422" t="s">
        <v>678</v>
      </c>
      <c r="B8" s="423">
        <f>'9.Capital'!C29</f>
        <v>418319570.88888454</v>
      </c>
      <c r="C8" s="450"/>
    </row>
    <row r="9" spans="1:3">
      <c r="A9" s="422" t="s">
        <v>679</v>
      </c>
      <c r="B9" s="423">
        <f>'9.Capital'!C42</f>
        <v>74717100</v>
      </c>
      <c r="C9" s="450"/>
    </row>
    <row r="10" spans="1:3">
      <c r="A10" s="422" t="s">
        <v>680</v>
      </c>
      <c r="B10" s="423">
        <f>'9.Capital'!C53</f>
        <v>16050340</v>
      </c>
      <c r="C10" s="450"/>
    </row>
    <row r="11" spans="1:3">
      <c r="A11" s="420" t="s">
        <v>684</v>
      </c>
      <c r="B11" s="421">
        <f>SUM(B12:B13)</f>
        <v>0</v>
      </c>
      <c r="C11" s="450"/>
    </row>
    <row r="12" spans="1:3">
      <c r="A12" s="422" t="s">
        <v>703</v>
      </c>
      <c r="B12" s="423"/>
      <c r="C12" s="450"/>
    </row>
    <row r="13" spans="1:3">
      <c r="A13" s="422" t="s">
        <v>685</v>
      </c>
      <c r="B13" s="423"/>
      <c r="C13" s="450"/>
    </row>
    <row r="14" spans="1:3">
      <c r="A14" s="420" t="s">
        <v>686</v>
      </c>
      <c r="B14" s="421">
        <f>SUM(B15:B16)</f>
        <v>509087010.88888454</v>
      </c>
      <c r="C14" s="450"/>
    </row>
    <row r="15" spans="1:3">
      <c r="A15" s="424" t="s">
        <v>687</v>
      </c>
      <c r="B15" s="423"/>
      <c r="C15" s="450"/>
    </row>
    <row r="16" spans="1:3">
      <c r="A16" s="424" t="s">
        <v>688</v>
      </c>
      <c r="B16" s="423">
        <f>B7</f>
        <v>509087010.88888454</v>
      </c>
      <c r="C16" s="450"/>
    </row>
    <row r="17" spans="1:5">
      <c r="A17" s="420" t="s">
        <v>691</v>
      </c>
      <c r="B17" s="421"/>
      <c r="C17" s="450"/>
    </row>
    <row r="18" spans="1:5">
      <c r="A18" s="424" t="s">
        <v>689</v>
      </c>
      <c r="B18" s="423">
        <f>'5. RWA '!C13</f>
        <v>1733586564.3527336</v>
      </c>
      <c r="C18" s="450"/>
    </row>
    <row r="19" spans="1:5">
      <c r="A19" s="424" t="s">
        <v>690</v>
      </c>
      <c r="B19" s="423">
        <f>'15.1 LR'!C32</f>
        <v>1921238548.4610522</v>
      </c>
      <c r="C19" s="450"/>
    </row>
    <row r="20" spans="1:5">
      <c r="A20" s="420" t="s">
        <v>705</v>
      </c>
      <c r="B20" s="421"/>
      <c r="C20" s="450"/>
    </row>
    <row r="21" spans="1:5">
      <c r="A21" s="425" t="s">
        <v>692</v>
      </c>
      <c r="B21" s="426">
        <f>IFERROR(B6/B18,0)</f>
        <v>0.29366114237217888</v>
      </c>
      <c r="C21" s="450"/>
    </row>
    <row r="22" spans="1:5">
      <c r="A22" s="425" t="s">
        <v>709</v>
      </c>
      <c r="B22" s="426">
        <f>IFERROR(B6/B19,0)</f>
        <v>0.26497855318209845</v>
      </c>
      <c r="C22" s="450"/>
    </row>
    <row r="23" spans="1:5" ht="15.75" thickBot="1">
      <c r="A23" s="427" t="s">
        <v>693</v>
      </c>
      <c r="B23" s="428">
        <f>IFERROR(B6/B14,0)</f>
        <v>1</v>
      </c>
    </row>
    <row r="24" spans="1:5" ht="16.5" customHeight="1">
      <c r="A24" s="429" t="s">
        <v>681</v>
      </c>
      <c r="B24" s="430"/>
      <c r="C24" s="430"/>
      <c r="D24" s="430"/>
      <c r="E24" s="430"/>
    </row>
    <row r="25" spans="1:5" ht="25.5" customHeight="1">
      <c r="A25" s="429" t="s">
        <v>702</v>
      </c>
    </row>
    <row r="26" spans="1:5" ht="42.6" customHeight="1">
      <c r="A26" s="429" t="s">
        <v>704</v>
      </c>
      <c r="B26" s="118"/>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heetViews>
  <sheetFormatPr defaultRowHeight="15"/>
  <cols>
    <col min="1" max="1" width="56.85546875" customWidth="1"/>
    <col min="2" max="2" width="28.140625" bestFit="1" customWidth="1"/>
    <col min="3" max="6" width="28.140625" customWidth="1"/>
  </cols>
  <sheetData>
    <row r="1" spans="1:7">
      <c r="A1" s="414" t="s">
        <v>30</v>
      </c>
      <c r="B1" s="535" t="str">
        <f>'1. key ratios '!B1</f>
        <v>JSC Cartu Bank</v>
      </c>
      <c r="C1" s="118"/>
    </row>
    <row r="2" spans="1:7">
      <c r="A2" s="414" t="s">
        <v>31</v>
      </c>
      <c r="B2" s="535">
        <f>'1. key ratios '!B2</f>
        <v>45747</v>
      </c>
      <c r="C2" s="118"/>
    </row>
    <row r="3" spans="1:7">
      <c r="A3" s="416" t="s">
        <v>682</v>
      </c>
      <c r="B3" s="417" t="s">
        <v>676</v>
      </c>
      <c r="C3" s="118"/>
    </row>
    <row r="5" spans="1:7">
      <c r="A5" s="431"/>
    </row>
    <row r="6" spans="1:7" ht="15.75" thickBot="1">
      <c r="A6" s="432"/>
      <c r="B6" s="432"/>
      <c r="C6" s="432"/>
      <c r="D6" s="432"/>
      <c r="E6" s="432"/>
      <c r="F6" s="432"/>
    </row>
    <row r="7" spans="1:7">
      <c r="A7" s="738"/>
      <c r="B7" s="740" t="s">
        <v>708</v>
      </c>
      <c r="C7" s="740"/>
      <c r="D7" s="740"/>
      <c r="E7" s="740"/>
      <c r="F7" s="741" t="s">
        <v>64</v>
      </c>
    </row>
    <row r="8" spans="1:7">
      <c r="A8" s="739"/>
      <c r="B8" s="433" t="s">
        <v>694</v>
      </c>
      <c r="C8" s="433" t="s">
        <v>695</v>
      </c>
      <c r="D8" s="433" t="s">
        <v>696</v>
      </c>
      <c r="E8" s="433" t="s">
        <v>706</v>
      </c>
      <c r="F8" s="742"/>
    </row>
    <row r="9" spans="1:7">
      <c r="A9" s="434" t="s">
        <v>697</v>
      </c>
      <c r="B9" s="435">
        <f>B13+B17</f>
        <v>0</v>
      </c>
      <c r="C9" s="435">
        <f t="shared" ref="C9:E9" si="0">C13+C17</f>
        <v>0</v>
      </c>
      <c r="D9" s="435">
        <f t="shared" si="0"/>
        <v>0</v>
      </c>
      <c r="E9" s="435">
        <f t="shared" si="0"/>
        <v>0</v>
      </c>
      <c r="F9" s="436">
        <f>F13+F17</f>
        <v>0</v>
      </c>
    </row>
    <row r="10" spans="1:7">
      <c r="A10" s="437" t="s">
        <v>699</v>
      </c>
      <c r="B10" s="438">
        <f t="shared" ref="B10:E12" si="1">B14+B18</f>
        <v>0</v>
      </c>
      <c r="C10" s="438">
        <f t="shared" si="1"/>
        <v>0</v>
      </c>
      <c r="D10" s="438">
        <f t="shared" si="1"/>
        <v>0</v>
      </c>
      <c r="E10" s="438">
        <f t="shared" si="1"/>
        <v>0</v>
      </c>
      <c r="F10" s="436">
        <f>SUM(B10:E10)</f>
        <v>0</v>
      </c>
      <c r="G10" s="450"/>
    </row>
    <row r="11" spans="1:7">
      <c r="A11" s="437" t="s">
        <v>707</v>
      </c>
      <c r="B11" s="438">
        <f t="shared" si="1"/>
        <v>0</v>
      </c>
      <c r="C11" s="438">
        <f t="shared" si="1"/>
        <v>0</v>
      </c>
      <c r="D11" s="438">
        <f t="shared" si="1"/>
        <v>0</v>
      </c>
      <c r="E11" s="438">
        <f t="shared" si="1"/>
        <v>0</v>
      </c>
      <c r="F11" s="436">
        <f t="shared" ref="F11:F12" si="2">SUM(B11:E11)</f>
        <v>0</v>
      </c>
      <c r="G11" s="450"/>
    </row>
    <row r="12" spans="1:7">
      <c r="A12" s="439" t="s">
        <v>698</v>
      </c>
      <c r="B12" s="438">
        <f t="shared" si="1"/>
        <v>0</v>
      </c>
      <c r="C12" s="438">
        <f t="shared" si="1"/>
        <v>0</v>
      </c>
      <c r="D12" s="438">
        <f t="shared" si="1"/>
        <v>0</v>
      </c>
      <c r="E12" s="438">
        <f t="shared" si="1"/>
        <v>0</v>
      </c>
      <c r="F12" s="436">
        <f t="shared" si="2"/>
        <v>0</v>
      </c>
      <c r="G12" s="450"/>
    </row>
    <row r="13" spans="1:7">
      <c r="A13" s="440" t="s">
        <v>688</v>
      </c>
      <c r="B13" s="441"/>
      <c r="C13" s="441"/>
      <c r="D13" s="441"/>
      <c r="E13" s="441"/>
      <c r="F13" s="442"/>
    </row>
    <row r="14" spans="1:7">
      <c r="A14" s="437" t="s">
        <v>699</v>
      </c>
      <c r="B14" s="443"/>
      <c r="C14" s="443"/>
      <c r="D14" s="443"/>
      <c r="E14" s="443"/>
      <c r="F14" s="444"/>
    </row>
    <row r="15" spans="1:7">
      <c r="A15" s="437" t="s">
        <v>707</v>
      </c>
      <c r="B15" s="443"/>
      <c r="C15" s="443"/>
      <c r="D15" s="443"/>
      <c r="E15" s="443"/>
      <c r="F15" s="444"/>
    </row>
    <row r="16" spans="1:7">
      <c r="A16" s="439" t="s">
        <v>698</v>
      </c>
      <c r="B16" s="443"/>
      <c r="C16" s="443"/>
      <c r="D16" s="443"/>
      <c r="E16" s="443"/>
      <c r="F16" s="444"/>
    </row>
    <row r="17" spans="1:6">
      <c r="A17" s="440" t="s">
        <v>684</v>
      </c>
      <c r="B17" s="441"/>
      <c r="C17" s="441"/>
      <c r="D17" s="441"/>
      <c r="E17" s="441"/>
      <c r="F17" s="444"/>
    </row>
    <row r="18" spans="1:6">
      <c r="A18" s="437" t="s">
        <v>699</v>
      </c>
      <c r="B18" s="443"/>
      <c r="C18" s="443"/>
      <c r="D18" s="443"/>
      <c r="E18" s="443"/>
      <c r="F18" s="444"/>
    </row>
    <row r="19" spans="1:6">
      <c r="A19" s="437" t="s">
        <v>707</v>
      </c>
      <c r="B19" s="443"/>
      <c r="C19" s="443"/>
      <c r="D19" s="443"/>
      <c r="E19" s="443"/>
      <c r="F19" s="444"/>
    </row>
    <row r="20" spans="1:6" ht="15.75" thickBot="1">
      <c r="A20" s="439" t="s">
        <v>698</v>
      </c>
      <c r="B20" s="445"/>
      <c r="C20" s="445"/>
      <c r="D20" s="445"/>
      <c r="E20" s="445"/>
      <c r="F20" s="446"/>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10.85546875" style="4" customWidth="1"/>
    <col min="2" max="2" width="91.85546875" style="4" customWidth="1"/>
    <col min="3" max="3" width="53.140625" style="563" customWidth="1"/>
    <col min="4" max="4" width="32.140625" style="4" customWidth="1"/>
    <col min="5" max="5" width="9.42578125" style="5" customWidth="1"/>
    <col min="6" max="6" width="15" style="551" bestFit="1" customWidth="1"/>
    <col min="7" max="16384" width="9.140625" style="5"/>
  </cols>
  <sheetData>
    <row r="1" spans="1:6">
      <c r="A1" s="2" t="s">
        <v>30</v>
      </c>
      <c r="B1" s="3" t="str">
        <f>'Info '!C2</f>
        <v>JSC Cartu Bank</v>
      </c>
      <c r="E1" s="4"/>
      <c r="F1" s="563"/>
    </row>
    <row r="2" spans="1:6" s="2" customFormat="1" ht="15.75" customHeight="1">
      <c r="A2" s="2" t="s">
        <v>31</v>
      </c>
      <c r="B2" s="532">
        <f>'1. key ratios '!B2</f>
        <v>45747</v>
      </c>
      <c r="C2" s="562"/>
      <c r="F2" s="562"/>
    </row>
    <row r="3" spans="1:6" s="2" customFormat="1" ht="15.75" customHeight="1">
      <c r="A3" s="66"/>
      <c r="C3" s="562"/>
      <c r="F3" s="562"/>
    </row>
    <row r="4" spans="1:6" s="2" customFormat="1" ht="15.75" customHeight="1" thickBot="1">
      <c r="A4" s="2" t="s">
        <v>47</v>
      </c>
      <c r="B4" s="112" t="s">
        <v>165</v>
      </c>
      <c r="C4" s="562"/>
      <c r="D4" s="20" t="s">
        <v>35</v>
      </c>
      <c r="F4" s="562"/>
    </row>
    <row r="5" spans="1:6" ht="25.5">
      <c r="A5" s="67" t="s">
        <v>6</v>
      </c>
      <c r="B5" s="130" t="s">
        <v>205</v>
      </c>
      <c r="C5" s="613" t="s">
        <v>624</v>
      </c>
      <c r="D5" s="68" t="s">
        <v>49</v>
      </c>
    </row>
    <row r="6" spans="1:6" ht="15">
      <c r="A6" s="274">
        <v>1</v>
      </c>
      <c r="B6" s="275" t="s">
        <v>525</v>
      </c>
      <c r="C6" s="614">
        <f>SUM(C7:C9)</f>
        <v>614885522.81033564</v>
      </c>
      <c r="D6" s="69"/>
      <c r="E6" s="70"/>
    </row>
    <row r="7" spans="1:6" ht="15">
      <c r="A7" s="274">
        <v>1.1000000000000001</v>
      </c>
      <c r="B7" s="276" t="s">
        <v>526</v>
      </c>
      <c r="C7" s="615">
        <v>46297032.326199993</v>
      </c>
      <c r="D7" s="71"/>
      <c r="E7" s="70"/>
    </row>
    <row r="8" spans="1:6" ht="15">
      <c r="A8" s="274">
        <v>1.2</v>
      </c>
      <c r="B8" s="276" t="s">
        <v>527</v>
      </c>
      <c r="C8" s="615">
        <v>284804637.23051971</v>
      </c>
      <c r="D8" s="71"/>
      <c r="E8" s="70"/>
    </row>
    <row r="9" spans="1:6" ht="15">
      <c r="A9" s="274">
        <v>1.3</v>
      </c>
      <c r="B9" s="276" t="s">
        <v>528</v>
      </c>
      <c r="C9" s="615">
        <v>283783853.25361586</v>
      </c>
      <c r="D9" s="71"/>
      <c r="E9" s="70"/>
    </row>
    <row r="10" spans="1:6" ht="15">
      <c r="A10" s="274">
        <v>2</v>
      </c>
      <c r="B10" s="277" t="s">
        <v>529</v>
      </c>
      <c r="C10" s="615">
        <v>0</v>
      </c>
      <c r="D10" s="71"/>
      <c r="E10" s="70"/>
    </row>
    <row r="11" spans="1:6" ht="15">
      <c r="A11" s="274">
        <v>2.1</v>
      </c>
      <c r="B11" s="278" t="s">
        <v>530</v>
      </c>
      <c r="C11" s="615">
        <v>0</v>
      </c>
      <c r="D11" s="323"/>
      <c r="E11" s="72"/>
    </row>
    <row r="12" spans="1:6" ht="15">
      <c r="A12" s="274">
        <v>3</v>
      </c>
      <c r="B12" s="279" t="s">
        <v>531</v>
      </c>
      <c r="C12" s="615">
        <v>0</v>
      </c>
      <c r="D12" s="323"/>
      <c r="E12" s="72"/>
    </row>
    <row r="13" spans="1:6" ht="15">
      <c r="A13" s="274">
        <v>4</v>
      </c>
      <c r="B13" s="280" t="s">
        <v>532</v>
      </c>
      <c r="C13" s="615">
        <v>0</v>
      </c>
      <c r="D13" s="323"/>
      <c r="E13" s="72"/>
    </row>
    <row r="14" spans="1:6" ht="15">
      <c r="A14" s="274">
        <v>5</v>
      </c>
      <c r="B14" s="281" t="s">
        <v>533</v>
      </c>
      <c r="C14" s="616">
        <f>SUM(C15:C17)</f>
        <v>7408054.2999999998</v>
      </c>
      <c r="D14" s="323"/>
      <c r="E14" s="72"/>
    </row>
    <row r="15" spans="1:6" ht="15">
      <c r="A15" s="274">
        <v>5.0999999999999996</v>
      </c>
      <c r="B15" s="282" t="s">
        <v>534</v>
      </c>
      <c r="C15" s="615">
        <v>175637.53</v>
      </c>
      <c r="D15" s="323"/>
      <c r="E15" s="70"/>
    </row>
    <row r="16" spans="1:6" ht="15">
      <c r="A16" s="274">
        <v>5.2</v>
      </c>
      <c r="B16" s="282" t="s">
        <v>535</v>
      </c>
      <c r="C16" s="615">
        <v>7232416.7699999996</v>
      </c>
      <c r="D16" s="71"/>
      <c r="E16" s="70"/>
    </row>
    <row r="17" spans="1:5" ht="15">
      <c r="A17" s="274">
        <v>5.3</v>
      </c>
      <c r="B17" s="283" t="s">
        <v>536</v>
      </c>
      <c r="C17" s="615">
        <v>0</v>
      </c>
      <c r="D17" s="71"/>
      <c r="E17" s="70"/>
    </row>
    <row r="18" spans="1:5" ht="15">
      <c r="A18" s="274">
        <v>6</v>
      </c>
      <c r="B18" s="279" t="s">
        <v>537</v>
      </c>
      <c r="C18" s="615">
        <f>SUM(C19:C20)</f>
        <v>1100414094.1733408</v>
      </c>
      <c r="D18" s="71"/>
      <c r="E18" s="70"/>
    </row>
    <row r="19" spans="1:5" ht="15">
      <c r="A19" s="274">
        <v>6.1</v>
      </c>
      <c r="B19" s="282" t="s">
        <v>535</v>
      </c>
      <c r="C19" s="615">
        <v>60336411.374246351</v>
      </c>
      <c r="D19" s="71"/>
      <c r="E19" s="70"/>
    </row>
    <row r="20" spans="1:5" ht="15">
      <c r="A20" s="274">
        <v>6.2</v>
      </c>
      <c r="B20" s="283" t="s">
        <v>536</v>
      </c>
      <c r="C20" s="615">
        <v>1040077682.7990946</v>
      </c>
      <c r="D20" s="71"/>
      <c r="E20" s="70"/>
    </row>
    <row r="21" spans="1:5" ht="15">
      <c r="A21" s="274">
        <v>7</v>
      </c>
      <c r="B21" s="277" t="s">
        <v>538</v>
      </c>
      <c r="C21" s="615">
        <v>9522300</v>
      </c>
      <c r="D21" s="71"/>
      <c r="E21" s="70"/>
    </row>
    <row r="22" spans="1:5" ht="15">
      <c r="A22" s="274">
        <v>8</v>
      </c>
      <c r="B22" s="284" t="s">
        <v>539</v>
      </c>
      <c r="C22" s="615">
        <v>0</v>
      </c>
      <c r="D22" s="71"/>
      <c r="E22" s="70"/>
    </row>
    <row r="23" spans="1:5" ht="15">
      <c r="A23" s="274">
        <v>9</v>
      </c>
      <c r="B23" s="280" t="s">
        <v>540</v>
      </c>
      <c r="C23" s="615">
        <f>SUM(C24:C25)</f>
        <v>22057337.192990594</v>
      </c>
      <c r="D23" s="324"/>
      <c r="E23" s="70"/>
    </row>
    <row r="24" spans="1:5" ht="15">
      <c r="A24" s="274">
        <v>9.1</v>
      </c>
      <c r="B24" s="282" t="s">
        <v>541</v>
      </c>
      <c r="C24" s="615">
        <v>22057337.192990594</v>
      </c>
      <c r="D24" s="73"/>
      <c r="E24" s="70"/>
    </row>
    <row r="25" spans="1:5" ht="15">
      <c r="A25" s="274">
        <v>9.1999999999999993</v>
      </c>
      <c r="B25" s="282" t="s">
        <v>542</v>
      </c>
      <c r="C25" s="615">
        <v>0</v>
      </c>
      <c r="D25" s="322"/>
      <c r="E25" s="74"/>
    </row>
    <row r="26" spans="1:5" ht="15.75">
      <c r="A26" s="274">
        <v>10</v>
      </c>
      <c r="B26" s="280" t="s">
        <v>543</v>
      </c>
      <c r="C26" s="617">
        <f>SUM(C27:C28)</f>
        <v>12350414.350000001</v>
      </c>
      <c r="D26" s="413" t="s">
        <v>665</v>
      </c>
      <c r="E26" s="70"/>
    </row>
    <row r="27" spans="1:5" ht="15">
      <c r="A27" s="274">
        <v>10.1</v>
      </c>
      <c r="B27" s="282" t="s">
        <v>544</v>
      </c>
      <c r="C27" s="615">
        <v>0</v>
      </c>
      <c r="D27" s="71"/>
      <c r="E27" s="70"/>
    </row>
    <row r="28" spans="1:5" ht="15">
      <c r="A28" s="274">
        <v>10.199999999999999</v>
      </c>
      <c r="B28" s="282" t="s">
        <v>545</v>
      </c>
      <c r="C28" s="615">
        <v>12350414.350000001</v>
      </c>
      <c r="D28" s="71"/>
      <c r="E28" s="70"/>
    </row>
    <row r="29" spans="1:5" ht="15">
      <c r="A29" s="274">
        <v>11</v>
      </c>
      <c r="B29" s="280" t="s">
        <v>546</v>
      </c>
      <c r="C29" s="615">
        <f>SUM(C30:C31)</f>
        <v>8513796.4670122191</v>
      </c>
      <c r="D29" s="71"/>
      <c r="E29" s="70"/>
    </row>
    <row r="30" spans="1:5" ht="15">
      <c r="A30" s="274">
        <v>11.1</v>
      </c>
      <c r="B30" s="282" t="s">
        <v>547</v>
      </c>
      <c r="C30" s="615">
        <v>8513796.4670122191</v>
      </c>
      <c r="D30" s="71"/>
      <c r="E30" s="70"/>
    </row>
    <row r="31" spans="1:5" ht="15">
      <c r="A31" s="274">
        <v>11.2</v>
      </c>
      <c r="B31" s="282" t="s">
        <v>548</v>
      </c>
      <c r="C31" s="615">
        <v>0</v>
      </c>
      <c r="D31" s="71"/>
      <c r="E31" s="70"/>
    </row>
    <row r="32" spans="1:5" ht="15">
      <c r="A32" s="274">
        <v>13</v>
      </c>
      <c r="B32" s="280" t="s">
        <v>549</v>
      </c>
      <c r="C32" s="615">
        <v>46888607.682966106</v>
      </c>
      <c r="D32" s="71"/>
      <c r="E32" s="70"/>
    </row>
    <row r="33" spans="1:5" ht="15">
      <c r="A33" s="274">
        <v>13.1</v>
      </c>
      <c r="B33" s="285" t="s">
        <v>550</v>
      </c>
      <c r="C33" s="615">
        <v>45010351.173766114</v>
      </c>
      <c r="D33" s="71"/>
      <c r="E33" s="70"/>
    </row>
    <row r="34" spans="1:5" ht="15">
      <c r="A34" s="274">
        <v>13.2</v>
      </c>
      <c r="B34" s="285" t="s">
        <v>551</v>
      </c>
      <c r="C34" s="615">
        <v>0</v>
      </c>
      <c r="D34" s="73"/>
      <c r="E34" s="70"/>
    </row>
    <row r="35" spans="1:5" ht="15">
      <c r="A35" s="274">
        <v>14</v>
      </c>
      <c r="B35" s="286" t="s">
        <v>552</v>
      </c>
      <c r="C35" s="618">
        <f>SUM(C6,C10,C12,C13,C14,C18,C21,C22,C23,C26,C29,C32)</f>
        <v>1822040126.976645</v>
      </c>
      <c r="D35" s="73"/>
      <c r="E35" s="70"/>
    </row>
    <row r="36" spans="1:5" ht="15">
      <c r="A36" s="274"/>
      <c r="B36" s="287" t="s">
        <v>553</v>
      </c>
      <c r="C36" s="619"/>
      <c r="D36" s="75"/>
      <c r="E36" s="70"/>
    </row>
    <row r="37" spans="1:5" ht="15">
      <c r="A37" s="274">
        <v>15</v>
      </c>
      <c r="B37" s="288" t="s">
        <v>554</v>
      </c>
      <c r="C37" s="615">
        <v>0</v>
      </c>
      <c r="D37" s="322"/>
      <c r="E37" s="74"/>
    </row>
    <row r="38" spans="1:5" ht="15">
      <c r="A38" s="289">
        <v>15.1</v>
      </c>
      <c r="B38" s="290" t="s">
        <v>530</v>
      </c>
      <c r="C38" s="615">
        <v>0</v>
      </c>
      <c r="D38" s="71"/>
      <c r="E38" s="70"/>
    </row>
    <row r="39" spans="1:5" ht="15">
      <c r="A39" s="289">
        <v>16</v>
      </c>
      <c r="B39" s="277" t="s">
        <v>555</v>
      </c>
      <c r="C39" s="615">
        <v>0</v>
      </c>
      <c r="D39" s="71"/>
      <c r="E39" s="70"/>
    </row>
    <row r="40" spans="1:5" ht="15">
      <c r="A40" s="289">
        <v>17</v>
      </c>
      <c r="B40" s="277" t="s">
        <v>556</v>
      </c>
      <c r="C40" s="615">
        <f>SUM(C41:C44)</f>
        <v>1278952037.302727</v>
      </c>
      <c r="D40" s="71"/>
      <c r="E40" s="70"/>
    </row>
    <row r="41" spans="1:5" ht="15">
      <c r="A41" s="289">
        <v>17.100000000000001</v>
      </c>
      <c r="B41" s="291" t="s">
        <v>557</v>
      </c>
      <c r="C41" s="615">
        <v>1269315369.4386001</v>
      </c>
      <c r="D41" s="71"/>
      <c r="E41" s="70"/>
    </row>
    <row r="42" spans="1:5" ht="15">
      <c r="A42" s="289">
        <v>17.2</v>
      </c>
      <c r="B42" s="292" t="s">
        <v>558</v>
      </c>
      <c r="C42" s="615">
        <v>0</v>
      </c>
      <c r="D42" s="71"/>
      <c r="E42" s="70"/>
    </row>
    <row r="43" spans="1:5" ht="15">
      <c r="A43" s="289">
        <v>17.3</v>
      </c>
      <c r="B43" s="316" t="s">
        <v>559</v>
      </c>
      <c r="C43" s="615">
        <v>0</v>
      </c>
      <c r="D43" s="73"/>
      <c r="E43" s="70"/>
    </row>
    <row r="44" spans="1:5" ht="15">
      <c r="A44" s="289">
        <v>17.399999999999999</v>
      </c>
      <c r="B44" s="317" t="s">
        <v>560</v>
      </c>
      <c r="C44" s="615">
        <v>9636667.8641270045</v>
      </c>
      <c r="D44" s="836"/>
      <c r="E44" s="70"/>
    </row>
    <row r="45" spans="1:5" ht="15">
      <c r="A45" s="289">
        <v>18</v>
      </c>
      <c r="B45" s="297" t="s">
        <v>561</v>
      </c>
      <c r="C45" s="615">
        <v>494803.57085730316</v>
      </c>
      <c r="D45" s="837"/>
      <c r="E45" s="74"/>
    </row>
    <row r="46" spans="1:5" ht="15">
      <c r="A46" s="289">
        <v>19</v>
      </c>
      <c r="B46" s="297" t="s">
        <v>562</v>
      </c>
      <c r="C46" s="620">
        <f>SUM(C47:C48)</f>
        <v>2580677.1735710576</v>
      </c>
      <c r="D46" s="838"/>
    </row>
    <row r="47" spans="1:5" ht="15">
      <c r="A47" s="289">
        <v>19.100000000000001</v>
      </c>
      <c r="B47" s="318" t="s">
        <v>563</v>
      </c>
      <c r="C47" s="615">
        <v>0</v>
      </c>
      <c r="D47" s="838"/>
    </row>
    <row r="48" spans="1:5" ht="15">
      <c r="A48" s="289">
        <v>19.2</v>
      </c>
      <c r="B48" s="318" t="s">
        <v>564</v>
      </c>
      <c r="C48" s="615">
        <v>2580677.1735710576</v>
      </c>
      <c r="D48" s="838"/>
    </row>
    <row r="49" spans="1:4" ht="15.75">
      <c r="A49" s="289">
        <v>20</v>
      </c>
      <c r="B49" s="293" t="s">
        <v>565</v>
      </c>
      <c r="C49" s="615">
        <v>84096865.765199766</v>
      </c>
      <c r="D49" s="413" t="s">
        <v>775</v>
      </c>
    </row>
    <row r="50" spans="1:4" ht="15.75">
      <c r="A50" s="289">
        <v>21</v>
      </c>
      <c r="B50" s="319" t="s">
        <v>566</v>
      </c>
      <c r="C50" s="615">
        <v>1378456.5766999996</v>
      </c>
      <c r="D50" s="839"/>
    </row>
    <row r="51" spans="1:4" ht="15.75">
      <c r="A51" s="289">
        <v>21.1</v>
      </c>
      <c r="B51" s="292" t="s">
        <v>567</v>
      </c>
      <c r="C51" s="615">
        <v>0</v>
      </c>
      <c r="D51" s="839"/>
    </row>
    <row r="52" spans="1:4" ht="15.75">
      <c r="A52" s="289">
        <v>22</v>
      </c>
      <c r="B52" s="294" t="s">
        <v>568</v>
      </c>
      <c r="C52" s="620">
        <f>SUM(C37,C39,C40,C45,C46,C49,C50)</f>
        <v>1367502840.389055</v>
      </c>
      <c r="D52" s="839"/>
    </row>
    <row r="53" spans="1:4" ht="15.75">
      <c r="A53" s="289"/>
      <c r="B53" s="295" t="s">
        <v>569</v>
      </c>
      <c r="C53" s="621"/>
      <c r="D53" s="839"/>
    </row>
    <row r="54" spans="1:4" ht="15.75">
      <c r="A54" s="289">
        <v>23</v>
      </c>
      <c r="B54" s="293" t="s">
        <v>570</v>
      </c>
      <c r="C54" s="615">
        <v>114430000</v>
      </c>
      <c r="D54" s="413" t="s">
        <v>776</v>
      </c>
    </row>
    <row r="55" spans="1:4" ht="15.75">
      <c r="A55" s="289">
        <v>24</v>
      </c>
      <c r="B55" s="293" t="s">
        <v>571</v>
      </c>
      <c r="C55" s="615">
        <v>0</v>
      </c>
      <c r="D55" s="839"/>
    </row>
    <row r="56" spans="1:4" ht="15.75">
      <c r="A56" s="289">
        <v>25</v>
      </c>
      <c r="B56" s="297" t="s">
        <v>572</v>
      </c>
      <c r="C56" s="615">
        <v>0</v>
      </c>
      <c r="D56" s="839"/>
    </row>
    <row r="57" spans="1:4" ht="15.75">
      <c r="A57" s="289">
        <v>26</v>
      </c>
      <c r="B57" s="297" t="s">
        <v>573</v>
      </c>
      <c r="C57" s="615">
        <v>0</v>
      </c>
      <c r="D57" s="839"/>
    </row>
    <row r="58" spans="1:4" ht="15.75">
      <c r="A58" s="289">
        <v>27</v>
      </c>
      <c r="B58" s="297" t="s">
        <v>574</v>
      </c>
      <c r="C58" s="620">
        <f>SUM(C59:C60)</f>
        <v>23845347.84</v>
      </c>
      <c r="D58" s="839"/>
    </row>
    <row r="59" spans="1:4" ht="15.75">
      <c r="A59" s="289">
        <v>27.1</v>
      </c>
      <c r="B59" s="317" t="s">
        <v>575</v>
      </c>
      <c r="C59" s="615">
        <v>23845347.84</v>
      </c>
      <c r="D59" s="413" t="s">
        <v>777</v>
      </c>
    </row>
    <row r="60" spans="1:4" ht="15.75">
      <c r="A60" s="289">
        <v>27.2</v>
      </c>
      <c r="B60" s="317" t="s">
        <v>576</v>
      </c>
      <c r="C60" s="615">
        <v>0</v>
      </c>
      <c r="D60" s="839"/>
    </row>
    <row r="61" spans="1:4" ht="15.75">
      <c r="A61" s="289">
        <v>28</v>
      </c>
      <c r="B61" s="296" t="s">
        <v>577</v>
      </c>
      <c r="C61" s="615">
        <v>0</v>
      </c>
      <c r="D61" s="839"/>
    </row>
    <row r="62" spans="1:4" ht="15.75">
      <c r="A62" s="289">
        <v>29</v>
      </c>
      <c r="B62" s="297" t="s">
        <v>578</v>
      </c>
      <c r="C62" s="620">
        <f>SUM(C63:C65)</f>
        <v>21959.87840556982</v>
      </c>
      <c r="D62" s="839"/>
    </row>
    <row r="63" spans="1:4" ht="15.75">
      <c r="A63" s="289">
        <v>29.1</v>
      </c>
      <c r="B63" s="320" t="s">
        <v>579</v>
      </c>
      <c r="C63" s="615">
        <v>0</v>
      </c>
      <c r="D63" s="839"/>
    </row>
    <row r="64" spans="1:4" ht="15.75">
      <c r="A64" s="289">
        <v>29.2</v>
      </c>
      <c r="B64" s="318" t="s">
        <v>580</v>
      </c>
      <c r="C64" s="615">
        <v>0</v>
      </c>
      <c r="D64" s="839"/>
    </row>
    <row r="65" spans="1:4" ht="15.75">
      <c r="A65" s="289">
        <v>29.3</v>
      </c>
      <c r="B65" s="318" t="s">
        <v>581</v>
      </c>
      <c r="C65" s="615">
        <v>21959.87840556982</v>
      </c>
      <c r="D65" s="413" t="s">
        <v>780</v>
      </c>
    </row>
    <row r="66" spans="1:4" ht="15.75">
      <c r="A66" s="289">
        <v>30</v>
      </c>
      <c r="B66" s="297" t="s">
        <v>582</v>
      </c>
      <c r="C66" s="615">
        <v>316239985.23888457</v>
      </c>
      <c r="D66" s="840" t="s">
        <v>778</v>
      </c>
    </row>
    <row r="67" spans="1:4" ht="15.75">
      <c r="A67" s="289">
        <v>31</v>
      </c>
      <c r="B67" s="321" t="s">
        <v>583</v>
      </c>
      <c r="C67" s="620">
        <f>SUM(C54,C55,C56,C57,C58,C61,C62,C66)</f>
        <v>454537292.95729017</v>
      </c>
      <c r="D67" s="622"/>
    </row>
    <row r="68" spans="1:4" ht="16.5" thickBot="1">
      <c r="A68" s="841">
        <v>32</v>
      </c>
      <c r="B68" s="842" t="s">
        <v>584</v>
      </c>
      <c r="C68" s="843">
        <f>SUM(C52,C67)</f>
        <v>1822040133.3463452</v>
      </c>
      <c r="D68" s="623"/>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41"/>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95" style="4" customWidth="1"/>
    <col min="3" max="3" width="15.28515625" style="4" bestFit="1" customWidth="1"/>
    <col min="4" max="4" width="16.7109375" style="4" bestFit="1" customWidth="1"/>
    <col min="5" max="5" width="16.42578125" style="4" bestFit="1" customWidth="1"/>
    <col min="6" max="6" width="16.7109375" style="4" bestFit="1" customWidth="1"/>
    <col min="7" max="7" width="13.28515625" style="4" bestFit="1" customWidth="1"/>
    <col min="8" max="8" width="13.42578125" style="4" bestFit="1" customWidth="1"/>
    <col min="9" max="9" width="15.28515625" style="4" bestFit="1" customWidth="1"/>
    <col min="10" max="10" width="13.42578125" style="4" bestFit="1" customWidth="1"/>
    <col min="11" max="11" width="13.28515625" style="4" bestFit="1" customWidth="1"/>
    <col min="12" max="12" width="13.28515625" style="19" bestFit="1" customWidth="1"/>
    <col min="13" max="13" width="17.85546875" style="19" bestFit="1" customWidth="1"/>
    <col min="14" max="14" width="16.42578125" style="19" bestFit="1" customWidth="1"/>
    <col min="15" max="16" width="13.28515625" style="19" bestFit="1" customWidth="1"/>
    <col min="17" max="17" width="14.85546875" style="19" customWidth="1"/>
    <col min="18" max="18" width="13.28515625" style="19" bestFit="1" customWidth="1"/>
    <col min="19" max="19" width="34.85546875" style="19" customWidth="1"/>
    <col min="20" max="16384" width="9.140625" style="19"/>
  </cols>
  <sheetData>
    <row r="1" spans="1:19">
      <c r="A1" s="2" t="s">
        <v>30</v>
      </c>
      <c r="B1" s="3" t="str">
        <f>'Info '!C2</f>
        <v>JSC Cartu Bank</v>
      </c>
    </row>
    <row r="2" spans="1:19">
      <c r="A2" s="2" t="s">
        <v>31</v>
      </c>
      <c r="B2" s="532">
        <f>'1. key ratios '!B2</f>
        <v>45747</v>
      </c>
    </row>
    <row r="4" spans="1:19" ht="26.25" thickBot="1">
      <c r="A4" s="4" t="s">
        <v>146</v>
      </c>
      <c r="B4" s="143" t="s">
        <v>238</v>
      </c>
    </row>
    <row r="5" spans="1:19" s="137" customFormat="1">
      <c r="A5" s="132"/>
      <c r="B5" s="133"/>
      <c r="C5" s="134" t="s">
        <v>0</v>
      </c>
      <c r="D5" s="134" t="s">
        <v>1</v>
      </c>
      <c r="E5" s="134" t="s">
        <v>2</v>
      </c>
      <c r="F5" s="134" t="s">
        <v>3</v>
      </c>
      <c r="G5" s="134" t="s">
        <v>4</v>
      </c>
      <c r="H5" s="134" t="s">
        <v>5</v>
      </c>
      <c r="I5" s="134" t="s">
        <v>8</v>
      </c>
      <c r="J5" s="134" t="s">
        <v>9</v>
      </c>
      <c r="K5" s="134" t="s">
        <v>10</v>
      </c>
      <c r="L5" s="134" t="s">
        <v>11</v>
      </c>
      <c r="M5" s="134" t="s">
        <v>12</v>
      </c>
      <c r="N5" s="134" t="s">
        <v>13</v>
      </c>
      <c r="O5" s="134" t="s">
        <v>222</v>
      </c>
      <c r="P5" s="134" t="s">
        <v>223</v>
      </c>
      <c r="Q5" s="134" t="s">
        <v>224</v>
      </c>
      <c r="R5" s="135" t="s">
        <v>225</v>
      </c>
      <c r="S5" s="136" t="s">
        <v>226</v>
      </c>
    </row>
    <row r="6" spans="1:19" s="137" customFormat="1" ht="99" customHeight="1">
      <c r="A6" s="138"/>
      <c r="B6" s="747" t="s">
        <v>227</v>
      </c>
      <c r="C6" s="743">
        <v>0</v>
      </c>
      <c r="D6" s="744"/>
      <c r="E6" s="743">
        <v>0.2</v>
      </c>
      <c r="F6" s="744"/>
      <c r="G6" s="743">
        <v>0.35</v>
      </c>
      <c r="H6" s="744"/>
      <c r="I6" s="743">
        <v>0.5</v>
      </c>
      <c r="J6" s="744"/>
      <c r="K6" s="743">
        <v>0.75</v>
      </c>
      <c r="L6" s="744"/>
      <c r="M6" s="743">
        <v>1</v>
      </c>
      <c r="N6" s="744"/>
      <c r="O6" s="743">
        <v>1.5</v>
      </c>
      <c r="P6" s="744"/>
      <c r="Q6" s="743">
        <v>2.5</v>
      </c>
      <c r="R6" s="744"/>
      <c r="S6" s="745" t="s">
        <v>145</v>
      </c>
    </row>
    <row r="7" spans="1:19" s="137" customFormat="1" ht="30.75" customHeight="1">
      <c r="A7" s="138"/>
      <c r="B7" s="748"/>
      <c r="C7" s="129" t="s">
        <v>148</v>
      </c>
      <c r="D7" s="129" t="s">
        <v>147</v>
      </c>
      <c r="E7" s="129" t="s">
        <v>148</v>
      </c>
      <c r="F7" s="129" t="s">
        <v>147</v>
      </c>
      <c r="G7" s="129" t="s">
        <v>148</v>
      </c>
      <c r="H7" s="129" t="s">
        <v>147</v>
      </c>
      <c r="I7" s="129" t="s">
        <v>148</v>
      </c>
      <c r="J7" s="129" t="s">
        <v>147</v>
      </c>
      <c r="K7" s="129" t="s">
        <v>148</v>
      </c>
      <c r="L7" s="129" t="s">
        <v>147</v>
      </c>
      <c r="M7" s="129" t="s">
        <v>148</v>
      </c>
      <c r="N7" s="129" t="s">
        <v>147</v>
      </c>
      <c r="O7" s="129" t="s">
        <v>148</v>
      </c>
      <c r="P7" s="129" t="s">
        <v>147</v>
      </c>
      <c r="Q7" s="129" t="s">
        <v>148</v>
      </c>
      <c r="R7" s="129" t="s">
        <v>147</v>
      </c>
      <c r="S7" s="746"/>
    </row>
    <row r="8" spans="1:19">
      <c r="A8" s="76">
        <v>1</v>
      </c>
      <c r="B8" s="1" t="s">
        <v>51</v>
      </c>
      <c r="C8" s="624">
        <v>43308862.980447456</v>
      </c>
      <c r="D8" s="624">
        <v>0</v>
      </c>
      <c r="E8" s="624">
        <v>0</v>
      </c>
      <c r="F8" s="624">
        <v>0</v>
      </c>
      <c r="G8" s="624">
        <v>0</v>
      </c>
      <c r="H8" s="624">
        <v>0</v>
      </c>
      <c r="I8" s="624">
        <v>0</v>
      </c>
      <c r="J8" s="624">
        <v>0</v>
      </c>
      <c r="K8" s="624">
        <v>0</v>
      </c>
      <c r="L8" s="624">
        <v>0</v>
      </c>
      <c r="M8" s="624">
        <v>270092167.60051966</v>
      </c>
      <c r="N8" s="624">
        <v>0</v>
      </c>
      <c r="O8" s="624">
        <v>0</v>
      </c>
      <c r="P8" s="624">
        <v>0</v>
      </c>
      <c r="Q8" s="624">
        <v>0</v>
      </c>
      <c r="R8" s="624">
        <v>0</v>
      </c>
      <c r="S8" s="624">
        <f>$C$6*SUM(C8:D8)+$E$6*SUM(E8:F8)+$G$6*SUM(G8:H8)+$I$6*SUM(I8:J8)+$K$6*SUM(K8:L8)+$M$6*SUM(M8:N8)+$O$6*SUM(O8:P8)+$Q$6*SUM(Q8:R8)</f>
        <v>270092167.60051966</v>
      </c>
    </row>
    <row r="9" spans="1:19">
      <c r="A9" s="76">
        <v>2</v>
      </c>
      <c r="B9" s="1" t="s">
        <v>52</v>
      </c>
      <c r="C9" s="624">
        <v>0</v>
      </c>
      <c r="D9" s="624">
        <v>0</v>
      </c>
      <c r="E9" s="624">
        <v>0</v>
      </c>
      <c r="F9" s="624">
        <v>0</v>
      </c>
      <c r="G9" s="624">
        <v>0</v>
      </c>
      <c r="H9" s="624">
        <v>0</v>
      </c>
      <c r="I9" s="624">
        <v>0</v>
      </c>
      <c r="J9" s="624">
        <v>0</v>
      </c>
      <c r="K9" s="624">
        <v>0</v>
      </c>
      <c r="L9" s="624">
        <v>0</v>
      </c>
      <c r="M9" s="624">
        <v>0</v>
      </c>
      <c r="N9" s="624">
        <v>0</v>
      </c>
      <c r="O9" s="624">
        <v>0</v>
      </c>
      <c r="P9" s="624">
        <v>0</v>
      </c>
      <c r="Q9" s="624">
        <v>0</v>
      </c>
      <c r="R9" s="624">
        <v>0</v>
      </c>
      <c r="S9" s="624">
        <f t="shared" ref="S9:S21" si="0">$C$6*SUM(C9:D9)+$E$6*SUM(E9:F9)+$G$6*SUM(G9:H9)+$I$6*SUM(I9:J9)+$K$6*SUM(K9:L9)+$M$6*SUM(M9:N9)+$O$6*SUM(O9:P9)+$Q$6*SUM(Q9:R9)</f>
        <v>0</v>
      </c>
    </row>
    <row r="10" spans="1:19">
      <c r="A10" s="76">
        <v>3</v>
      </c>
      <c r="B10" s="1" t="s">
        <v>152</v>
      </c>
      <c r="C10" s="624">
        <v>0</v>
      </c>
      <c r="D10" s="624">
        <v>0</v>
      </c>
      <c r="E10" s="624">
        <v>0</v>
      </c>
      <c r="F10" s="624">
        <v>0</v>
      </c>
      <c r="G10" s="624">
        <v>0</v>
      </c>
      <c r="H10" s="624">
        <v>0</v>
      </c>
      <c r="I10" s="624">
        <v>0</v>
      </c>
      <c r="J10" s="624">
        <v>0</v>
      </c>
      <c r="K10" s="624">
        <v>0</v>
      </c>
      <c r="L10" s="624">
        <v>0</v>
      </c>
      <c r="M10" s="624">
        <v>0</v>
      </c>
      <c r="N10" s="624">
        <v>0</v>
      </c>
      <c r="O10" s="624">
        <v>0</v>
      </c>
      <c r="P10" s="624">
        <v>0</v>
      </c>
      <c r="Q10" s="624">
        <v>0</v>
      </c>
      <c r="R10" s="624">
        <v>0</v>
      </c>
      <c r="S10" s="624">
        <f t="shared" si="0"/>
        <v>0</v>
      </c>
    </row>
    <row r="11" spans="1:19">
      <c r="A11" s="76">
        <v>4</v>
      </c>
      <c r="B11" s="1" t="s">
        <v>53</v>
      </c>
      <c r="C11" s="624">
        <v>0</v>
      </c>
      <c r="D11" s="624">
        <v>0</v>
      </c>
      <c r="E11" s="624">
        <v>0</v>
      </c>
      <c r="F11" s="624">
        <v>0</v>
      </c>
      <c r="G11" s="624">
        <v>0</v>
      </c>
      <c r="H11" s="624">
        <v>0</v>
      </c>
      <c r="I11" s="624">
        <v>0</v>
      </c>
      <c r="J11" s="624">
        <v>0</v>
      </c>
      <c r="K11" s="624">
        <v>0</v>
      </c>
      <c r="L11" s="624">
        <v>0</v>
      </c>
      <c r="M11" s="624">
        <v>0</v>
      </c>
      <c r="N11" s="624">
        <v>0</v>
      </c>
      <c r="O11" s="624">
        <v>0</v>
      </c>
      <c r="P11" s="624">
        <v>0</v>
      </c>
      <c r="Q11" s="624">
        <v>0</v>
      </c>
      <c r="R11" s="624">
        <v>0</v>
      </c>
      <c r="S11" s="624">
        <f t="shared" si="0"/>
        <v>0</v>
      </c>
    </row>
    <row r="12" spans="1:19">
      <c r="A12" s="76">
        <v>5</v>
      </c>
      <c r="B12" s="1" t="s">
        <v>54</v>
      </c>
      <c r="C12" s="624">
        <v>0</v>
      </c>
      <c r="D12" s="624">
        <v>0</v>
      </c>
      <c r="E12" s="624">
        <v>0</v>
      </c>
      <c r="F12" s="624">
        <v>0</v>
      </c>
      <c r="G12" s="624">
        <v>0</v>
      </c>
      <c r="H12" s="624">
        <v>0</v>
      </c>
      <c r="I12" s="624">
        <v>0</v>
      </c>
      <c r="J12" s="624">
        <v>0</v>
      </c>
      <c r="K12" s="624">
        <v>0</v>
      </c>
      <c r="L12" s="624">
        <v>0</v>
      </c>
      <c r="M12" s="624">
        <v>0</v>
      </c>
      <c r="N12" s="624">
        <v>0</v>
      </c>
      <c r="O12" s="624">
        <v>0</v>
      </c>
      <c r="P12" s="624">
        <v>0</v>
      </c>
      <c r="Q12" s="624">
        <v>0</v>
      </c>
      <c r="R12" s="624">
        <v>0</v>
      </c>
      <c r="S12" s="624">
        <f t="shared" si="0"/>
        <v>0</v>
      </c>
    </row>
    <row r="13" spans="1:19">
      <c r="A13" s="76">
        <v>6</v>
      </c>
      <c r="B13" s="1" t="s">
        <v>55</v>
      </c>
      <c r="C13" s="624">
        <v>0</v>
      </c>
      <c r="D13" s="624">
        <v>0</v>
      </c>
      <c r="E13" s="624">
        <v>257071149.21339166</v>
      </c>
      <c r="F13" s="624">
        <v>0</v>
      </c>
      <c r="G13" s="624">
        <v>0</v>
      </c>
      <c r="H13" s="624">
        <v>0</v>
      </c>
      <c r="I13" s="624">
        <v>26712704.040224195</v>
      </c>
      <c r="J13" s="624">
        <v>0</v>
      </c>
      <c r="K13" s="624">
        <v>0</v>
      </c>
      <c r="L13" s="624">
        <v>0</v>
      </c>
      <c r="M13" s="624">
        <v>3.637978807091713E-12</v>
      </c>
      <c r="N13" s="624">
        <v>0</v>
      </c>
      <c r="O13" s="624">
        <v>0</v>
      </c>
      <c r="P13" s="624">
        <v>0</v>
      </c>
      <c r="Q13" s="624">
        <v>0</v>
      </c>
      <c r="R13" s="624">
        <v>0</v>
      </c>
      <c r="S13" s="624">
        <f t="shared" si="0"/>
        <v>64770581.862790436</v>
      </c>
    </row>
    <row r="14" spans="1:19">
      <c r="A14" s="76">
        <v>7</v>
      </c>
      <c r="B14" s="1" t="s">
        <v>56</v>
      </c>
      <c r="C14" s="624">
        <v>0</v>
      </c>
      <c r="D14" s="624">
        <v>0</v>
      </c>
      <c r="E14" s="624">
        <v>0</v>
      </c>
      <c r="F14" s="624">
        <v>0</v>
      </c>
      <c r="G14" s="624">
        <v>0</v>
      </c>
      <c r="H14" s="624">
        <v>0</v>
      </c>
      <c r="I14" s="624">
        <v>0</v>
      </c>
      <c r="J14" s="624">
        <v>0</v>
      </c>
      <c r="K14" s="624">
        <v>0</v>
      </c>
      <c r="L14" s="624">
        <v>0</v>
      </c>
      <c r="M14" s="624">
        <v>977288440.4137044</v>
      </c>
      <c r="N14" s="624">
        <v>109285658.84463271</v>
      </c>
      <c r="O14" s="624">
        <v>0</v>
      </c>
      <c r="P14" s="624">
        <v>0</v>
      </c>
      <c r="Q14" s="624">
        <v>0</v>
      </c>
      <c r="R14" s="624">
        <v>0</v>
      </c>
      <c r="S14" s="624">
        <f t="shared" si="0"/>
        <v>1086574099.258337</v>
      </c>
    </row>
    <row r="15" spans="1:19">
      <c r="A15" s="76">
        <v>8</v>
      </c>
      <c r="B15" s="1" t="s">
        <v>57</v>
      </c>
      <c r="C15" s="624">
        <v>0</v>
      </c>
      <c r="D15" s="624">
        <v>0</v>
      </c>
      <c r="E15" s="624">
        <v>0</v>
      </c>
      <c r="F15" s="624">
        <v>0</v>
      </c>
      <c r="G15" s="624">
        <v>0</v>
      </c>
      <c r="H15" s="624">
        <v>0</v>
      </c>
      <c r="I15" s="624">
        <v>0</v>
      </c>
      <c r="J15" s="624">
        <v>0</v>
      </c>
      <c r="K15" s="624">
        <v>0</v>
      </c>
      <c r="L15" s="624">
        <v>0</v>
      </c>
      <c r="M15" s="624">
        <v>0</v>
      </c>
      <c r="N15" s="624">
        <v>0</v>
      </c>
      <c r="O15" s="624">
        <v>0</v>
      </c>
      <c r="P15" s="624">
        <v>0</v>
      </c>
      <c r="Q15" s="624">
        <v>0</v>
      </c>
      <c r="R15" s="624">
        <v>0</v>
      </c>
      <c r="S15" s="624">
        <f t="shared" si="0"/>
        <v>0</v>
      </c>
    </row>
    <row r="16" spans="1:19">
      <c r="A16" s="76">
        <v>9</v>
      </c>
      <c r="B16" s="1" t="s">
        <v>58</v>
      </c>
      <c r="C16" s="624">
        <v>0</v>
      </c>
      <c r="D16" s="624">
        <v>0</v>
      </c>
      <c r="E16" s="624">
        <v>0</v>
      </c>
      <c r="F16" s="624">
        <v>0</v>
      </c>
      <c r="G16" s="624">
        <v>0</v>
      </c>
      <c r="H16" s="624">
        <v>0</v>
      </c>
      <c r="I16" s="624">
        <v>0</v>
      </c>
      <c r="J16" s="624">
        <v>0</v>
      </c>
      <c r="K16" s="624">
        <v>0</v>
      </c>
      <c r="L16" s="624">
        <v>0</v>
      </c>
      <c r="M16" s="624">
        <v>0</v>
      </c>
      <c r="N16" s="624">
        <v>0</v>
      </c>
      <c r="O16" s="624">
        <v>0</v>
      </c>
      <c r="P16" s="624">
        <v>0</v>
      </c>
      <c r="Q16" s="624">
        <v>0</v>
      </c>
      <c r="R16" s="624">
        <v>0</v>
      </c>
      <c r="S16" s="624">
        <f t="shared" si="0"/>
        <v>0</v>
      </c>
    </row>
    <row r="17" spans="1:19">
      <c r="A17" s="76">
        <v>10</v>
      </c>
      <c r="B17" s="1" t="s">
        <v>59</v>
      </c>
      <c r="C17" s="624">
        <v>0</v>
      </c>
      <c r="D17" s="624">
        <v>0</v>
      </c>
      <c r="E17" s="624">
        <v>0</v>
      </c>
      <c r="F17" s="624">
        <v>0</v>
      </c>
      <c r="G17" s="624">
        <v>0</v>
      </c>
      <c r="H17" s="624">
        <v>0</v>
      </c>
      <c r="I17" s="624">
        <v>0</v>
      </c>
      <c r="J17" s="624">
        <v>0</v>
      </c>
      <c r="K17" s="624">
        <v>0</v>
      </c>
      <c r="L17" s="624">
        <v>0</v>
      </c>
      <c r="M17" s="624">
        <v>61465479.799017057</v>
      </c>
      <c r="N17" s="624">
        <v>0</v>
      </c>
      <c r="O17" s="624">
        <v>0</v>
      </c>
      <c r="P17" s="624">
        <v>0</v>
      </c>
      <c r="Q17" s="624">
        <v>0</v>
      </c>
      <c r="R17" s="624">
        <v>0</v>
      </c>
      <c r="S17" s="624">
        <f t="shared" si="0"/>
        <v>61465479.799017057</v>
      </c>
    </row>
    <row r="18" spans="1:19">
      <c r="A18" s="76">
        <v>11</v>
      </c>
      <c r="B18" s="1" t="s">
        <v>60</v>
      </c>
      <c r="C18" s="624">
        <v>0</v>
      </c>
      <c r="D18" s="624">
        <v>0</v>
      </c>
      <c r="E18" s="624">
        <v>0</v>
      </c>
      <c r="F18" s="624">
        <v>0</v>
      </c>
      <c r="G18" s="624">
        <v>0</v>
      </c>
      <c r="H18" s="624">
        <v>0</v>
      </c>
      <c r="I18" s="624">
        <v>0</v>
      </c>
      <c r="J18" s="624">
        <v>0</v>
      </c>
      <c r="K18" s="624">
        <v>0</v>
      </c>
      <c r="L18" s="624">
        <v>0</v>
      </c>
      <c r="M18" s="624">
        <v>0</v>
      </c>
      <c r="N18" s="624">
        <v>0</v>
      </c>
      <c r="O18" s="624">
        <v>0</v>
      </c>
      <c r="P18" s="624">
        <v>0</v>
      </c>
      <c r="Q18" s="624">
        <v>0</v>
      </c>
      <c r="R18" s="624">
        <v>0</v>
      </c>
      <c r="S18" s="624">
        <f t="shared" si="0"/>
        <v>0</v>
      </c>
    </row>
    <row r="19" spans="1:19">
      <c r="A19" s="76">
        <v>12</v>
      </c>
      <c r="B19" s="1" t="s">
        <v>61</v>
      </c>
      <c r="C19" s="624">
        <v>0</v>
      </c>
      <c r="D19" s="624">
        <v>0</v>
      </c>
      <c r="E19" s="624">
        <v>0</v>
      </c>
      <c r="F19" s="624">
        <v>0</v>
      </c>
      <c r="G19" s="624">
        <v>0</v>
      </c>
      <c r="H19" s="624">
        <v>0</v>
      </c>
      <c r="I19" s="624">
        <v>0</v>
      </c>
      <c r="J19" s="624">
        <v>0</v>
      </c>
      <c r="K19" s="624">
        <v>0</v>
      </c>
      <c r="L19" s="624">
        <v>0</v>
      </c>
      <c r="M19" s="624">
        <v>0</v>
      </c>
      <c r="N19" s="624">
        <v>0</v>
      </c>
      <c r="O19" s="624">
        <v>0</v>
      </c>
      <c r="P19" s="624">
        <v>0</v>
      </c>
      <c r="Q19" s="624">
        <v>0</v>
      </c>
      <c r="R19" s="624">
        <v>0</v>
      </c>
      <c r="S19" s="624">
        <f t="shared" si="0"/>
        <v>0</v>
      </c>
    </row>
    <row r="20" spans="1:19">
      <c r="A20" s="76">
        <v>13</v>
      </c>
      <c r="B20" s="1" t="s">
        <v>144</v>
      </c>
      <c r="C20" s="624">
        <v>0</v>
      </c>
      <c r="D20" s="624">
        <v>0</v>
      </c>
      <c r="E20" s="624">
        <v>0</v>
      </c>
      <c r="F20" s="624">
        <v>0</v>
      </c>
      <c r="G20" s="624">
        <v>0</v>
      </c>
      <c r="H20" s="624">
        <v>0</v>
      </c>
      <c r="I20" s="624">
        <v>0</v>
      </c>
      <c r="J20" s="624">
        <v>0</v>
      </c>
      <c r="K20" s="624">
        <v>0</v>
      </c>
      <c r="L20" s="624">
        <v>0</v>
      </c>
      <c r="M20" s="624">
        <v>0</v>
      </c>
      <c r="N20" s="624">
        <v>0</v>
      </c>
      <c r="O20" s="624">
        <v>0</v>
      </c>
      <c r="P20" s="624">
        <v>0</v>
      </c>
      <c r="Q20" s="624">
        <v>0</v>
      </c>
      <c r="R20" s="624">
        <v>0</v>
      </c>
      <c r="S20" s="624">
        <f t="shared" si="0"/>
        <v>0</v>
      </c>
    </row>
    <row r="21" spans="1:19">
      <c r="A21" s="76">
        <v>14</v>
      </c>
      <c r="B21" s="1" t="s">
        <v>63</v>
      </c>
      <c r="C21" s="624">
        <v>54609295.249190591</v>
      </c>
      <c r="D21" s="624">
        <v>0</v>
      </c>
      <c r="E21" s="624">
        <v>0</v>
      </c>
      <c r="F21" s="624">
        <v>0</v>
      </c>
      <c r="G21" s="624">
        <v>0</v>
      </c>
      <c r="H21" s="624">
        <v>0</v>
      </c>
      <c r="I21" s="624">
        <v>0</v>
      </c>
      <c r="J21" s="624">
        <v>0</v>
      </c>
      <c r="K21" s="624">
        <v>0</v>
      </c>
      <c r="L21" s="624">
        <v>0</v>
      </c>
      <c r="M21" s="624">
        <v>101426074.65152624</v>
      </c>
      <c r="N21" s="624">
        <v>2285138.4683983186</v>
      </c>
      <c r="O21" s="624">
        <v>0</v>
      </c>
      <c r="P21" s="624">
        <v>0</v>
      </c>
      <c r="Q21" s="624">
        <v>17693577.199999999</v>
      </c>
      <c r="R21" s="624">
        <v>0</v>
      </c>
      <c r="S21" s="624">
        <f t="shared" si="0"/>
        <v>147945156.11992455</v>
      </c>
    </row>
    <row r="22" spans="1:19" ht="13.5" thickBot="1">
      <c r="A22" s="77"/>
      <c r="B22" s="78" t="s">
        <v>64</v>
      </c>
      <c r="C22" s="625">
        <f>SUM(C8:C21)</f>
        <v>97918158.22963804</v>
      </c>
      <c r="D22" s="625">
        <f t="shared" ref="D22:J22" si="1">SUM(D8:D21)</f>
        <v>0</v>
      </c>
      <c r="E22" s="625">
        <f t="shared" si="1"/>
        <v>257071149.21339166</v>
      </c>
      <c r="F22" s="625">
        <f t="shared" si="1"/>
        <v>0</v>
      </c>
      <c r="G22" s="625">
        <f t="shared" si="1"/>
        <v>0</v>
      </c>
      <c r="H22" s="625">
        <f t="shared" si="1"/>
        <v>0</v>
      </c>
      <c r="I22" s="625">
        <f t="shared" si="1"/>
        <v>26712704.040224195</v>
      </c>
      <c r="J22" s="625">
        <f t="shared" si="1"/>
        <v>0</v>
      </c>
      <c r="K22" s="625">
        <f t="shared" ref="K22:S22" si="2">SUM(K8:K21)</f>
        <v>0</v>
      </c>
      <c r="L22" s="625">
        <f t="shared" si="2"/>
        <v>0</v>
      </c>
      <c r="M22" s="625">
        <f t="shared" si="2"/>
        <v>1410272162.4647672</v>
      </c>
      <c r="N22" s="625">
        <f t="shared" si="2"/>
        <v>111570797.31303103</v>
      </c>
      <c r="O22" s="625">
        <f t="shared" si="2"/>
        <v>0</v>
      </c>
      <c r="P22" s="625">
        <f t="shared" si="2"/>
        <v>0</v>
      </c>
      <c r="Q22" s="625">
        <f t="shared" si="2"/>
        <v>17693577.199999999</v>
      </c>
      <c r="R22" s="625">
        <f t="shared" si="2"/>
        <v>0</v>
      </c>
      <c r="S22" s="625">
        <f t="shared" si="2"/>
        <v>1630847484.6405888</v>
      </c>
    </row>
    <row r="24" spans="1:19">
      <c r="C24" s="626"/>
      <c r="D24" s="626"/>
      <c r="E24" s="626"/>
      <c r="F24" s="626"/>
      <c r="G24" s="626"/>
      <c r="H24" s="626"/>
      <c r="I24" s="626"/>
      <c r="J24" s="626"/>
      <c r="K24" s="626"/>
      <c r="L24" s="626"/>
      <c r="M24" s="626"/>
      <c r="N24" s="626"/>
      <c r="O24" s="626"/>
      <c r="P24" s="626"/>
      <c r="Q24" s="626"/>
      <c r="R24" s="626"/>
      <c r="S24" s="626"/>
    </row>
    <row r="25" spans="1:19">
      <c r="C25" s="626"/>
      <c r="D25" s="626"/>
      <c r="E25" s="626"/>
      <c r="F25" s="626"/>
      <c r="G25" s="626"/>
      <c r="H25" s="626"/>
      <c r="I25" s="626"/>
      <c r="J25" s="626"/>
      <c r="K25" s="626"/>
      <c r="L25" s="626"/>
      <c r="M25" s="626"/>
      <c r="N25" s="626"/>
      <c r="O25" s="626"/>
      <c r="P25" s="626"/>
      <c r="Q25" s="626"/>
      <c r="R25" s="626"/>
      <c r="S25" s="626"/>
    </row>
    <row r="26" spans="1:19">
      <c r="C26" s="626"/>
      <c r="D26" s="626"/>
      <c r="E26" s="626"/>
      <c r="F26" s="626"/>
      <c r="G26" s="626"/>
      <c r="H26" s="626"/>
      <c r="I26" s="626"/>
      <c r="J26" s="626"/>
      <c r="K26" s="626"/>
      <c r="L26" s="626"/>
      <c r="M26" s="626"/>
      <c r="N26" s="626"/>
      <c r="O26" s="626"/>
      <c r="P26" s="626"/>
      <c r="Q26" s="626"/>
      <c r="R26" s="626"/>
      <c r="S26" s="626"/>
    </row>
    <row r="27" spans="1:19">
      <c r="C27" s="626"/>
      <c r="D27" s="626"/>
      <c r="E27" s="626"/>
      <c r="F27" s="626"/>
      <c r="G27" s="626"/>
      <c r="H27" s="626"/>
      <c r="I27" s="626"/>
      <c r="J27" s="626"/>
      <c r="K27" s="626"/>
      <c r="L27" s="626"/>
      <c r="M27" s="626"/>
      <c r="N27" s="626"/>
      <c r="O27" s="626"/>
      <c r="P27" s="626"/>
      <c r="Q27" s="626"/>
      <c r="R27" s="626"/>
      <c r="S27" s="626"/>
    </row>
    <row r="28" spans="1:19">
      <c r="C28" s="626"/>
      <c r="D28" s="626"/>
      <c r="E28" s="626"/>
      <c r="F28" s="626"/>
      <c r="G28" s="626"/>
      <c r="H28" s="626"/>
      <c r="I28" s="626"/>
      <c r="J28" s="626"/>
      <c r="K28" s="626"/>
      <c r="L28" s="626"/>
      <c r="M28" s="626"/>
      <c r="N28" s="626"/>
      <c r="O28" s="626"/>
      <c r="P28" s="626"/>
      <c r="Q28" s="626"/>
      <c r="R28" s="626"/>
      <c r="S28" s="626"/>
    </row>
    <row r="29" spans="1:19">
      <c r="C29" s="626"/>
      <c r="D29" s="626"/>
      <c r="E29" s="626"/>
      <c r="F29" s="626"/>
      <c r="G29" s="626"/>
      <c r="H29" s="626"/>
      <c r="I29" s="626"/>
      <c r="J29" s="626"/>
      <c r="K29" s="626"/>
      <c r="L29" s="626"/>
      <c r="M29" s="626"/>
      <c r="N29" s="626"/>
      <c r="O29" s="626"/>
      <c r="P29" s="626"/>
      <c r="Q29" s="626"/>
      <c r="R29" s="626"/>
      <c r="S29" s="626"/>
    </row>
    <row r="30" spans="1:19">
      <c r="C30" s="626"/>
      <c r="D30" s="626"/>
      <c r="E30" s="626"/>
      <c r="F30" s="626"/>
      <c r="G30" s="626"/>
      <c r="H30" s="626"/>
      <c r="I30" s="626"/>
      <c r="J30" s="626"/>
      <c r="K30" s="626"/>
      <c r="L30" s="626"/>
      <c r="M30" s="626"/>
      <c r="N30" s="626"/>
      <c r="O30" s="626"/>
      <c r="P30" s="626"/>
      <c r="Q30" s="626"/>
      <c r="R30" s="626"/>
      <c r="S30" s="626"/>
    </row>
    <row r="31" spans="1:19">
      <c r="C31" s="626"/>
      <c r="D31" s="626"/>
      <c r="E31" s="626"/>
      <c r="F31" s="626"/>
      <c r="G31" s="626"/>
      <c r="H31" s="626"/>
      <c r="I31" s="626"/>
      <c r="J31" s="626"/>
      <c r="K31" s="626"/>
      <c r="L31" s="626"/>
      <c r="M31" s="626"/>
      <c r="N31" s="626"/>
      <c r="O31" s="626"/>
      <c r="P31" s="626"/>
      <c r="Q31" s="626"/>
      <c r="R31" s="626"/>
      <c r="S31" s="626"/>
    </row>
    <row r="32" spans="1:19">
      <c r="C32" s="626"/>
      <c r="D32" s="626"/>
      <c r="E32" s="626"/>
      <c r="F32" s="626"/>
      <c r="G32" s="626"/>
      <c r="H32" s="626"/>
      <c r="I32" s="626"/>
      <c r="J32" s="626"/>
      <c r="K32" s="626"/>
      <c r="L32" s="626"/>
      <c r="M32" s="626"/>
      <c r="N32" s="626"/>
      <c r="O32" s="626"/>
      <c r="P32" s="626"/>
      <c r="Q32" s="626"/>
      <c r="R32" s="626"/>
      <c r="S32" s="626"/>
    </row>
    <row r="33" spans="3:19">
      <c r="C33" s="626"/>
      <c r="D33" s="626"/>
      <c r="E33" s="626"/>
      <c r="F33" s="626"/>
      <c r="G33" s="626"/>
      <c r="H33" s="626"/>
      <c r="I33" s="626"/>
      <c r="J33" s="626"/>
      <c r="K33" s="626"/>
      <c r="L33" s="626"/>
      <c r="M33" s="626"/>
      <c r="N33" s="626"/>
      <c r="O33" s="626"/>
      <c r="P33" s="626"/>
      <c r="Q33" s="626"/>
      <c r="R33" s="626"/>
      <c r="S33" s="626"/>
    </row>
    <row r="34" spans="3:19">
      <c r="C34" s="626"/>
      <c r="D34" s="626"/>
      <c r="E34" s="626"/>
      <c r="F34" s="626"/>
      <c r="G34" s="626"/>
      <c r="H34" s="626"/>
      <c r="I34" s="626"/>
      <c r="J34" s="626"/>
      <c r="K34" s="626"/>
      <c r="L34" s="626"/>
      <c r="M34" s="626"/>
      <c r="N34" s="626"/>
      <c r="O34" s="626"/>
      <c r="P34" s="626"/>
      <c r="Q34" s="626"/>
      <c r="R34" s="626"/>
      <c r="S34" s="626"/>
    </row>
    <row r="35" spans="3:19">
      <c r="C35" s="626"/>
      <c r="D35" s="626"/>
      <c r="E35" s="626"/>
      <c r="F35" s="626"/>
      <c r="G35" s="626"/>
      <c r="H35" s="626"/>
      <c r="I35" s="626"/>
      <c r="J35" s="626"/>
      <c r="K35" s="626"/>
      <c r="L35" s="626"/>
      <c r="M35" s="626"/>
      <c r="N35" s="626"/>
      <c r="O35" s="626"/>
      <c r="P35" s="626"/>
      <c r="Q35" s="626"/>
      <c r="R35" s="626"/>
      <c r="S35" s="626"/>
    </row>
    <row r="36" spans="3:19">
      <c r="C36" s="626"/>
      <c r="D36" s="626"/>
      <c r="E36" s="626"/>
      <c r="F36" s="626"/>
      <c r="G36" s="626"/>
      <c r="H36" s="626"/>
      <c r="I36" s="626"/>
      <c r="J36" s="626"/>
      <c r="K36" s="626"/>
      <c r="L36" s="626"/>
      <c r="M36" s="626"/>
      <c r="N36" s="626"/>
      <c r="O36" s="626"/>
      <c r="P36" s="626"/>
      <c r="Q36" s="626"/>
      <c r="R36" s="626"/>
      <c r="S36" s="626"/>
    </row>
    <row r="37" spans="3:19">
      <c r="C37" s="626"/>
      <c r="D37" s="626"/>
      <c r="E37" s="626"/>
      <c r="F37" s="626"/>
      <c r="G37" s="626"/>
      <c r="H37" s="626"/>
      <c r="I37" s="626"/>
      <c r="J37" s="626"/>
      <c r="K37" s="626"/>
      <c r="L37" s="626"/>
      <c r="M37" s="626"/>
      <c r="N37" s="626"/>
      <c r="O37" s="626"/>
      <c r="P37" s="626"/>
      <c r="Q37" s="626"/>
      <c r="R37" s="626"/>
      <c r="S37" s="626"/>
    </row>
    <row r="38" spans="3:19">
      <c r="C38" s="626"/>
      <c r="D38" s="626"/>
      <c r="E38" s="626"/>
      <c r="F38" s="626"/>
      <c r="G38" s="626"/>
      <c r="H38" s="626"/>
      <c r="I38" s="626"/>
      <c r="J38" s="626"/>
      <c r="K38" s="626"/>
      <c r="L38" s="626"/>
      <c r="M38" s="626"/>
      <c r="N38" s="626"/>
      <c r="O38" s="626"/>
      <c r="P38" s="626"/>
      <c r="Q38" s="626"/>
      <c r="R38" s="626"/>
      <c r="S38" s="626"/>
    </row>
    <row r="39" spans="3:19">
      <c r="C39" s="626"/>
      <c r="D39" s="626"/>
      <c r="E39" s="626"/>
      <c r="F39" s="626"/>
      <c r="G39" s="626"/>
      <c r="H39" s="626"/>
      <c r="I39" s="626"/>
      <c r="J39" s="626"/>
      <c r="K39" s="626"/>
      <c r="L39" s="626"/>
      <c r="M39" s="626"/>
      <c r="N39" s="626"/>
      <c r="O39" s="626"/>
      <c r="P39" s="626"/>
      <c r="Q39" s="626"/>
      <c r="R39" s="626"/>
      <c r="S39" s="626"/>
    </row>
    <row r="40" spans="3:19">
      <c r="C40" s="626"/>
      <c r="D40" s="626"/>
      <c r="E40" s="626"/>
      <c r="F40" s="626"/>
      <c r="G40" s="626"/>
      <c r="H40" s="626"/>
      <c r="I40" s="626"/>
      <c r="J40" s="626"/>
      <c r="K40" s="626"/>
      <c r="L40" s="626"/>
      <c r="M40" s="626"/>
      <c r="N40" s="626"/>
      <c r="O40" s="626"/>
      <c r="P40" s="626"/>
      <c r="Q40" s="626"/>
      <c r="R40" s="626"/>
      <c r="S40" s="626"/>
    </row>
    <row r="41" spans="3:19">
      <c r="C41" s="626"/>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38"/>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9"/>
  </cols>
  <sheetData>
    <row r="1" spans="1:22">
      <c r="A1" s="2" t="s">
        <v>30</v>
      </c>
      <c r="B1" s="3" t="str">
        <f>'Info '!C2</f>
        <v>JSC Cartu Bank</v>
      </c>
    </row>
    <row r="2" spans="1:22">
      <c r="A2" s="2" t="s">
        <v>31</v>
      </c>
      <c r="B2" s="532">
        <f>'1. key ratios '!B2</f>
        <v>45747</v>
      </c>
    </row>
    <row r="4" spans="1:22" ht="13.5" thickBot="1">
      <c r="A4" s="4" t="s">
        <v>230</v>
      </c>
      <c r="B4" s="79" t="s">
        <v>50</v>
      </c>
      <c r="V4" s="20" t="s">
        <v>35</v>
      </c>
    </row>
    <row r="5" spans="1:22" ht="12.75" customHeight="1">
      <c r="A5" s="80"/>
      <c r="B5" s="81"/>
      <c r="C5" s="749" t="s">
        <v>156</v>
      </c>
      <c r="D5" s="750"/>
      <c r="E5" s="750"/>
      <c r="F5" s="750"/>
      <c r="G5" s="750"/>
      <c r="H5" s="750"/>
      <c r="I5" s="750"/>
      <c r="J5" s="750"/>
      <c r="K5" s="750"/>
      <c r="L5" s="751"/>
      <c r="M5" s="752" t="s">
        <v>157</v>
      </c>
      <c r="N5" s="753"/>
      <c r="O5" s="753"/>
      <c r="P5" s="753"/>
      <c r="Q5" s="753"/>
      <c r="R5" s="753"/>
      <c r="S5" s="754"/>
      <c r="T5" s="757" t="s">
        <v>228</v>
      </c>
      <c r="U5" s="757" t="s">
        <v>229</v>
      </c>
      <c r="V5" s="755" t="s">
        <v>76</v>
      </c>
    </row>
    <row r="6" spans="1:22" s="47" customFormat="1" ht="102">
      <c r="A6" s="45"/>
      <c r="B6" s="82"/>
      <c r="C6" s="83" t="s">
        <v>65</v>
      </c>
      <c r="D6" s="113" t="s">
        <v>66</v>
      </c>
      <c r="E6" s="95" t="s">
        <v>159</v>
      </c>
      <c r="F6" s="95" t="s">
        <v>160</v>
      </c>
      <c r="G6" s="113" t="s">
        <v>163</v>
      </c>
      <c r="H6" s="113" t="s">
        <v>158</v>
      </c>
      <c r="I6" s="113" t="s">
        <v>67</v>
      </c>
      <c r="J6" s="113" t="s">
        <v>68</v>
      </c>
      <c r="K6" s="84" t="s">
        <v>69</v>
      </c>
      <c r="L6" s="85" t="s">
        <v>70</v>
      </c>
      <c r="M6" s="83" t="s">
        <v>161</v>
      </c>
      <c r="N6" s="84" t="s">
        <v>71</v>
      </c>
      <c r="O6" s="84" t="s">
        <v>72</v>
      </c>
      <c r="P6" s="84" t="s">
        <v>73</v>
      </c>
      <c r="Q6" s="84" t="s">
        <v>74</v>
      </c>
      <c r="R6" s="84" t="s">
        <v>75</v>
      </c>
      <c r="S6" s="131" t="s">
        <v>162</v>
      </c>
      <c r="T6" s="758"/>
      <c r="U6" s="758"/>
      <c r="V6" s="756"/>
    </row>
    <row r="7" spans="1:22">
      <c r="A7" s="86">
        <v>1</v>
      </c>
      <c r="B7" s="1" t="s">
        <v>51</v>
      </c>
      <c r="C7" s="627">
        <v>0</v>
      </c>
      <c r="D7" s="624">
        <v>0</v>
      </c>
      <c r="E7" s="624">
        <v>0</v>
      </c>
      <c r="F7" s="624">
        <v>0</v>
      </c>
      <c r="G7" s="624">
        <v>0</v>
      </c>
      <c r="H7" s="624">
        <v>0</v>
      </c>
      <c r="I7" s="624">
        <v>0</v>
      </c>
      <c r="J7" s="624">
        <v>0</v>
      </c>
      <c r="K7" s="624">
        <v>0</v>
      </c>
      <c r="L7" s="597">
        <v>0</v>
      </c>
      <c r="M7" s="627">
        <v>0</v>
      </c>
      <c r="N7" s="624">
        <v>0</v>
      </c>
      <c r="O7" s="624">
        <v>0</v>
      </c>
      <c r="P7" s="624">
        <v>0</v>
      </c>
      <c r="Q7" s="624">
        <v>0</v>
      </c>
      <c r="R7" s="624">
        <v>0</v>
      </c>
      <c r="S7" s="597">
        <v>0</v>
      </c>
      <c r="T7" s="628">
        <v>0</v>
      </c>
      <c r="U7" s="628">
        <v>0</v>
      </c>
      <c r="V7" s="629">
        <f>SUM(C7:S7)</f>
        <v>0</v>
      </c>
    </row>
    <row r="8" spans="1:22">
      <c r="A8" s="86">
        <v>2</v>
      </c>
      <c r="B8" s="1" t="s">
        <v>52</v>
      </c>
      <c r="C8" s="627">
        <v>0</v>
      </c>
      <c r="D8" s="624">
        <v>0</v>
      </c>
      <c r="E8" s="624">
        <v>0</v>
      </c>
      <c r="F8" s="624">
        <v>0</v>
      </c>
      <c r="G8" s="624">
        <v>0</v>
      </c>
      <c r="H8" s="624">
        <v>0</v>
      </c>
      <c r="I8" s="624">
        <v>0</v>
      </c>
      <c r="J8" s="624">
        <v>0</v>
      </c>
      <c r="K8" s="624">
        <v>0</v>
      </c>
      <c r="L8" s="597">
        <v>0</v>
      </c>
      <c r="M8" s="627">
        <v>0</v>
      </c>
      <c r="N8" s="624">
        <v>0</v>
      </c>
      <c r="O8" s="624">
        <v>0</v>
      </c>
      <c r="P8" s="624">
        <v>0</v>
      </c>
      <c r="Q8" s="624">
        <v>0</v>
      </c>
      <c r="R8" s="624">
        <v>0</v>
      </c>
      <c r="S8" s="597">
        <v>0</v>
      </c>
      <c r="T8" s="628">
        <v>0</v>
      </c>
      <c r="U8" s="628">
        <v>0</v>
      </c>
      <c r="V8" s="629">
        <f t="shared" ref="V8:V20" si="0">SUM(C8:S8)</f>
        <v>0</v>
      </c>
    </row>
    <row r="9" spans="1:22">
      <c r="A9" s="86">
        <v>3</v>
      </c>
      <c r="B9" s="1" t="s">
        <v>153</v>
      </c>
      <c r="C9" s="627">
        <v>0</v>
      </c>
      <c r="D9" s="624">
        <v>0</v>
      </c>
      <c r="E9" s="624">
        <v>0</v>
      </c>
      <c r="F9" s="624">
        <v>0</v>
      </c>
      <c r="G9" s="624">
        <v>0</v>
      </c>
      <c r="H9" s="624">
        <v>0</v>
      </c>
      <c r="I9" s="624">
        <v>0</v>
      </c>
      <c r="J9" s="624">
        <v>0</v>
      </c>
      <c r="K9" s="624">
        <v>0</v>
      </c>
      <c r="L9" s="597">
        <v>0</v>
      </c>
      <c r="M9" s="627">
        <v>0</v>
      </c>
      <c r="N9" s="624">
        <v>0</v>
      </c>
      <c r="O9" s="624">
        <v>0</v>
      </c>
      <c r="P9" s="624">
        <v>0</v>
      </c>
      <c r="Q9" s="624">
        <v>0</v>
      </c>
      <c r="R9" s="624">
        <v>0</v>
      </c>
      <c r="S9" s="597">
        <v>0</v>
      </c>
      <c r="T9" s="628">
        <v>0</v>
      </c>
      <c r="U9" s="628">
        <v>0</v>
      </c>
      <c r="V9" s="629">
        <f t="shared" si="0"/>
        <v>0</v>
      </c>
    </row>
    <row r="10" spans="1:22">
      <c r="A10" s="86">
        <v>4</v>
      </c>
      <c r="B10" s="1" t="s">
        <v>53</v>
      </c>
      <c r="C10" s="627">
        <v>0</v>
      </c>
      <c r="D10" s="624">
        <v>0</v>
      </c>
      <c r="E10" s="624">
        <v>0</v>
      </c>
      <c r="F10" s="624">
        <v>0</v>
      </c>
      <c r="G10" s="624">
        <v>0</v>
      </c>
      <c r="H10" s="624">
        <v>0</v>
      </c>
      <c r="I10" s="624">
        <v>0</v>
      </c>
      <c r="J10" s="624">
        <v>0</v>
      </c>
      <c r="K10" s="624">
        <v>0</v>
      </c>
      <c r="L10" s="597">
        <v>0</v>
      </c>
      <c r="M10" s="627">
        <v>0</v>
      </c>
      <c r="N10" s="624">
        <v>0</v>
      </c>
      <c r="O10" s="624">
        <v>0</v>
      </c>
      <c r="P10" s="624">
        <v>0</v>
      </c>
      <c r="Q10" s="624">
        <v>0</v>
      </c>
      <c r="R10" s="624">
        <v>0</v>
      </c>
      <c r="S10" s="597">
        <v>0</v>
      </c>
      <c r="T10" s="628">
        <v>0</v>
      </c>
      <c r="U10" s="628">
        <v>0</v>
      </c>
      <c r="V10" s="629">
        <f t="shared" si="0"/>
        <v>0</v>
      </c>
    </row>
    <row r="11" spans="1:22">
      <c r="A11" s="86">
        <v>5</v>
      </c>
      <c r="B11" s="1" t="s">
        <v>54</v>
      </c>
      <c r="C11" s="627">
        <v>0</v>
      </c>
      <c r="D11" s="624">
        <v>0</v>
      </c>
      <c r="E11" s="624">
        <v>0</v>
      </c>
      <c r="F11" s="624">
        <v>0</v>
      </c>
      <c r="G11" s="624">
        <v>0</v>
      </c>
      <c r="H11" s="624">
        <v>0</v>
      </c>
      <c r="I11" s="624">
        <v>0</v>
      </c>
      <c r="J11" s="624">
        <v>0</v>
      </c>
      <c r="K11" s="624">
        <v>0</v>
      </c>
      <c r="L11" s="597">
        <v>0</v>
      </c>
      <c r="M11" s="627">
        <v>0</v>
      </c>
      <c r="N11" s="624">
        <v>0</v>
      </c>
      <c r="O11" s="624">
        <v>0</v>
      </c>
      <c r="P11" s="624">
        <v>0</v>
      </c>
      <c r="Q11" s="624">
        <v>0</v>
      </c>
      <c r="R11" s="624">
        <v>0</v>
      </c>
      <c r="S11" s="597">
        <v>0</v>
      </c>
      <c r="T11" s="628">
        <v>0</v>
      </c>
      <c r="U11" s="628">
        <v>0</v>
      </c>
      <c r="V11" s="629">
        <f t="shared" si="0"/>
        <v>0</v>
      </c>
    </row>
    <row r="12" spans="1:22">
      <c r="A12" s="86">
        <v>6</v>
      </c>
      <c r="B12" s="1" t="s">
        <v>55</v>
      </c>
      <c r="C12" s="627">
        <v>0</v>
      </c>
      <c r="D12" s="624">
        <v>0</v>
      </c>
      <c r="E12" s="624">
        <v>0</v>
      </c>
      <c r="F12" s="624">
        <v>0</v>
      </c>
      <c r="G12" s="624">
        <v>0</v>
      </c>
      <c r="H12" s="624">
        <v>0</v>
      </c>
      <c r="I12" s="624">
        <v>0</v>
      </c>
      <c r="J12" s="624">
        <v>0</v>
      </c>
      <c r="K12" s="624">
        <v>0</v>
      </c>
      <c r="L12" s="597">
        <v>0</v>
      </c>
      <c r="M12" s="627">
        <v>0</v>
      </c>
      <c r="N12" s="624">
        <v>0</v>
      </c>
      <c r="O12" s="624">
        <v>0</v>
      </c>
      <c r="P12" s="624">
        <v>0</v>
      </c>
      <c r="Q12" s="624">
        <v>0</v>
      </c>
      <c r="R12" s="624">
        <v>0</v>
      </c>
      <c r="S12" s="597">
        <v>0</v>
      </c>
      <c r="T12" s="628">
        <v>0</v>
      </c>
      <c r="U12" s="628">
        <v>0</v>
      </c>
      <c r="V12" s="629">
        <f t="shared" si="0"/>
        <v>0</v>
      </c>
    </row>
    <row r="13" spans="1:22">
      <c r="A13" s="86">
        <v>7</v>
      </c>
      <c r="B13" s="1" t="s">
        <v>56</v>
      </c>
      <c r="C13" s="627">
        <v>0</v>
      </c>
      <c r="D13" s="624">
        <v>59952003.559844449</v>
      </c>
      <c r="E13" s="624">
        <v>0</v>
      </c>
      <c r="F13" s="624">
        <v>0</v>
      </c>
      <c r="G13" s="624">
        <v>0</v>
      </c>
      <c r="H13" s="624">
        <v>0</v>
      </c>
      <c r="I13" s="624">
        <v>0</v>
      </c>
      <c r="J13" s="624">
        <v>0</v>
      </c>
      <c r="K13" s="624">
        <v>0</v>
      </c>
      <c r="L13" s="597">
        <v>0</v>
      </c>
      <c r="M13" s="627">
        <v>0</v>
      </c>
      <c r="N13" s="624">
        <v>0</v>
      </c>
      <c r="O13" s="624">
        <v>0</v>
      </c>
      <c r="P13" s="624">
        <v>0</v>
      </c>
      <c r="Q13" s="624">
        <v>0</v>
      </c>
      <c r="R13" s="624">
        <v>0</v>
      </c>
      <c r="S13" s="597">
        <v>0</v>
      </c>
      <c r="T13" s="628">
        <v>53645630.63534297</v>
      </c>
      <c r="U13" s="628">
        <v>6306372.9245014777</v>
      </c>
      <c r="V13" s="629">
        <f t="shared" si="0"/>
        <v>59952003.559844449</v>
      </c>
    </row>
    <row r="14" spans="1:22">
      <c r="A14" s="86">
        <v>8</v>
      </c>
      <c r="B14" s="1" t="s">
        <v>57</v>
      </c>
      <c r="C14" s="627">
        <v>0</v>
      </c>
      <c r="D14" s="624">
        <v>0</v>
      </c>
      <c r="E14" s="624">
        <v>0</v>
      </c>
      <c r="F14" s="624">
        <v>0</v>
      </c>
      <c r="G14" s="624">
        <v>0</v>
      </c>
      <c r="H14" s="624">
        <v>0</v>
      </c>
      <c r="I14" s="624">
        <v>0</v>
      </c>
      <c r="J14" s="624">
        <v>0</v>
      </c>
      <c r="K14" s="624">
        <v>0</v>
      </c>
      <c r="L14" s="597">
        <v>0</v>
      </c>
      <c r="M14" s="627">
        <v>0</v>
      </c>
      <c r="N14" s="624">
        <v>0</v>
      </c>
      <c r="O14" s="624">
        <v>0</v>
      </c>
      <c r="P14" s="624">
        <v>0</v>
      </c>
      <c r="Q14" s="624">
        <v>0</v>
      </c>
      <c r="R14" s="624">
        <v>0</v>
      </c>
      <c r="S14" s="597">
        <v>0</v>
      </c>
      <c r="T14" s="628">
        <v>0</v>
      </c>
      <c r="U14" s="628">
        <v>0</v>
      </c>
      <c r="V14" s="629">
        <f t="shared" si="0"/>
        <v>0</v>
      </c>
    </row>
    <row r="15" spans="1:22" ht="25.5">
      <c r="A15" s="86">
        <v>9</v>
      </c>
      <c r="B15" s="1" t="s">
        <v>58</v>
      </c>
      <c r="C15" s="627">
        <v>0</v>
      </c>
      <c r="D15" s="624">
        <v>0</v>
      </c>
      <c r="E15" s="624">
        <v>0</v>
      </c>
      <c r="F15" s="624">
        <v>0</v>
      </c>
      <c r="G15" s="624">
        <v>0</v>
      </c>
      <c r="H15" s="624">
        <v>0</v>
      </c>
      <c r="I15" s="624">
        <v>0</v>
      </c>
      <c r="J15" s="624">
        <v>0</v>
      </c>
      <c r="K15" s="624">
        <v>0</v>
      </c>
      <c r="L15" s="597">
        <v>0</v>
      </c>
      <c r="M15" s="627">
        <v>0</v>
      </c>
      <c r="N15" s="624">
        <v>0</v>
      </c>
      <c r="O15" s="624">
        <v>0</v>
      </c>
      <c r="P15" s="624">
        <v>0</v>
      </c>
      <c r="Q15" s="624">
        <v>0</v>
      </c>
      <c r="R15" s="624">
        <v>0</v>
      </c>
      <c r="S15" s="597">
        <v>0</v>
      </c>
      <c r="T15" s="628">
        <v>0</v>
      </c>
      <c r="U15" s="628">
        <v>0</v>
      </c>
      <c r="V15" s="629">
        <f t="shared" si="0"/>
        <v>0</v>
      </c>
    </row>
    <row r="16" spans="1:22">
      <c r="A16" s="86">
        <v>10</v>
      </c>
      <c r="B16" s="1" t="s">
        <v>59</v>
      </c>
      <c r="C16" s="627">
        <v>0</v>
      </c>
      <c r="D16" s="624">
        <v>553459.99999999988</v>
      </c>
      <c r="E16" s="624">
        <v>0</v>
      </c>
      <c r="F16" s="624">
        <v>0</v>
      </c>
      <c r="G16" s="624">
        <v>0</v>
      </c>
      <c r="H16" s="624">
        <v>0</v>
      </c>
      <c r="I16" s="624">
        <v>0</v>
      </c>
      <c r="J16" s="624">
        <v>0</v>
      </c>
      <c r="K16" s="624">
        <v>0</v>
      </c>
      <c r="L16" s="597">
        <v>0</v>
      </c>
      <c r="M16" s="627">
        <v>0</v>
      </c>
      <c r="N16" s="624">
        <v>0</v>
      </c>
      <c r="O16" s="624">
        <v>0</v>
      </c>
      <c r="P16" s="624">
        <v>0</v>
      </c>
      <c r="Q16" s="624">
        <v>0</v>
      </c>
      <c r="R16" s="624">
        <v>0</v>
      </c>
      <c r="S16" s="597">
        <v>0</v>
      </c>
      <c r="T16" s="628">
        <v>553459.99999999988</v>
      </c>
      <c r="U16" s="628">
        <v>0</v>
      </c>
      <c r="V16" s="629">
        <f t="shared" si="0"/>
        <v>553459.99999999988</v>
      </c>
    </row>
    <row r="17" spans="1:22">
      <c r="A17" s="86">
        <v>11</v>
      </c>
      <c r="B17" s="1" t="s">
        <v>60</v>
      </c>
      <c r="C17" s="627">
        <v>0</v>
      </c>
      <c r="D17" s="624">
        <v>0</v>
      </c>
      <c r="E17" s="624">
        <v>0</v>
      </c>
      <c r="F17" s="624">
        <v>0</v>
      </c>
      <c r="G17" s="624">
        <v>0</v>
      </c>
      <c r="H17" s="624">
        <v>0</v>
      </c>
      <c r="I17" s="624">
        <v>0</v>
      </c>
      <c r="J17" s="624">
        <v>0</v>
      </c>
      <c r="K17" s="624">
        <v>0</v>
      </c>
      <c r="L17" s="597">
        <v>0</v>
      </c>
      <c r="M17" s="627">
        <v>0</v>
      </c>
      <c r="N17" s="624">
        <v>0</v>
      </c>
      <c r="O17" s="624">
        <v>0</v>
      </c>
      <c r="P17" s="624">
        <v>0</v>
      </c>
      <c r="Q17" s="624">
        <v>0</v>
      </c>
      <c r="R17" s="624">
        <v>0</v>
      </c>
      <c r="S17" s="597">
        <v>0</v>
      </c>
      <c r="T17" s="628">
        <v>0</v>
      </c>
      <c r="U17" s="628">
        <v>0</v>
      </c>
      <c r="V17" s="629">
        <f t="shared" si="0"/>
        <v>0</v>
      </c>
    </row>
    <row r="18" spans="1:22">
      <c r="A18" s="86">
        <v>12</v>
      </c>
      <c r="B18" s="1" t="s">
        <v>61</v>
      </c>
      <c r="C18" s="627">
        <v>0</v>
      </c>
      <c r="D18" s="624">
        <v>0</v>
      </c>
      <c r="E18" s="624">
        <v>0</v>
      </c>
      <c r="F18" s="624">
        <v>0</v>
      </c>
      <c r="G18" s="624">
        <v>0</v>
      </c>
      <c r="H18" s="624">
        <v>0</v>
      </c>
      <c r="I18" s="624">
        <v>0</v>
      </c>
      <c r="J18" s="624">
        <v>0</v>
      </c>
      <c r="K18" s="624">
        <v>0</v>
      </c>
      <c r="L18" s="597">
        <v>0</v>
      </c>
      <c r="M18" s="627">
        <v>0</v>
      </c>
      <c r="N18" s="624">
        <v>0</v>
      </c>
      <c r="O18" s="624">
        <v>0</v>
      </c>
      <c r="P18" s="624">
        <v>0</v>
      </c>
      <c r="Q18" s="624">
        <v>0</v>
      </c>
      <c r="R18" s="624">
        <v>0</v>
      </c>
      <c r="S18" s="597">
        <v>0</v>
      </c>
      <c r="T18" s="628">
        <v>0</v>
      </c>
      <c r="U18" s="628">
        <v>0</v>
      </c>
      <c r="V18" s="629">
        <f t="shared" si="0"/>
        <v>0</v>
      </c>
    </row>
    <row r="19" spans="1:22">
      <c r="A19" s="86">
        <v>13</v>
      </c>
      <c r="B19" s="1" t="s">
        <v>62</v>
      </c>
      <c r="C19" s="627">
        <v>0</v>
      </c>
      <c r="D19" s="624">
        <v>0</v>
      </c>
      <c r="E19" s="624">
        <v>0</v>
      </c>
      <c r="F19" s="624">
        <v>0</v>
      </c>
      <c r="G19" s="624">
        <v>0</v>
      </c>
      <c r="H19" s="624">
        <v>0</v>
      </c>
      <c r="I19" s="624">
        <v>0</v>
      </c>
      <c r="J19" s="624">
        <v>0</v>
      </c>
      <c r="K19" s="624">
        <v>0</v>
      </c>
      <c r="L19" s="597">
        <v>0</v>
      </c>
      <c r="M19" s="627">
        <v>0</v>
      </c>
      <c r="N19" s="624">
        <v>0</v>
      </c>
      <c r="O19" s="624">
        <v>0</v>
      </c>
      <c r="P19" s="624">
        <v>0</v>
      </c>
      <c r="Q19" s="624">
        <v>0</v>
      </c>
      <c r="R19" s="624">
        <v>0</v>
      </c>
      <c r="S19" s="597">
        <v>0</v>
      </c>
      <c r="T19" s="628">
        <v>0</v>
      </c>
      <c r="U19" s="628">
        <v>0</v>
      </c>
      <c r="V19" s="629">
        <f t="shared" si="0"/>
        <v>0</v>
      </c>
    </row>
    <row r="20" spans="1:22">
      <c r="A20" s="86">
        <v>14</v>
      </c>
      <c r="B20" s="1" t="s">
        <v>63</v>
      </c>
      <c r="C20" s="627">
        <v>0</v>
      </c>
      <c r="D20" s="624">
        <v>8929783.6181830801</v>
      </c>
      <c r="E20" s="624">
        <v>0</v>
      </c>
      <c r="F20" s="624">
        <v>0</v>
      </c>
      <c r="G20" s="624">
        <v>0</v>
      </c>
      <c r="H20" s="624">
        <v>0</v>
      </c>
      <c r="I20" s="624">
        <v>0</v>
      </c>
      <c r="J20" s="624">
        <v>0</v>
      </c>
      <c r="K20" s="624">
        <v>0</v>
      </c>
      <c r="L20" s="597">
        <v>0</v>
      </c>
      <c r="M20" s="627">
        <v>0</v>
      </c>
      <c r="N20" s="624">
        <v>0</v>
      </c>
      <c r="O20" s="624">
        <v>0</v>
      </c>
      <c r="P20" s="624">
        <v>0</v>
      </c>
      <c r="Q20" s="624">
        <v>0</v>
      </c>
      <c r="R20" s="624">
        <v>0</v>
      </c>
      <c r="S20" s="597">
        <v>0</v>
      </c>
      <c r="T20" s="628">
        <v>8892118.3874868061</v>
      </c>
      <c r="U20" s="628">
        <v>37665.230696273386</v>
      </c>
      <c r="V20" s="629">
        <f t="shared" si="0"/>
        <v>8929783.6181830801</v>
      </c>
    </row>
    <row r="21" spans="1:22" ht="13.5" thickBot="1">
      <c r="A21" s="77"/>
      <c r="B21" s="87" t="s">
        <v>64</v>
      </c>
      <c r="C21" s="630">
        <f>SUM(C7:C20)</f>
        <v>0</v>
      </c>
      <c r="D21" s="625">
        <f t="shared" ref="D21:V21" si="1">SUM(D7:D20)</f>
        <v>69435247.178027526</v>
      </c>
      <c r="E21" s="625">
        <f t="shared" si="1"/>
        <v>0</v>
      </c>
      <c r="F21" s="625">
        <f t="shared" si="1"/>
        <v>0</v>
      </c>
      <c r="G21" s="625">
        <f t="shared" si="1"/>
        <v>0</v>
      </c>
      <c r="H21" s="625">
        <f t="shared" si="1"/>
        <v>0</v>
      </c>
      <c r="I21" s="625">
        <f t="shared" si="1"/>
        <v>0</v>
      </c>
      <c r="J21" s="625">
        <f t="shared" si="1"/>
        <v>0</v>
      </c>
      <c r="K21" s="625">
        <f t="shared" si="1"/>
        <v>0</v>
      </c>
      <c r="L21" s="631">
        <f t="shared" si="1"/>
        <v>0</v>
      </c>
      <c r="M21" s="630">
        <f t="shared" si="1"/>
        <v>0</v>
      </c>
      <c r="N21" s="625">
        <f t="shared" si="1"/>
        <v>0</v>
      </c>
      <c r="O21" s="625">
        <f t="shared" si="1"/>
        <v>0</v>
      </c>
      <c r="P21" s="625">
        <f t="shared" si="1"/>
        <v>0</v>
      </c>
      <c r="Q21" s="625">
        <f t="shared" si="1"/>
        <v>0</v>
      </c>
      <c r="R21" s="625">
        <f t="shared" si="1"/>
        <v>0</v>
      </c>
      <c r="S21" s="631">
        <f>SUM(S7:S20)</f>
        <v>0</v>
      </c>
      <c r="T21" s="631">
        <f>SUM(T7:T20)</f>
        <v>63091209.022829778</v>
      </c>
      <c r="U21" s="631">
        <f t="shared" ref="U21" si="2">SUM(U7:U20)</f>
        <v>6344038.1551977508</v>
      </c>
      <c r="V21" s="632">
        <f t="shared" si="1"/>
        <v>69435247.178027526</v>
      </c>
    </row>
    <row r="24" spans="1:22">
      <c r="C24" s="635"/>
      <c r="D24" s="635"/>
      <c r="E24" s="635"/>
      <c r="F24" s="635"/>
      <c r="G24" s="635"/>
      <c r="H24" s="635"/>
      <c r="I24" s="635"/>
      <c r="J24" s="635"/>
      <c r="K24" s="635"/>
      <c r="L24" s="635"/>
      <c r="M24" s="635"/>
      <c r="N24" s="635"/>
      <c r="O24" s="635"/>
      <c r="P24" s="635"/>
      <c r="Q24" s="635"/>
      <c r="R24" s="635"/>
      <c r="S24" s="635"/>
      <c r="T24" s="635"/>
      <c r="U24" s="635"/>
      <c r="V24" s="635"/>
    </row>
    <row r="25" spans="1:22">
      <c r="A25" s="44"/>
      <c r="B25" s="44"/>
      <c r="C25" s="635"/>
      <c r="D25" s="635"/>
      <c r="E25" s="635"/>
      <c r="F25" s="635"/>
      <c r="G25" s="635"/>
      <c r="H25" s="635"/>
      <c r="I25" s="635"/>
      <c r="J25" s="635"/>
      <c r="K25" s="635"/>
      <c r="L25" s="635"/>
      <c r="M25" s="635"/>
      <c r="N25" s="635"/>
      <c r="O25" s="635"/>
      <c r="P25" s="635"/>
      <c r="Q25" s="635"/>
      <c r="R25" s="635"/>
      <c r="S25" s="635"/>
      <c r="T25" s="635"/>
      <c r="U25" s="635"/>
      <c r="V25" s="635"/>
    </row>
    <row r="26" spans="1:22">
      <c r="A26" s="44"/>
      <c r="B26" s="26"/>
      <c r="C26" s="635"/>
      <c r="D26" s="635"/>
      <c r="E26" s="635"/>
      <c r="F26" s="635"/>
      <c r="G26" s="635"/>
      <c r="H26" s="635"/>
      <c r="I26" s="635"/>
      <c r="J26" s="635"/>
      <c r="K26" s="635"/>
      <c r="L26" s="635"/>
      <c r="M26" s="635"/>
      <c r="N26" s="635"/>
      <c r="O26" s="635"/>
      <c r="P26" s="635"/>
      <c r="Q26" s="635"/>
      <c r="R26" s="635"/>
      <c r="S26" s="635"/>
      <c r="T26" s="635"/>
      <c r="U26" s="635"/>
      <c r="V26" s="635"/>
    </row>
    <row r="27" spans="1:22">
      <c r="A27" s="44"/>
      <c r="B27" s="44"/>
      <c r="C27" s="635"/>
      <c r="D27" s="635"/>
      <c r="E27" s="635"/>
      <c r="F27" s="635"/>
      <c r="G27" s="635"/>
      <c r="H27" s="635"/>
      <c r="I27" s="635"/>
      <c r="J27" s="635"/>
      <c r="K27" s="635"/>
      <c r="L27" s="635"/>
      <c r="M27" s="635"/>
      <c r="N27" s="635"/>
      <c r="O27" s="635"/>
      <c r="P27" s="635"/>
      <c r="Q27" s="635"/>
      <c r="R27" s="635"/>
      <c r="S27" s="635"/>
      <c r="T27" s="635"/>
      <c r="U27" s="635"/>
      <c r="V27" s="635"/>
    </row>
    <row r="28" spans="1:22">
      <c r="A28" s="44"/>
      <c r="B28" s="26"/>
      <c r="C28" s="635"/>
      <c r="D28" s="635"/>
      <c r="E28" s="635"/>
      <c r="F28" s="635"/>
      <c r="G28" s="635"/>
      <c r="H28" s="635"/>
      <c r="I28" s="635"/>
      <c r="J28" s="635"/>
      <c r="K28" s="635"/>
      <c r="L28" s="635"/>
      <c r="M28" s="635"/>
      <c r="N28" s="635"/>
      <c r="O28" s="635"/>
      <c r="P28" s="635"/>
      <c r="Q28" s="635"/>
      <c r="R28" s="635"/>
      <c r="S28" s="635"/>
      <c r="T28" s="635"/>
      <c r="U28" s="635"/>
      <c r="V28" s="635"/>
    </row>
    <row r="29" spans="1:22">
      <c r="C29" s="635"/>
      <c r="D29" s="635"/>
      <c r="E29" s="635"/>
      <c r="F29" s="635"/>
      <c r="G29" s="635"/>
      <c r="H29" s="635"/>
      <c r="I29" s="635"/>
      <c r="J29" s="635"/>
      <c r="K29" s="635"/>
      <c r="L29" s="635"/>
      <c r="M29" s="635"/>
      <c r="N29" s="635"/>
      <c r="O29" s="635"/>
      <c r="P29" s="635"/>
      <c r="Q29" s="635"/>
      <c r="R29" s="635"/>
      <c r="S29" s="635"/>
      <c r="T29" s="635"/>
      <c r="U29" s="635"/>
      <c r="V29" s="635"/>
    </row>
    <row r="30" spans="1:22">
      <c r="C30" s="635"/>
      <c r="D30" s="635"/>
      <c r="E30" s="635"/>
      <c r="F30" s="635"/>
      <c r="G30" s="635"/>
      <c r="H30" s="635"/>
      <c r="I30" s="635"/>
      <c r="J30" s="635"/>
      <c r="K30" s="635"/>
      <c r="L30" s="635"/>
      <c r="M30" s="635"/>
      <c r="N30" s="635"/>
      <c r="O30" s="635"/>
      <c r="P30" s="635"/>
      <c r="Q30" s="635"/>
      <c r="R30" s="635"/>
      <c r="S30" s="635"/>
      <c r="T30" s="635"/>
      <c r="U30" s="635"/>
      <c r="V30" s="635"/>
    </row>
    <row r="31" spans="1:22">
      <c r="C31" s="635"/>
      <c r="D31" s="635"/>
      <c r="E31" s="635"/>
      <c r="F31" s="635"/>
      <c r="G31" s="635"/>
      <c r="H31" s="635"/>
      <c r="I31" s="635"/>
      <c r="J31" s="635"/>
      <c r="K31" s="635"/>
      <c r="L31" s="635"/>
      <c r="M31" s="635"/>
      <c r="N31" s="635"/>
      <c r="O31" s="635"/>
      <c r="P31" s="635"/>
      <c r="Q31" s="635"/>
      <c r="R31" s="635"/>
      <c r="S31" s="635"/>
      <c r="T31" s="635"/>
      <c r="U31" s="635"/>
      <c r="V31" s="635"/>
    </row>
    <row r="32" spans="1:22">
      <c r="C32" s="635"/>
      <c r="D32" s="635"/>
      <c r="E32" s="635"/>
      <c r="F32" s="635"/>
      <c r="G32" s="635"/>
      <c r="H32" s="635"/>
      <c r="I32" s="635"/>
      <c r="J32" s="635"/>
      <c r="K32" s="635"/>
      <c r="L32" s="635"/>
      <c r="M32" s="635"/>
      <c r="N32" s="635"/>
      <c r="O32" s="635"/>
      <c r="P32" s="635"/>
      <c r="Q32" s="635"/>
      <c r="R32" s="635"/>
      <c r="S32" s="635"/>
      <c r="T32" s="635"/>
      <c r="U32" s="635"/>
      <c r="V32" s="635"/>
    </row>
    <row r="33" spans="3:22">
      <c r="C33" s="635"/>
      <c r="D33" s="635"/>
      <c r="E33" s="635"/>
      <c r="F33" s="635"/>
      <c r="G33" s="635"/>
      <c r="H33" s="635"/>
      <c r="I33" s="635"/>
      <c r="J33" s="635"/>
      <c r="K33" s="635"/>
      <c r="L33" s="635"/>
      <c r="M33" s="635"/>
      <c r="N33" s="635"/>
      <c r="O33" s="635"/>
      <c r="P33" s="635"/>
      <c r="Q33" s="635"/>
      <c r="R33" s="635"/>
      <c r="S33" s="635"/>
      <c r="T33" s="635"/>
      <c r="U33" s="635"/>
      <c r="V33" s="635"/>
    </row>
    <row r="34" spans="3:22">
      <c r="C34" s="635"/>
      <c r="D34" s="635"/>
      <c r="E34" s="635"/>
      <c r="F34" s="635"/>
      <c r="G34" s="635"/>
      <c r="H34" s="635"/>
      <c r="I34" s="635"/>
      <c r="J34" s="635"/>
      <c r="K34" s="635"/>
      <c r="L34" s="635"/>
      <c r="M34" s="635"/>
      <c r="N34" s="635"/>
      <c r="O34" s="635"/>
      <c r="P34" s="635"/>
      <c r="Q34" s="635"/>
      <c r="R34" s="635"/>
      <c r="S34" s="635"/>
      <c r="T34" s="635"/>
      <c r="U34" s="635"/>
      <c r="V34" s="635"/>
    </row>
    <row r="35" spans="3:22">
      <c r="C35" s="635"/>
      <c r="D35" s="635"/>
      <c r="E35" s="635"/>
      <c r="F35" s="635"/>
      <c r="G35" s="635"/>
      <c r="H35" s="635"/>
      <c r="I35" s="635"/>
      <c r="J35" s="635"/>
      <c r="K35" s="635"/>
      <c r="L35" s="635"/>
      <c r="M35" s="635"/>
      <c r="N35" s="635"/>
      <c r="O35" s="635"/>
      <c r="P35" s="635"/>
      <c r="Q35" s="635"/>
      <c r="R35" s="635"/>
      <c r="S35" s="635"/>
      <c r="T35" s="635"/>
      <c r="U35" s="635"/>
      <c r="V35" s="635"/>
    </row>
    <row r="36" spans="3:22">
      <c r="C36" s="635"/>
      <c r="D36" s="635"/>
      <c r="E36" s="635"/>
      <c r="F36" s="635"/>
      <c r="G36" s="635"/>
      <c r="H36" s="635"/>
      <c r="I36" s="635"/>
      <c r="J36" s="635"/>
      <c r="K36" s="635"/>
      <c r="L36" s="635"/>
      <c r="M36" s="635"/>
      <c r="N36" s="635"/>
      <c r="O36" s="635"/>
      <c r="P36" s="635"/>
      <c r="Q36" s="635"/>
      <c r="R36" s="635"/>
      <c r="S36" s="635"/>
      <c r="T36" s="635"/>
      <c r="U36" s="635"/>
      <c r="V36" s="635"/>
    </row>
    <row r="37" spans="3:22">
      <c r="C37" s="635"/>
      <c r="D37" s="635"/>
      <c r="E37" s="635"/>
      <c r="F37" s="635"/>
      <c r="G37" s="635"/>
      <c r="H37" s="635"/>
      <c r="I37" s="635"/>
      <c r="J37" s="635"/>
      <c r="K37" s="635"/>
      <c r="L37" s="635"/>
      <c r="M37" s="635"/>
      <c r="N37" s="635"/>
      <c r="O37" s="635"/>
      <c r="P37" s="635"/>
      <c r="Q37" s="635"/>
      <c r="R37" s="635"/>
      <c r="S37" s="635"/>
      <c r="T37" s="635"/>
      <c r="U37" s="635"/>
      <c r="V37" s="635"/>
    </row>
    <row r="38" spans="3:22">
      <c r="C38" s="635"/>
      <c r="D38" s="635"/>
      <c r="E38" s="635"/>
      <c r="F38" s="635"/>
      <c r="G38" s="635"/>
      <c r="H38" s="635"/>
      <c r="I38" s="635"/>
      <c r="J38" s="635"/>
      <c r="K38" s="635"/>
      <c r="L38" s="635"/>
      <c r="M38" s="635"/>
      <c r="N38" s="635"/>
      <c r="O38" s="635"/>
      <c r="P38" s="635"/>
      <c r="Q38" s="635"/>
      <c r="R38" s="635"/>
      <c r="S38" s="635"/>
      <c r="T38" s="635"/>
      <c r="U38" s="635"/>
      <c r="V38" s="635"/>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P40"/>
  <sheetViews>
    <sheetView showGridLines="0" zoomScale="80" zoomScaleNormal="80" workbookViewId="0">
      <pane xSplit="1" ySplit="7" topLeftCell="B8"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101.85546875" style="4" customWidth="1"/>
    <col min="3" max="3" width="17.5703125" style="118" customWidth="1"/>
    <col min="4" max="4" width="14.85546875" style="118" bestFit="1" customWidth="1"/>
    <col min="5" max="5" width="17.85546875" style="118" customWidth="1"/>
    <col min="6" max="6" width="15.85546875" style="118" customWidth="1"/>
    <col min="7" max="7" width="17.42578125" style="118" customWidth="1"/>
    <col min="8" max="8" width="15.140625" style="118" customWidth="1"/>
    <col min="9" max="16384" width="9.140625" style="19"/>
  </cols>
  <sheetData>
    <row r="1" spans="1:16">
      <c r="A1" s="2" t="s">
        <v>30</v>
      </c>
      <c r="B1" s="4" t="str">
        <f>'Info '!C2</f>
        <v>JSC Cartu Bank</v>
      </c>
      <c r="C1" s="3"/>
    </row>
    <row r="2" spans="1:16">
      <c r="A2" s="2" t="s">
        <v>31</v>
      </c>
      <c r="B2" s="532">
        <f>'1. key ratios '!B2</f>
        <v>45747</v>
      </c>
      <c r="C2" s="223"/>
    </row>
    <row r="4" spans="1:16" ht="13.5" thickBot="1">
      <c r="A4" s="2" t="s">
        <v>150</v>
      </c>
      <c r="B4" s="79" t="s">
        <v>239</v>
      </c>
    </row>
    <row r="5" spans="1:16">
      <c r="A5" s="80"/>
      <c r="B5" s="88"/>
      <c r="C5" s="139" t="s">
        <v>0</v>
      </c>
      <c r="D5" s="139" t="s">
        <v>1</v>
      </c>
      <c r="E5" s="139" t="s">
        <v>2</v>
      </c>
      <c r="F5" s="139" t="s">
        <v>3</v>
      </c>
      <c r="G5" s="140" t="s">
        <v>4</v>
      </c>
      <c r="H5" s="141" t="s">
        <v>5</v>
      </c>
      <c r="I5" s="89"/>
    </row>
    <row r="6" spans="1:16" s="89" customFormat="1" ht="12.75" customHeight="1">
      <c r="A6" s="90"/>
      <c r="B6" s="761" t="s">
        <v>149</v>
      </c>
      <c r="C6" s="747" t="s">
        <v>232</v>
      </c>
      <c r="D6" s="763" t="s">
        <v>231</v>
      </c>
      <c r="E6" s="764"/>
      <c r="F6" s="747" t="s">
        <v>236</v>
      </c>
      <c r="G6" s="747" t="s">
        <v>237</v>
      </c>
      <c r="H6" s="759" t="s">
        <v>235</v>
      </c>
    </row>
    <row r="7" spans="1:16" ht="38.25">
      <c r="A7" s="92"/>
      <c r="B7" s="762"/>
      <c r="C7" s="748"/>
      <c r="D7" s="142" t="s">
        <v>234</v>
      </c>
      <c r="E7" s="142" t="s">
        <v>233</v>
      </c>
      <c r="F7" s="748"/>
      <c r="G7" s="748"/>
      <c r="H7" s="760"/>
      <c r="I7" s="89"/>
    </row>
    <row r="8" spans="1:16">
      <c r="A8" s="90">
        <v>1</v>
      </c>
      <c r="B8" s="1" t="s">
        <v>51</v>
      </c>
      <c r="C8" s="633">
        <v>313401030.58096713</v>
      </c>
      <c r="D8" s="633">
        <v>0</v>
      </c>
      <c r="E8" s="633">
        <v>0</v>
      </c>
      <c r="F8" s="633">
        <v>270092167.60051966</v>
      </c>
      <c r="G8" s="633">
        <v>270092167.60051966</v>
      </c>
      <c r="H8" s="636">
        <f>G8/(C8+E8)</f>
        <v>0.86181008115970881</v>
      </c>
      <c r="K8" s="590"/>
      <c r="L8" s="590"/>
      <c r="M8" s="590"/>
      <c r="N8" s="590"/>
      <c r="O8" s="590"/>
      <c r="P8" s="590"/>
    </row>
    <row r="9" spans="1:16" ht="15" customHeight="1">
      <c r="A9" s="90">
        <v>2</v>
      </c>
      <c r="B9" s="1" t="s">
        <v>52</v>
      </c>
      <c r="C9" s="633">
        <v>0</v>
      </c>
      <c r="D9" s="633">
        <v>0</v>
      </c>
      <c r="E9" s="633">
        <v>0</v>
      </c>
      <c r="F9" s="633">
        <v>0</v>
      </c>
      <c r="G9" s="633">
        <v>0</v>
      </c>
      <c r="H9" s="637">
        <f>IFERROR(G9/(C9+E9),0)</f>
        <v>0</v>
      </c>
      <c r="K9" s="590"/>
      <c r="L9" s="590"/>
      <c r="M9" s="590"/>
      <c r="N9" s="590"/>
      <c r="O9" s="590"/>
      <c r="P9" s="590"/>
    </row>
    <row r="10" spans="1:16">
      <c r="A10" s="90">
        <v>3</v>
      </c>
      <c r="B10" s="1" t="s">
        <v>153</v>
      </c>
      <c r="C10" s="633">
        <v>0</v>
      </c>
      <c r="D10" s="633">
        <v>0</v>
      </c>
      <c r="E10" s="633">
        <v>0</v>
      </c>
      <c r="F10" s="633">
        <v>0</v>
      </c>
      <c r="G10" s="633">
        <v>0</v>
      </c>
      <c r="H10" s="637">
        <f>IFERROR(G10/(C10+E10),0)</f>
        <v>0</v>
      </c>
      <c r="K10" s="590"/>
      <c r="L10" s="590"/>
      <c r="M10" s="590"/>
      <c r="N10" s="590"/>
      <c r="O10" s="590"/>
      <c r="P10" s="590"/>
    </row>
    <row r="11" spans="1:16">
      <c r="A11" s="90">
        <v>4</v>
      </c>
      <c r="B11" s="1" t="s">
        <v>53</v>
      </c>
      <c r="C11" s="633">
        <v>0</v>
      </c>
      <c r="D11" s="633">
        <v>0</v>
      </c>
      <c r="E11" s="633">
        <v>0</v>
      </c>
      <c r="F11" s="633">
        <v>0</v>
      </c>
      <c r="G11" s="633">
        <v>0</v>
      </c>
      <c r="H11" s="637">
        <f>IFERROR(G11/(C11+E11),0)</f>
        <v>0</v>
      </c>
      <c r="K11" s="590"/>
      <c r="L11" s="590"/>
      <c r="M11" s="590"/>
      <c r="N11" s="590"/>
      <c r="O11" s="590"/>
      <c r="P11" s="590"/>
    </row>
    <row r="12" spans="1:16">
      <c r="A12" s="90">
        <v>5</v>
      </c>
      <c r="B12" s="1" t="s">
        <v>54</v>
      </c>
      <c r="C12" s="633">
        <v>0</v>
      </c>
      <c r="D12" s="633">
        <v>0</v>
      </c>
      <c r="E12" s="633">
        <v>0</v>
      </c>
      <c r="F12" s="633">
        <v>0</v>
      </c>
      <c r="G12" s="633">
        <v>0</v>
      </c>
      <c r="H12" s="637">
        <f>IFERROR(G12/(C12+E12),0)</f>
        <v>0</v>
      </c>
      <c r="K12" s="590"/>
      <c r="L12" s="590"/>
      <c r="M12" s="590"/>
      <c r="N12" s="590"/>
      <c r="O12" s="590"/>
      <c r="P12" s="590"/>
    </row>
    <row r="13" spans="1:16">
      <c r="A13" s="90">
        <v>6</v>
      </c>
      <c r="B13" s="1" t="s">
        <v>55</v>
      </c>
      <c r="C13" s="633">
        <v>283783853.25361586</v>
      </c>
      <c r="D13" s="633">
        <v>0</v>
      </c>
      <c r="E13" s="633">
        <v>0</v>
      </c>
      <c r="F13" s="633">
        <v>64770581.862790436</v>
      </c>
      <c r="G13" s="633">
        <v>64770581.862790436</v>
      </c>
      <c r="H13" s="636">
        <f t="shared" ref="H13:H21" si="0">G13/(C13+E13)</f>
        <v>0.22823913735819695</v>
      </c>
      <c r="K13" s="590"/>
      <c r="L13" s="590"/>
      <c r="M13" s="590"/>
      <c r="N13" s="590"/>
      <c r="O13" s="590"/>
      <c r="P13" s="590"/>
    </row>
    <row r="14" spans="1:16">
      <c r="A14" s="90">
        <v>7</v>
      </c>
      <c r="B14" s="1" t="s">
        <v>56</v>
      </c>
      <c r="C14" s="633">
        <v>977288440.41370428</v>
      </c>
      <c r="D14" s="633">
        <v>198520214.32620111</v>
      </c>
      <c r="E14" s="633">
        <v>109285658.84463271</v>
      </c>
      <c r="F14" s="633">
        <v>1086574099.258337</v>
      </c>
      <c r="G14" s="633">
        <v>1026622095.6984925</v>
      </c>
      <c r="H14" s="636">
        <f t="shared" si="0"/>
        <v>0.94482474448749887</v>
      </c>
      <c r="K14" s="590"/>
      <c r="L14" s="590"/>
      <c r="M14" s="590"/>
      <c r="N14" s="590"/>
      <c r="O14" s="590"/>
      <c r="P14" s="590"/>
    </row>
    <row r="15" spans="1:16">
      <c r="A15" s="90">
        <v>8</v>
      </c>
      <c r="B15" s="1" t="s">
        <v>57</v>
      </c>
      <c r="C15" s="633">
        <v>0</v>
      </c>
      <c r="D15" s="633">
        <v>0</v>
      </c>
      <c r="E15" s="633">
        <v>0</v>
      </c>
      <c r="F15" s="633">
        <v>0</v>
      </c>
      <c r="G15" s="633">
        <v>0</v>
      </c>
      <c r="H15" s="637">
        <f>IFERROR(G15/(C15+E15),0)</f>
        <v>0</v>
      </c>
      <c r="K15" s="590"/>
      <c r="L15" s="590"/>
      <c r="M15" s="590"/>
      <c r="N15" s="590"/>
      <c r="O15" s="590"/>
      <c r="P15" s="590"/>
    </row>
    <row r="16" spans="1:16">
      <c r="A16" s="90">
        <v>9</v>
      </c>
      <c r="B16" s="1" t="s">
        <v>58</v>
      </c>
      <c r="C16" s="633">
        <v>0</v>
      </c>
      <c r="D16" s="633">
        <v>0</v>
      </c>
      <c r="E16" s="633">
        <v>0</v>
      </c>
      <c r="F16" s="633">
        <v>0</v>
      </c>
      <c r="G16" s="633">
        <v>0</v>
      </c>
      <c r="H16" s="637">
        <f>IFERROR(G16/(C16+E16),0)</f>
        <v>0</v>
      </c>
      <c r="K16" s="590"/>
      <c r="L16" s="590"/>
      <c r="M16" s="590"/>
      <c r="N16" s="590"/>
      <c r="O16" s="590"/>
      <c r="P16" s="590"/>
    </row>
    <row r="17" spans="1:16">
      <c r="A17" s="90">
        <v>10</v>
      </c>
      <c r="B17" s="1" t="s">
        <v>59</v>
      </c>
      <c r="C17" s="633">
        <v>61465479.799017057</v>
      </c>
      <c r="D17" s="633">
        <v>0</v>
      </c>
      <c r="E17" s="633">
        <v>0</v>
      </c>
      <c r="F17" s="633">
        <v>61465479.799017057</v>
      </c>
      <c r="G17" s="633">
        <v>60912019.799017057</v>
      </c>
      <c r="H17" s="636">
        <f t="shared" si="0"/>
        <v>0.99099559619790278</v>
      </c>
      <c r="K17" s="590"/>
      <c r="L17" s="590"/>
      <c r="M17" s="590"/>
      <c r="N17" s="590"/>
      <c r="O17" s="590"/>
      <c r="P17" s="590"/>
    </row>
    <row r="18" spans="1:16">
      <c r="A18" s="90">
        <v>11</v>
      </c>
      <c r="B18" s="1" t="s">
        <v>60</v>
      </c>
      <c r="C18" s="633">
        <v>0</v>
      </c>
      <c r="D18" s="633">
        <v>0</v>
      </c>
      <c r="E18" s="633">
        <v>0</v>
      </c>
      <c r="F18" s="633">
        <v>0</v>
      </c>
      <c r="G18" s="633">
        <v>0</v>
      </c>
      <c r="H18" s="637">
        <f>IFERROR(G18/(C18+E18),0)</f>
        <v>0</v>
      </c>
      <c r="K18" s="590"/>
      <c r="L18" s="590"/>
      <c r="M18" s="590"/>
      <c r="N18" s="590"/>
      <c r="O18" s="590"/>
      <c r="P18" s="590"/>
    </row>
    <row r="19" spans="1:16">
      <c r="A19" s="90">
        <v>12</v>
      </c>
      <c r="B19" s="1" t="s">
        <v>61</v>
      </c>
      <c r="C19" s="633">
        <v>0</v>
      </c>
      <c r="D19" s="633">
        <v>0</v>
      </c>
      <c r="E19" s="633">
        <v>0</v>
      </c>
      <c r="F19" s="633">
        <v>0</v>
      </c>
      <c r="G19" s="633">
        <v>0</v>
      </c>
      <c r="H19" s="637">
        <f>IFERROR(G19/(C19+E19),0)</f>
        <v>0</v>
      </c>
      <c r="K19" s="590"/>
      <c r="L19" s="590"/>
      <c r="M19" s="590"/>
      <c r="N19" s="590"/>
      <c r="O19" s="590"/>
      <c r="P19" s="590"/>
    </row>
    <row r="20" spans="1:16">
      <c r="A20" s="90">
        <v>13</v>
      </c>
      <c r="B20" s="1" t="s">
        <v>144</v>
      </c>
      <c r="C20" s="633">
        <v>0</v>
      </c>
      <c r="D20" s="633">
        <v>0</v>
      </c>
      <c r="E20" s="633">
        <v>0</v>
      </c>
      <c r="F20" s="633">
        <v>0</v>
      </c>
      <c r="G20" s="633">
        <v>0</v>
      </c>
      <c r="H20" s="637">
        <f>IFERROR(G20/(C20+E20),0)</f>
        <v>0</v>
      </c>
      <c r="K20" s="590"/>
      <c r="L20" s="590"/>
      <c r="M20" s="590"/>
      <c r="N20" s="590"/>
      <c r="O20" s="590"/>
      <c r="P20" s="590"/>
    </row>
    <row r="21" spans="1:16">
      <c r="A21" s="90">
        <v>14</v>
      </c>
      <c r="B21" s="1" t="s">
        <v>63</v>
      </c>
      <c r="C21" s="633">
        <v>173728947.10071683</v>
      </c>
      <c r="D21" s="633">
        <v>4570276.9367966373</v>
      </c>
      <c r="E21" s="633">
        <v>2285138.4683983186</v>
      </c>
      <c r="F21" s="633">
        <v>147945156.11992455</v>
      </c>
      <c r="G21" s="633">
        <v>139015372.50174147</v>
      </c>
      <c r="H21" s="636">
        <f t="shared" si="0"/>
        <v>0.78979686229233359</v>
      </c>
      <c r="K21" s="590"/>
      <c r="L21" s="590"/>
      <c r="M21" s="590"/>
      <c r="N21" s="590"/>
      <c r="O21" s="590"/>
      <c r="P21" s="590"/>
    </row>
    <row r="22" spans="1:16" ht="13.5" thickBot="1">
      <c r="A22" s="93"/>
      <c r="B22" s="94" t="s">
        <v>64</v>
      </c>
      <c r="C22" s="634">
        <f>SUM(C8:C21)</f>
        <v>1809667751.148021</v>
      </c>
      <c r="D22" s="634">
        <f>SUM(D8:D21)</f>
        <v>203090491.26299775</v>
      </c>
      <c r="E22" s="634">
        <f>SUM(E8:E21)</f>
        <v>111570797.31303103</v>
      </c>
      <c r="F22" s="634">
        <f>SUM(F8:F21)</f>
        <v>1630847484.6405888</v>
      </c>
      <c r="G22" s="634">
        <f>SUM(G8:G21)</f>
        <v>1561412237.4625611</v>
      </c>
      <c r="H22" s="638">
        <f>G22/(C22+E22)</f>
        <v>0.81271127872865223</v>
      </c>
      <c r="K22" s="590"/>
      <c r="L22" s="590"/>
      <c r="M22" s="590"/>
      <c r="N22" s="590"/>
      <c r="O22" s="590"/>
      <c r="P22" s="590"/>
    </row>
    <row r="26" spans="1:16">
      <c r="C26" s="844"/>
      <c r="D26" s="844"/>
      <c r="E26" s="844"/>
      <c r="F26" s="844"/>
      <c r="G26" s="844"/>
      <c r="H26" s="844"/>
    </row>
    <row r="27" spans="1:16">
      <c r="C27" s="844"/>
      <c r="D27" s="844"/>
      <c r="E27" s="844"/>
      <c r="F27" s="844"/>
      <c r="G27" s="844"/>
      <c r="H27" s="844"/>
    </row>
    <row r="28" spans="1:16">
      <c r="C28" s="844"/>
      <c r="D28" s="844"/>
      <c r="E28" s="844"/>
      <c r="F28" s="844"/>
      <c r="G28" s="844"/>
      <c r="H28" s="844"/>
    </row>
    <row r="29" spans="1:16">
      <c r="C29" s="844"/>
      <c r="D29" s="844"/>
      <c r="E29" s="844"/>
      <c r="F29" s="844"/>
      <c r="G29" s="844"/>
      <c r="H29" s="844"/>
    </row>
    <row r="30" spans="1:16">
      <c r="C30" s="844"/>
      <c r="D30" s="844"/>
      <c r="E30" s="844"/>
      <c r="F30" s="844"/>
      <c r="G30" s="844"/>
      <c r="H30" s="844"/>
    </row>
    <row r="31" spans="1:16">
      <c r="C31" s="844"/>
      <c r="D31" s="844"/>
      <c r="E31" s="844"/>
      <c r="F31" s="844"/>
      <c r="G31" s="844"/>
      <c r="H31" s="844"/>
    </row>
    <row r="32" spans="1:16">
      <c r="C32" s="844"/>
      <c r="D32" s="844"/>
      <c r="E32" s="844"/>
      <c r="F32" s="844"/>
      <c r="G32" s="844"/>
      <c r="H32" s="844"/>
    </row>
    <row r="33" spans="3:8">
      <c r="C33" s="844"/>
      <c r="D33" s="844"/>
      <c r="E33" s="844"/>
      <c r="F33" s="844"/>
      <c r="G33" s="844"/>
      <c r="H33" s="844"/>
    </row>
    <row r="34" spans="3:8">
      <c r="C34" s="844"/>
      <c r="D34" s="844"/>
      <c r="E34" s="844"/>
      <c r="F34" s="844"/>
      <c r="G34" s="844"/>
      <c r="H34" s="844"/>
    </row>
    <row r="35" spans="3:8">
      <c r="C35" s="844"/>
      <c r="D35" s="844"/>
      <c r="E35" s="844"/>
      <c r="F35" s="844"/>
      <c r="G35" s="844"/>
      <c r="H35" s="844"/>
    </row>
    <row r="36" spans="3:8">
      <c r="C36" s="844"/>
      <c r="D36" s="844"/>
      <c r="E36" s="844"/>
      <c r="F36" s="844"/>
      <c r="G36" s="844"/>
      <c r="H36" s="844"/>
    </row>
    <row r="37" spans="3:8">
      <c r="C37" s="844"/>
      <c r="D37" s="844"/>
      <c r="E37" s="844"/>
      <c r="F37" s="844"/>
      <c r="G37" s="844"/>
      <c r="H37" s="844"/>
    </row>
    <row r="38" spans="3:8">
      <c r="C38" s="844"/>
      <c r="D38" s="844"/>
      <c r="E38" s="844"/>
      <c r="F38" s="844"/>
      <c r="G38" s="844"/>
      <c r="H38" s="844"/>
    </row>
    <row r="39" spans="3:8">
      <c r="C39" s="844"/>
      <c r="D39" s="844"/>
      <c r="E39" s="844"/>
      <c r="F39" s="844"/>
      <c r="G39" s="844"/>
      <c r="H39" s="844"/>
    </row>
    <row r="40" spans="3:8">
      <c r="C40" s="844"/>
      <c r="D40" s="844"/>
      <c r="E40" s="844"/>
      <c r="F40" s="844"/>
      <c r="G40" s="844"/>
      <c r="H40" s="844"/>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W46"/>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118" bestFit="1" customWidth="1"/>
    <col min="2" max="2" width="104.140625" style="118" customWidth="1"/>
    <col min="3" max="3" width="12.85546875" style="118" customWidth="1"/>
    <col min="4" max="5" width="14.85546875" style="118" bestFit="1" customWidth="1"/>
    <col min="6" max="11" width="12.85546875" style="118" customWidth="1"/>
    <col min="12" max="16384" width="9.140625" style="118"/>
  </cols>
  <sheetData>
    <row r="1" spans="1:23">
      <c r="A1" s="118" t="s">
        <v>30</v>
      </c>
      <c r="B1" s="3" t="str">
        <f>'Info '!C2</f>
        <v>JSC Cartu Bank</v>
      </c>
    </row>
    <row r="2" spans="1:23">
      <c r="A2" s="118" t="s">
        <v>31</v>
      </c>
      <c r="B2" s="532">
        <f>'1. key ratios '!B2</f>
        <v>45747</v>
      </c>
    </row>
    <row r="4" spans="1:23" ht="13.5" thickBot="1">
      <c r="A4" s="118" t="s">
        <v>146</v>
      </c>
      <c r="B4" s="175" t="s">
        <v>240</v>
      </c>
    </row>
    <row r="5" spans="1:23" ht="30" customHeight="1">
      <c r="A5" s="765"/>
      <c r="B5" s="766"/>
      <c r="C5" s="767" t="s">
        <v>292</v>
      </c>
      <c r="D5" s="767"/>
      <c r="E5" s="767"/>
      <c r="F5" s="767" t="s">
        <v>293</v>
      </c>
      <c r="G5" s="767"/>
      <c r="H5" s="767"/>
      <c r="I5" s="767" t="s">
        <v>294</v>
      </c>
      <c r="J5" s="767"/>
      <c r="K5" s="768"/>
    </row>
    <row r="6" spans="1:23">
      <c r="A6" s="151"/>
      <c r="B6" s="152"/>
      <c r="C6" s="21" t="s">
        <v>32</v>
      </c>
      <c r="D6" s="21" t="s">
        <v>33</v>
      </c>
      <c r="E6" s="21" t="s">
        <v>34</v>
      </c>
      <c r="F6" s="21" t="s">
        <v>32</v>
      </c>
      <c r="G6" s="21" t="s">
        <v>33</v>
      </c>
      <c r="H6" s="21" t="s">
        <v>34</v>
      </c>
      <c r="I6" s="21" t="s">
        <v>32</v>
      </c>
      <c r="J6" s="21" t="s">
        <v>33</v>
      </c>
      <c r="K6" s="21" t="s">
        <v>34</v>
      </c>
    </row>
    <row r="7" spans="1:23">
      <c r="A7" s="153" t="s">
        <v>243</v>
      </c>
      <c r="B7" s="154"/>
      <c r="C7" s="646"/>
      <c r="D7" s="646"/>
      <c r="E7" s="646"/>
      <c r="F7" s="646"/>
      <c r="G7" s="646"/>
      <c r="H7" s="646"/>
      <c r="I7" s="646"/>
      <c r="J7" s="646"/>
      <c r="K7" s="647"/>
    </row>
    <row r="8" spans="1:23">
      <c r="A8" s="155">
        <v>1</v>
      </c>
      <c r="B8" s="156" t="s">
        <v>241</v>
      </c>
      <c r="C8" s="648"/>
      <c r="D8" s="648"/>
      <c r="E8" s="648"/>
      <c r="F8" s="649">
        <v>119488009.85749823</v>
      </c>
      <c r="G8" s="649">
        <v>622309579.11918843</v>
      </c>
      <c r="H8" s="649">
        <v>741797588.97668672</v>
      </c>
      <c r="I8" s="649">
        <v>87023307.535382137</v>
      </c>
      <c r="J8" s="649">
        <v>429876044.02848464</v>
      </c>
      <c r="K8" s="650">
        <v>516899351.56386644</v>
      </c>
      <c r="M8" s="639"/>
      <c r="N8" s="639"/>
      <c r="O8" s="639"/>
      <c r="P8" s="639"/>
      <c r="Q8" s="639"/>
      <c r="R8" s="639"/>
      <c r="S8" s="639"/>
      <c r="T8" s="639"/>
      <c r="U8" s="639"/>
      <c r="V8" s="639"/>
      <c r="W8" s="639"/>
    </row>
    <row r="9" spans="1:23">
      <c r="A9" s="153" t="s">
        <v>244</v>
      </c>
      <c r="B9" s="154"/>
      <c r="C9" s="646"/>
      <c r="D9" s="646"/>
      <c r="E9" s="646"/>
      <c r="F9" s="646"/>
      <c r="G9" s="646"/>
      <c r="H9" s="646"/>
      <c r="I9" s="646"/>
      <c r="J9" s="646"/>
      <c r="K9" s="647"/>
      <c r="M9" s="639"/>
      <c r="N9" s="639"/>
      <c r="O9" s="639"/>
      <c r="P9" s="639"/>
      <c r="Q9" s="639"/>
      <c r="R9" s="639"/>
      <c r="S9" s="639"/>
      <c r="T9" s="639"/>
      <c r="U9" s="639"/>
      <c r="V9" s="639"/>
      <c r="W9" s="639"/>
    </row>
    <row r="10" spans="1:23">
      <c r="A10" s="158">
        <v>2</v>
      </c>
      <c r="B10" s="159" t="s">
        <v>252</v>
      </c>
      <c r="C10" s="651">
        <v>28082371.721797723</v>
      </c>
      <c r="D10" s="652">
        <v>579940601.85770226</v>
      </c>
      <c r="E10" s="652">
        <v>608022973.57949996</v>
      </c>
      <c r="F10" s="652">
        <v>4108877.7335011177</v>
      </c>
      <c r="G10" s="652">
        <v>52783658.307358831</v>
      </c>
      <c r="H10" s="652">
        <v>56892536.04085996</v>
      </c>
      <c r="I10" s="652">
        <v>743988.56833707716</v>
      </c>
      <c r="J10" s="652">
        <v>6430884.2085396079</v>
      </c>
      <c r="K10" s="653">
        <v>7174872.7768766824</v>
      </c>
      <c r="M10" s="639"/>
      <c r="N10" s="639"/>
      <c r="O10" s="639"/>
      <c r="P10" s="639"/>
      <c r="Q10" s="639"/>
      <c r="R10" s="639"/>
      <c r="S10" s="639"/>
      <c r="T10" s="639"/>
      <c r="U10" s="639"/>
      <c r="V10" s="639"/>
      <c r="W10" s="639"/>
    </row>
    <row r="11" spans="1:23">
      <c r="A11" s="158">
        <v>3</v>
      </c>
      <c r="B11" s="159" t="s">
        <v>246</v>
      </c>
      <c r="C11" s="651">
        <v>189055054.89652577</v>
      </c>
      <c r="D11" s="652">
        <v>573832440.02971685</v>
      </c>
      <c r="E11" s="652">
        <v>762887494.92624247</v>
      </c>
      <c r="F11" s="652">
        <v>43468532.124887764</v>
      </c>
      <c r="G11" s="652">
        <v>328775588.38265526</v>
      </c>
      <c r="H11" s="652">
        <v>372244120.50754309</v>
      </c>
      <c r="I11" s="652">
        <v>31794672.735570822</v>
      </c>
      <c r="J11" s="652">
        <v>141009690.66733485</v>
      </c>
      <c r="K11" s="653">
        <v>172804363.40290564</v>
      </c>
      <c r="M11" s="639"/>
      <c r="N11" s="639"/>
      <c r="O11" s="639"/>
      <c r="P11" s="639"/>
      <c r="Q11" s="639"/>
      <c r="R11" s="639"/>
      <c r="S11" s="639"/>
      <c r="T11" s="639"/>
      <c r="U11" s="639"/>
      <c r="V11" s="639"/>
      <c r="W11" s="639"/>
    </row>
    <row r="12" spans="1:23">
      <c r="A12" s="158">
        <v>4</v>
      </c>
      <c r="B12" s="159" t="s">
        <v>247</v>
      </c>
      <c r="C12" s="651">
        <v>0</v>
      </c>
      <c r="D12" s="652">
        <v>0</v>
      </c>
      <c r="E12" s="652">
        <v>0</v>
      </c>
      <c r="F12" s="652">
        <v>0</v>
      </c>
      <c r="G12" s="652">
        <v>0</v>
      </c>
      <c r="H12" s="652">
        <v>0</v>
      </c>
      <c r="I12" s="652">
        <v>0</v>
      </c>
      <c r="J12" s="652">
        <v>0</v>
      </c>
      <c r="K12" s="653">
        <v>0</v>
      </c>
      <c r="M12" s="639"/>
      <c r="N12" s="639"/>
      <c r="O12" s="639"/>
      <c r="P12" s="639"/>
      <c r="Q12" s="639"/>
      <c r="R12" s="639"/>
      <c r="S12" s="639"/>
      <c r="T12" s="639"/>
      <c r="U12" s="639"/>
      <c r="V12" s="639"/>
      <c r="W12" s="639"/>
    </row>
    <row r="13" spans="1:23">
      <c r="A13" s="158">
        <v>5</v>
      </c>
      <c r="B13" s="159" t="s">
        <v>255</v>
      </c>
      <c r="C13" s="651">
        <v>83003588.950112388</v>
      </c>
      <c r="D13" s="652">
        <v>114549046.2582171</v>
      </c>
      <c r="E13" s="652">
        <v>197552635.20832944</v>
      </c>
      <c r="F13" s="652">
        <v>13447783.512274724</v>
      </c>
      <c r="G13" s="652">
        <v>15362839.641073283</v>
      </c>
      <c r="H13" s="652">
        <v>28810623.153348003</v>
      </c>
      <c r="I13" s="652">
        <v>5153822.8441966297</v>
      </c>
      <c r="J13" s="652">
        <v>6596188.48535858</v>
      </c>
      <c r="K13" s="653">
        <v>11750011.329555206</v>
      </c>
      <c r="M13" s="639"/>
      <c r="N13" s="639"/>
      <c r="O13" s="639"/>
      <c r="P13" s="639"/>
      <c r="Q13" s="639"/>
      <c r="R13" s="639"/>
      <c r="S13" s="639"/>
      <c r="T13" s="639"/>
      <c r="U13" s="639"/>
      <c r="V13" s="639"/>
      <c r="W13" s="639"/>
    </row>
    <row r="14" spans="1:23">
      <c r="A14" s="158">
        <v>6</v>
      </c>
      <c r="B14" s="159" t="s">
        <v>287</v>
      </c>
      <c r="C14" s="651">
        <v>0</v>
      </c>
      <c r="D14" s="652">
        <v>0</v>
      </c>
      <c r="E14" s="652">
        <v>0</v>
      </c>
      <c r="F14" s="652">
        <v>0</v>
      </c>
      <c r="G14" s="652">
        <v>0</v>
      </c>
      <c r="H14" s="652">
        <v>0</v>
      </c>
      <c r="I14" s="652">
        <v>0</v>
      </c>
      <c r="J14" s="652">
        <v>0</v>
      </c>
      <c r="K14" s="653">
        <v>0</v>
      </c>
      <c r="M14" s="639"/>
      <c r="N14" s="639"/>
      <c r="O14" s="639"/>
      <c r="P14" s="639"/>
      <c r="Q14" s="639"/>
      <c r="R14" s="639"/>
      <c r="S14" s="639"/>
      <c r="T14" s="639"/>
      <c r="U14" s="639"/>
      <c r="V14" s="639"/>
      <c r="W14" s="639"/>
    </row>
    <row r="15" spans="1:23">
      <c r="A15" s="158">
        <v>7</v>
      </c>
      <c r="B15" s="159" t="s">
        <v>288</v>
      </c>
      <c r="C15" s="651">
        <v>38611598.585161865</v>
      </c>
      <c r="D15" s="652">
        <v>121444621.17946692</v>
      </c>
      <c r="E15" s="652">
        <v>160056219.76462871</v>
      </c>
      <c r="F15" s="652">
        <v>1361274.562696629</v>
      </c>
      <c r="G15" s="652">
        <v>1587491.3587359551</v>
      </c>
      <c r="H15" s="652">
        <v>2948765.9214325845</v>
      </c>
      <c r="I15" s="652">
        <v>1361274.562696629</v>
      </c>
      <c r="J15" s="652">
        <v>1587491.3587359551</v>
      </c>
      <c r="K15" s="653">
        <v>2948765.9214325845</v>
      </c>
      <c r="M15" s="639"/>
      <c r="N15" s="639"/>
      <c r="O15" s="639"/>
      <c r="P15" s="639"/>
      <c r="Q15" s="639"/>
      <c r="R15" s="639"/>
      <c r="S15" s="639"/>
      <c r="T15" s="639"/>
      <c r="U15" s="639"/>
      <c r="V15" s="639"/>
      <c r="W15" s="639"/>
    </row>
    <row r="16" spans="1:23">
      <c r="A16" s="158">
        <v>8</v>
      </c>
      <c r="B16" s="160" t="s">
        <v>248</v>
      </c>
      <c r="C16" s="651">
        <v>338752614.15359777</v>
      </c>
      <c r="D16" s="652">
        <v>1389766709.3251033</v>
      </c>
      <c r="E16" s="652">
        <v>1728519323.4787006</v>
      </c>
      <c r="F16" s="652">
        <v>62386467.933360241</v>
      </c>
      <c r="G16" s="652">
        <v>398509577.68982339</v>
      </c>
      <c r="H16" s="652">
        <v>460896045.62318361</v>
      </c>
      <c r="I16" s="652">
        <v>39053758.710801154</v>
      </c>
      <c r="J16" s="652">
        <v>155624254.71996897</v>
      </c>
      <c r="K16" s="653">
        <v>194678013.43077013</v>
      </c>
      <c r="M16" s="639"/>
      <c r="N16" s="639"/>
      <c r="O16" s="639"/>
      <c r="P16" s="639"/>
      <c r="Q16" s="639"/>
      <c r="R16" s="639"/>
      <c r="S16" s="639"/>
      <c r="T16" s="639"/>
      <c r="U16" s="639"/>
      <c r="V16" s="639"/>
      <c r="W16" s="639"/>
    </row>
    <row r="17" spans="1:23">
      <c r="A17" s="153" t="s">
        <v>245</v>
      </c>
      <c r="B17" s="154"/>
      <c r="C17" s="646"/>
      <c r="D17" s="646"/>
      <c r="E17" s="646"/>
      <c r="F17" s="646"/>
      <c r="G17" s="646"/>
      <c r="H17" s="646"/>
      <c r="I17" s="646"/>
      <c r="J17" s="646"/>
      <c r="K17" s="647"/>
      <c r="M17" s="639"/>
      <c r="N17" s="639"/>
      <c r="O17" s="639"/>
      <c r="P17" s="639"/>
      <c r="Q17" s="639"/>
      <c r="R17" s="639"/>
      <c r="S17" s="639"/>
      <c r="T17" s="639"/>
      <c r="U17" s="639"/>
      <c r="V17" s="639"/>
      <c r="W17" s="639"/>
    </row>
    <row r="18" spans="1:23">
      <c r="A18" s="158">
        <v>9</v>
      </c>
      <c r="B18" s="159" t="s">
        <v>251</v>
      </c>
      <c r="C18" s="651">
        <v>0</v>
      </c>
      <c r="D18" s="652">
        <v>0</v>
      </c>
      <c r="E18" s="652">
        <v>0</v>
      </c>
      <c r="F18" s="652">
        <v>0</v>
      </c>
      <c r="G18" s="652">
        <v>0</v>
      </c>
      <c r="H18" s="652">
        <v>0</v>
      </c>
      <c r="I18" s="652">
        <v>0</v>
      </c>
      <c r="J18" s="652">
        <v>0</v>
      </c>
      <c r="K18" s="653">
        <v>0</v>
      </c>
      <c r="M18" s="639"/>
      <c r="N18" s="639"/>
      <c r="O18" s="639"/>
      <c r="P18" s="639"/>
      <c r="Q18" s="639"/>
      <c r="R18" s="639"/>
      <c r="S18" s="639"/>
      <c r="T18" s="639"/>
      <c r="U18" s="639"/>
      <c r="V18" s="639"/>
      <c r="W18" s="639"/>
    </row>
    <row r="19" spans="1:23">
      <c r="A19" s="158">
        <v>10</v>
      </c>
      <c r="B19" s="159" t="s">
        <v>289</v>
      </c>
      <c r="C19" s="651">
        <v>442509985.76296061</v>
      </c>
      <c r="D19" s="652">
        <v>761326691.07471478</v>
      </c>
      <c r="E19" s="652">
        <v>1203836676.837676</v>
      </c>
      <c r="F19" s="652">
        <v>9602706.2268306091</v>
      </c>
      <c r="G19" s="652">
        <v>12862294.493757065</v>
      </c>
      <c r="H19" s="652">
        <v>22465000.720587663</v>
      </c>
      <c r="I19" s="652">
        <v>42067498.642542176</v>
      </c>
      <c r="J19" s="652">
        <v>221982455.39367741</v>
      </c>
      <c r="K19" s="653">
        <v>264049954.0362196</v>
      </c>
      <c r="M19" s="639"/>
      <c r="N19" s="639"/>
      <c r="O19" s="639"/>
      <c r="P19" s="639"/>
      <c r="Q19" s="639"/>
      <c r="R19" s="639"/>
      <c r="S19" s="639"/>
      <c r="T19" s="639"/>
      <c r="U19" s="639"/>
      <c r="V19" s="639"/>
      <c r="W19" s="639"/>
    </row>
    <row r="20" spans="1:23">
      <c r="A20" s="158">
        <v>11</v>
      </c>
      <c r="B20" s="159" t="s">
        <v>250</v>
      </c>
      <c r="C20" s="651">
        <v>30728386.68503518</v>
      </c>
      <c r="D20" s="652">
        <v>136219.85991460679</v>
      </c>
      <c r="E20" s="652">
        <v>30864606.544949789</v>
      </c>
      <c r="F20" s="652">
        <v>853843.27803503058</v>
      </c>
      <c r="G20" s="652">
        <v>0</v>
      </c>
      <c r="H20" s="652">
        <v>853843.27803503058</v>
      </c>
      <c r="I20" s="652">
        <v>853843.27803503058</v>
      </c>
      <c r="J20" s="652">
        <v>0</v>
      </c>
      <c r="K20" s="653">
        <v>853843.27803503058</v>
      </c>
      <c r="M20" s="639"/>
      <c r="N20" s="639"/>
      <c r="O20" s="639"/>
      <c r="P20" s="639"/>
      <c r="Q20" s="639"/>
      <c r="R20" s="639"/>
      <c r="S20" s="639"/>
      <c r="T20" s="639"/>
      <c r="U20" s="639"/>
      <c r="V20" s="639"/>
      <c r="W20" s="639"/>
    </row>
    <row r="21" spans="1:23" ht="13.5" thickBot="1">
      <c r="A21" s="161">
        <v>12</v>
      </c>
      <c r="B21" s="162" t="s">
        <v>249</v>
      </c>
      <c r="C21" s="654">
        <v>473238372.44799578</v>
      </c>
      <c r="D21" s="655">
        <v>761462910.93462944</v>
      </c>
      <c r="E21" s="654">
        <v>1234701283.3826258</v>
      </c>
      <c r="F21" s="655">
        <v>10456549.504865639</v>
      </c>
      <c r="G21" s="655">
        <v>12862294.493757065</v>
      </c>
      <c r="H21" s="655">
        <v>23318843.998622693</v>
      </c>
      <c r="I21" s="655">
        <v>42921341.920577206</v>
      </c>
      <c r="J21" s="655">
        <v>221982455.39367741</v>
      </c>
      <c r="K21" s="656">
        <v>264903797.31425464</v>
      </c>
      <c r="M21" s="639"/>
      <c r="N21" s="639"/>
      <c r="O21" s="639"/>
      <c r="P21" s="639"/>
      <c r="Q21" s="639"/>
      <c r="R21" s="639"/>
      <c r="S21" s="639"/>
      <c r="T21" s="639"/>
      <c r="U21" s="639"/>
      <c r="V21" s="639"/>
      <c r="W21" s="639"/>
    </row>
    <row r="22" spans="1:23" ht="38.25" customHeight="1" thickBot="1">
      <c r="A22" s="163"/>
      <c r="B22" s="164"/>
      <c r="C22" s="657"/>
      <c r="D22" s="657"/>
      <c r="E22" s="657"/>
      <c r="F22" s="769" t="s">
        <v>291</v>
      </c>
      <c r="G22" s="770"/>
      <c r="H22" s="770"/>
      <c r="I22" s="769" t="s">
        <v>256</v>
      </c>
      <c r="J22" s="770"/>
      <c r="K22" s="771"/>
      <c r="M22" s="639"/>
      <c r="N22" s="639"/>
      <c r="O22" s="639"/>
      <c r="P22" s="639"/>
      <c r="Q22" s="639"/>
      <c r="R22" s="639"/>
      <c r="S22" s="639"/>
      <c r="T22" s="639"/>
      <c r="U22" s="639"/>
      <c r="V22" s="639"/>
      <c r="W22" s="639"/>
    </row>
    <row r="23" spans="1:23">
      <c r="A23" s="165">
        <v>13</v>
      </c>
      <c r="B23" s="166" t="s">
        <v>241</v>
      </c>
      <c r="C23" s="658"/>
      <c r="D23" s="658"/>
      <c r="E23" s="658"/>
      <c r="F23" s="640">
        <f t="shared" ref="F23:K23" si="0">F8</f>
        <v>119488009.85749823</v>
      </c>
      <c r="G23" s="640">
        <f t="shared" si="0"/>
        <v>622309579.11918843</v>
      </c>
      <c r="H23" s="640">
        <f t="shared" si="0"/>
        <v>741797588.97668672</v>
      </c>
      <c r="I23" s="640">
        <f t="shared" si="0"/>
        <v>87023307.535382137</v>
      </c>
      <c r="J23" s="640">
        <f t="shared" si="0"/>
        <v>429876044.02848464</v>
      </c>
      <c r="K23" s="641">
        <f t="shared" si="0"/>
        <v>516899351.56386644</v>
      </c>
      <c r="M23" s="639"/>
      <c r="N23" s="639"/>
      <c r="O23" s="639"/>
      <c r="P23" s="639"/>
      <c r="Q23" s="639"/>
      <c r="R23" s="639"/>
      <c r="S23" s="639"/>
      <c r="T23" s="639"/>
      <c r="U23" s="639"/>
      <c r="V23" s="639"/>
      <c r="W23" s="639"/>
    </row>
    <row r="24" spans="1:23" ht="13.5" thickBot="1">
      <c r="A24" s="167">
        <v>14</v>
      </c>
      <c r="B24" s="168" t="s">
        <v>253</v>
      </c>
      <c r="C24" s="659"/>
      <c r="D24" s="660"/>
      <c r="E24" s="661"/>
      <c r="F24" s="642">
        <f t="shared" ref="F24:K24" si="1">MAX(F16-F21,F16*0.25)</f>
        <v>51929918.428494602</v>
      </c>
      <c r="G24" s="642">
        <f t="shared" si="1"/>
        <v>385647283.19606632</v>
      </c>
      <c r="H24" s="642">
        <f>MAX(H16-H21,H16*0.25)</f>
        <v>437577201.62456089</v>
      </c>
      <c r="I24" s="642">
        <f t="shared" si="1"/>
        <v>9763439.6777002886</v>
      </c>
      <c r="J24" s="642">
        <f t="shared" si="1"/>
        <v>38906063.679992244</v>
      </c>
      <c r="K24" s="643">
        <f t="shared" si="1"/>
        <v>48669503.357692532</v>
      </c>
      <c r="M24" s="639"/>
      <c r="N24" s="639"/>
      <c r="O24" s="639"/>
      <c r="P24" s="639"/>
      <c r="Q24" s="639"/>
      <c r="R24" s="639"/>
      <c r="S24" s="639"/>
      <c r="T24" s="639"/>
      <c r="U24" s="639"/>
      <c r="V24" s="639"/>
      <c r="W24" s="639"/>
    </row>
    <row r="25" spans="1:23" ht="13.5" thickBot="1">
      <c r="A25" s="172">
        <v>15</v>
      </c>
      <c r="B25" s="173" t="s">
        <v>254</v>
      </c>
      <c r="C25" s="174"/>
      <c r="D25" s="174"/>
      <c r="E25" s="174"/>
      <c r="F25" s="644">
        <f t="shared" ref="F25:K25" si="2">F23/F24</f>
        <v>2.3009473820381285</v>
      </c>
      <c r="G25" s="644">
        <f t="shared" si="2"/>
        <v>1.6136755170729442</v>
      </c>
      <c r="H25" s="644">
        <f t="shared" si="2"/>
        <v>1.6952382030477571</v>
      </c>
      <c r="I25" s="644">
        <f t="shared" si="2"/>
        <v>8.9131812566163031</v>
      </c>
      <c r="J25" s="644">
        <f t="shared" si="2"/>
        <v>11.049075731851842</v>
      </c>
      <c r="K25" s="645">
        <f t="shared" si="2"/>
        <v>10.620600497296159</v>
      </c>
      <c r="M25" s="639"/>
      <c r="N25" s="639"/>
      <c r="O25" s="639"/>
      <c r="P25" s="639"/>
      <c r="Q25" s="639"/>
      <c r="R25" s="639"/>
      <c r="S25" s="639"/>
      <c r="T25" s="639"/>
      <c r="U25" s="639"/>
      <c r="V25" s="639"/>
      <c r="W25" s="639"/>
    </row>
    <row r="27" spans="1:23" ht="25.5">
      <c r="B27" s="150" t="s">
        <v>290</v>
      </c>
    </row>
    <row r="29" spans="1:23">
      <c r="C29" s="844"/>
      <c r="D29" s="844"/>
      <c r="E29" s="844"/>
      <c r="F29" s="844"/>
      <c r="G29" s="844"/>
      <c r="H29" s="844"/>
      <c r="I29" s="844"/>
      <c r="J29" s="844"/>
      <c r="K29" s="844"/>
    </row>
    <row r="30" spans="1:23">
      <c r="C30" s="844"/>
      <c r="D30" s="844"/>
      <c r="E30" s="844"/>
      <c r="F30" s="844"/>
      <c r="G30" s="844"/>
      <c r="H30" s="844"/>
      <c r="I30" s="844"/>
      <c r="J30" s="844"/>
      <c r="K30" s="844"/>
    </row>
    <row r="31" spans="1:23">
      <c r="C31" s="844"/>
      <c r="D31" s="844"/>
      <c r="E31" s="844"/>
      <c r="F31" s="844"/>
      <c r="G31" s="844"/>
      <c r="H31" s="844"/>
      <c r="I31" s="844"/>
      <c r="J31" s="844"/>
      <c r="K31" s="844"/>
    </row>
    <row r="32" spans="1:23">
      <c r="C32" s="844"/>
      <c r="D32" s="844"/>
      <c r="E32" s="844"/>
      <c r="F32" s="844"/>
      <c r="G32" s="844"/>
      <c r="H32" s="844"/>
      <c r="I32" s="844"/>
      <c r="J32" s="844"/>
      <c r="K32" s="844"/>
    </row>
    <row r="33" spans="3:11">
      <c r="C33" s="844"/>
      <c r="D33" s="844"/>
      <c r="E33" s="844"/>
      <c r="F33" s="844"/>
      <c r="G33" s="844"/>
      <c r="H33" s="844"/>
      <c r="I33" s="844"/>
      <c r="J33" s="844"/>
      <c r="K33" s="844"/>
    </row>
    <row r="34" spans="3:11">
      <c r="C34" s="844"/>
      <c r="D34" s="844"/>
      <c r="E34" s="844"/>
      <c r="F34" s="844"/>
      <c r="G34" s="844"/>
      <c r="H34" s="844"/>
      <c r="I34" s="844"/>
      <c r="J34" s="844"/>
      <c r="K34" s="844"/>
    </row>
    <row r="35" spans="3:11">
      <c r="C35" s="844"/>
      <c r="D35" s="844"/>
      <c r="E35" s="844"/>
      <c r="F35" s="844"/>
      <c r="G35" s="844"/>
      <c r="H35" s="844"/>
      <c r="I35" s="844"/>
      <c r="J35" s="844"/>
      <c r="K35" s="844"/>
    </row>
    <row r="36" spans="3:11">
      <c r="C36" s="844"/>
      <c r="D36" s="844"/>
      <c r="E36" s="844"/>
      <c r="F36" s="844"/>
      <c r="G36" s="844"/>
      <c r="H36" s="844"/>
      <c r="I36" s="844"/>
      <c r="J36" s="844"/>
      <c r="K36" s="844"/>
    </row>
    <row r="37" spans="3:11">
      <c r="C37" s="844"/>
      <c r="D37" s="844"/>
      <c r="E37" s="844"/>
      <c r="F37" s="844"/>
      <c r="G37" s="844"/>
      <c r="H37" s="844"/>
      <c r="I37" s="844"/>
      <c r="J37" s="844"/>
      <c r="K37" s="844"/>
    </row>
    <row r="38" spans="3:11">
      <c r="C38" s="844"/>
      <c r="D38" s="844"/>
      <c r="E38" s="844"/>
      <c r="F38" s="844"/>
      <c r="G38" s="844"/>
      <c r="H38" s="844"/>
      <c r="I38" s="844"/>
      <c r="J38" s="844"/>
      <c r="K38" s="844"/>
    </row>
    <row r="39" spans="3:11">
      <c r="C39" s="844"/>
      <c r="D39" s="844"/>
      <c r="E39" s="844"/>
      <c r="F39" s="844"/>
      <c r="G39" s="844"/>
      <c r="H39" s="844"/>
      <c r="I39" s="844"/>
      <c r="J39" s="844"/>
      <c r="K39" s="844"/>
    </row>
    <row r="40" spans="3:11">
      <c r="C40" s="844"/>
      <c r="D40" s="844"/>
      <c r="E40" s="844"/>
      <c r="F40" s="844"/>
      <c r="G40" s="844"/>
      <c r="H40" s="844"/>
      <c r="I40" s="844"/>
      <c r="J40" s="844"/>
      <c r="K40" s="844"/>
    </row>
    <row r="41" spans="3:11">
      <c r="C41" s="844"/>
      <c r="D41" s="844"/>
      <c r="E41" s="844"/>
      <c r="F41" s="844"/>
      <c r="G41" s="844"/>
      <c r="H41" s="844"/>
      <c r="I41" s="844"/>
      <c r="J41" s="844"/>
      <c r="K41" s="844"/>
    </row>
    <row r="42" spans="3:11">
      <c r="C42" s="844"/>
      <c r="D42" s="844"/>
      <c r="E42" s="844"/>
      <c r="F42" s="844"/>
      <c r="G42" s="844"/>
      <c r="H42" s="844"/>
      <c r="I42" s="844"/>
      <c r="J42" s="844"/>
      <c r="K42" s="844"/>
    </row>
    <row r="43" spans="3:11">
      <c r="C43" s="844"/>
      <c r="D43" s="844"/>
      <c r="E43" s="844"/>
      <c r="F43" s="844"/>
      <c r="G43" s="844"/>
      <c r="H43" s="844"/>
      <c r="I43" s="844"/>
      <c r="J43" s="844"/>
      <c r="K43" s="844"/>
    </row>
    <row r="44" spans="3:11">
      <c r="C44" s="844"/>
      <c r="D44" s="844"/>
      <c r="E44" s="844"/>
      <c r="F44" s="844"/>
      <c r="G44" s="844"/>
      <c r="H44" s="844"/>
      <c r="I44" s="844"/>
      <c r="J44" s="844"/>
      <c r="K44" s="844"/>
    </row>
    <row r="45" spans="3:11">
      <c r="C45" s="844"/>
      <c r="D45" s="844"/>
      <c r="E45" s="844"/>
      <c r="F45" s="844"/>
      <c r="G45" s="844"/>
      <c r="H45" s="844"/>
      <c r="I45" s="844"/>
      <c r="J45" s="844"/>
      <c r="K45" s="844"/>
    </row>
    <row r="46" spans="3:11">
      <c r="C46" s="844"/>
      <c r="D46" s="844"/>
      <c r="E46" s="844"/>
      <c r="F46" s="844"/>
      <c r="G46" s="844"/>
      <c r="H46" s="844"/>
      <c r="I46" s="844"/>
      <c r="J46" s="844"/>
      <c r="K46" s="844"/>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showGridLines="0" zoomScale="80" zoomScaleNormal="80" workbookViewId="0">
      <pane xSplit="1" ySplit="3" topLeftCell="B4"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9"/>
    <col min="17" max="17" width="44.140625" style="19" customWidth="1"/>
    <col min="18" max="16384" width="9.140625" style="19"/>
  </cols>
  <sheetData>
    <row r="1" spans="1:17" ht="15">
      <c r="A1" s="415" t="s">
        <v>717</v>
      </c>
      <c r="B1" s="452" t="str">
        <f>'Info '!C2</f>
        <v>JSC Cartu Bank</v>
      </c>
      <c r="C1" s="452"/>
      <c r="D1" s="452"/>
      <c r="E1" s="452"/>
      <c r="F1" s="452"/>
      <c r="G1" s="452"/>
      <c r="H1" s="452"/>
      <c r="I1" s="452"/>
      <c r="J1" s="452"/>
      <c r="K1" s="452"/>
      <c r="L1" s="452"/>
      <c r="M1" s="452"/>
      <c r="N1" s="452"/>
      <c r="O1" s="137"/>
      <c r="P1" s="137"/>
      <c r="Q1" s="137"/>
    </row>
    <row r="2" spans="1:17" ht="14.25" customHeight="1">
      <c r="A2" s="452" t="s">
        <v>718</v>
      </c>
      <c r="B2" s="535">
        <f>'1. key ratios '!B2</f>
        <v>45747</v>
      </c>
      <c r="C2" s="452"/>
      <c r="D2" s="452"/>
      <c r="E2" s="452"/>
      <c r="F2" s="452"/>
      <c r="G2" s="452"/>
      <c r="H2" s="452"/>
      <c r="I2" s="452"/>
      <c r="J2" s="452"/>
      <c r="K2" s="452"/>
      <c r="L2" s="452"/>
      <c r="M2" s="452"/>
      <c r="N2" s="452"/>
      <c r="O2" s="137"/>
      <c r="P2" s="137"/>
      <c r="Q2" s="137"/>
    </row>
    <row r="3" spans="1:17" ht="14.25" customHeight="1">
      <c r="A3" s="452"/>
      <c r="B3" s="137"/>
      <c r="C3" s="137"/>
      <c r="D3" s="137"/>
      <c r="E3" s="137"/>
      <c r="F3" s="137"/>
      <c r="G3" s="137"/>
      <c r="H3" s="137"/>
      <c r="I3" s="137"/>
      <c r="J3" s="137"/>
      <c r="K3" s="137"/>
      <c r="L3" s="137"/>
      <c r="M3" s="137"/>
      <c r="N3" s="137"/>
      <c r="O3" s="137"/>
      <c r="P3" s="137"/>
      <c r="Q3" s="137"/>
    </row>
    <row r="4" spans="1:17" ht="15">
      <c r="A4" s="452"/>
      <c r="B4" s="489" t="s">
        <v>719</v>
      </c>
      <c r="C4" s="137"/>
      <c r="D4" s="137"/>
      <c r="E4" s="137"/>
      <c r="F4" s="137"/>
      <c r="G4" s="137"/>
      <c r="H4" s="137"/>
      <c r="I4" s="137"/>
      <c r="J4" s="137"/>
      <c r="K4" s="137"/>
      <c r="L4" s="137"/>
      <c r="M4" s="137"/>
      <c r="N4" s="137"/>
      <c r="O4" s="137"/>
      <c r="P4" s="137"/>
      <c r="Q4" s="137"/>
    </row>
    <row r="5" spans="1:17" ht="60">
      <c r="A5" s="452"/>
      <c r="B5" s="490" t="s">
        <v>720</v>
      </c>
      <c r="C5" s="491" t="s">
        <v>721</v>
      </c>
      <c r="D5" s="491" t="s">
        <v>722</v>
      </c>
      <c r="E5" s="491" t="s">
        <v>723</v>
      </c>
      <c r="F5" s="491" t="s">
        <v>724</v>
      </c>
      <c r="G5" s="491" t="s">
        <v>725</v>
      </c>
      <c r="H5" s="491" t="s">
        <v>726</v>
      </c>
      <c r="I5" s="492" t="s">
        <v>727</v>
      </c>
      <c r="J5" s="493">
        <v>0.02</v>
      </c>
      <c r="K5" s="493">
        <v>0.2</v>
      </c>
      <c r="L5" s="493">
        <v>0.35</v>
      </c>
      <c r="M5" s="493">
        <v>0.5</v>
      </c>
      <c r="N5" s="493">
        <v>0.75</v>
      </c>
      <c r="O5" s="493">
        <v>1</v>
      </c>
      <c r="P5" s="493">
        <v>1.5</v>
      </c>
      <c r="Q5" s="494" t="s">
        <v>728</v>
      </c>
    </row>
    <row r="6" spans="1:17" ht="15.75">
      <c r="A6" s="452"/>
      <c r="B6" s="495"/>
      <c r="C6" s="496" t="b">
        <f>IF(C7&gt;0,C7,IF(C8&gt;0,C8,IF(C9&gt;0,C9)))</f>
        <v>0</v>
      </c>
      <c r="D6" s="496" t="b">
        <f t="shared" ref="D6:Q6" si="0">IF(D7&gt;0,D7,IF(D8&gt;0,D8,IF(D9&gt;0,D9)))</f>
        <v>0</v>
      </c>
      <c r="E6" s="496" t="b">
        <f t="shared" si="0"/>
        <v>0</v>
      </c>
      <c r="F6" s="496" t="b">
        <f t="shared" si="0"/>
        <v>0</v>
      </c>
      <c r="G6" s="496" t="b">
        <f t="shared" si="0"/>
        <v>0</v>
      </c>
      <c r="H6" s="496"/>
      <c r="I6" s="496" t="b">
        <f t="shared" si="0"/>
        <v>0</v>
      </c>
      <c r="J6" s="496" t="b">
        <f t="shared" si="0"/>
        <v>0</v>
      </c>
      <c r="K6" s="496" t="b">
        <f t="shared" si="0"/>
        <v>0</v>
      </c>
      <c r="L6" s="496" t="b">
        <f t="shared" si="0"/>
        <v>0</v>
      </c>
      <c r="M6" s="496" t="b">
        <f t="shared" si="0"/>
        <v>0</v>
      </c>
      <c r="N6" s="496" t="b">
        <f t="shared" si="0"/>
        <v>0</v>
      </c>
      <c r="O6" s="496" t="b">
        <f t="shared" si="0"/>
        <v>0</v>
      </c>
      <c r="P6" s="496" t="b">
        <f t="shared" si="0"/>
        <v>0</v>
      </c>
      <c r="Q6" s="496" t="b">
        <f t="shared" si="0"/>
        <v>0</v>
      </c>
    </row>
    <row r="7" spans="1:17" ht="15.75">
      <c r="A7" s="452"/>
      <c r="B7" s="497" t="s">
        <v>729</v>
      </c>
      <c r="C7" s="496">
        <f>C11+C15+C19+C23+C27+C31</f>
        <v>0</v>
      </c>
      <c r="D7" s="496"/>
      <c r="E7" s="496"/>
      <c r="F7" s="496">
        <f t="shared" ref="F7:G9" si="1">F11+F15+F19+F23+F27+F31</f>
        <v>0</v>
      </c>
      <c r="G7" s="496">
        <f t="shared" si="1"/>
        <v>0</v>
      </c>
      <c r="H7" s="498">
        <v>1.4</v>
      </c>
      <c r="I7" s="499">
        <f t="shared" ref="I7:I33" si="2">(F7+G7)*H7</f>
        <v>0</v>
      </c>
      <c r="J7" s="496">
        <f>J11+J15+J19+J23+J27+J31</f>
        <v>0</v>
      </c>
      <c r="K7" s="496">
        <f t="shared" ref="J7:Q9" si="3">K11+K15+K19+K23+K27+K31</f>
        <v>0</v>
      </c>
      <c r="L7" s="496">
        <f t="shared" si="3"/>
        <v>0</v>
      </c>
      <c r="M7" s="496">
        <f t="shared" si="3"/>
        <v>0</v>
      </c>
      <c r="N7" s="496">
        <f t="shared" si="3"/>
        <v>0</v>
      </c>
      <c r="O7" s="496">
        <f t="shared" si="3"/>
        <v>0</v>
      </c>
      <c r="P7" s="496">
        <f t="shared" si="3"/>
        <v>0</v>
      </c>
      <c r="Q7" s="496">
        <f>Q11+Q15+Q19+Q23+Q27+Q31</f>
        <v>0</v>
      </c>
    </row>
    <row r="8" spans="1:17" ht="15.75">
      <c r="A8" s="452"/>
      <c r="B8" s="497" t="s">
        <v>730</v>
      </c>
      <c r="C8" s="496">
        <f>C12+C16+C20+C24+C28+C32</f>
        <v>0</v>
      </c>
      <c r="D8" s="496"/>
      <c r="E8" s="496"/>
      <c r="F8" s="496">
        <f t="shared" si="1"/>
        <v>0</v>
      </c>
      <c r="G8" s="496">
        <f t="shared" si="1"/>
        <v>0</v>
      </c>
      <c r="H8" s="498">
        <v>1.4</v>
      </c>
      <c r="I8" s="499">
        <f t="shared" si="2"/>
        <v>0</v>
      </c>
      <c r="J8" s="496">
        <f t="shared" si="3"/>
        <v>0</v>
      </c>
      <c r="K8" s="496">
        <f t="shared" si="3"/>
        <v>0</v>
      </c>
      <c r="L8" s="496">
        <f t="shared" si="3"/>
        <v>0</v>
      </c>
      <c r="M8" s="496">
        <f t="shared" si="3"/>
        <v>0</v>
      </c>
      <c r="N8" s="496">
        <f t="shared" si="3"/>
        <v>0</v>
      </c>
      <c r="O8" s="496">
        <f t="shared" si="3"/>
        <v>0</v>
      </c>
      <c r="P8" s="496">
        <f t="shared" si="3"/>
        <v>0</v>
      </c>
      <c r="Q8" s="496">
        <f>Q12+Q16+Q20+Q24+Q28+Q32</f>
        <v>0</v>
      </c>
    </row>
    <row r="9" spans="1:17" ht="15.75">
      <c r="A9" s="452"/>
      <c r="B9" s="497" t="s">
        <v>737</v>
      </c>
      <c r="C9" s="496">
        <f>C13+C17+C21+C25+C29+C33</f>
        <v>0</v>
      </c>
      <c r="D9" s="496"/>
      <c r="E9" s="496"/>
      <c r="F9" s="496">
        <f t="shared" si="1"/>
        <v>0</v>
      </c>
      <c r="G9" s="496">
        <f t="shared" si="1"/>
        <v>0</v>
      </c>
      <c r="H9" s="498">
        <v>1.4</v>
      </c>
      <c r="I9" s="499">
        <f t="shared" si="2"/>
        <v>0</v>
      </c>
      <c r="J9" s="496">
        <f t="shared" si="3"/>
        <v>0</v>
      </c>
      <c r="K9" s="496">
        <f t="shared" si="3"/>
        <v>0</v>
      </c>
      <c r="L9" s="496">
        <f t="shared" si="3"/>
        <v>0</v>
      </c>
      <c r="M9" s="496">
        <f t="shared" si="3"/>
        <v>0</v>
      </c>
      <c r="N9" s="496">
        <f t="shared" si="3"/>
        <v>0</v>
      </c>
      <c r="O9" s="496">
        <f t="shared" si="3"/>
        <v>0</v>
      </c>
      <c r="P9" s="496">
        <f t="shared" si="3"/>
        <v>0</v>
      </c>
      <c r="Q9" s="496">
        <f t="shared" si="3"/>
        <v>0</v>
      </c>
    </row>
    <row r="10" spans="1:17" ht="15.75">
      <c r="A10" s="452"/>
      <c r="B10" s="500" t="s">
        <v>731</v>
      </c>
      <c r="C10" s="501"/>
      <c r="D10" s="501"/>
      <c r="E10" s="501"/>
      <c r="F10" s="501"/>
      <c r="G10" s="501"/>
      <c r="H10" s="498">
        <v>1.4</v>
      </c>
      <c r="I10" s="499">
        <f t="shared" si="2"/>
        <v>0</v>
      </c>
      <c r="J10" s="502"/>
      <c r="K10" s="502"/>
      <c r="L10" s="502"/>
      <c r="M10" s="502"/>
      <c r="N10" s="502"/>
      <c r="O10" s="502"/>
      <c r="P10" s="502"/>
      <c r="Q10" s="496">
        <f>SUM(Q11:Q13)</f>
        <v>0</v>
      </c>
    </row>
    <row r="11" spans="1:17" ht="15.75">
      <c r="A11" s="452"/>
      <c r="B11" s="503" t="s">
        <v>729</v>
      </c>
      <c r="C11" s="501"/>
      <c r="D11" s="501"/>
      <c r="E11" s="501"/>
      <c r="F11" s="501"/>
      <c r="G11" s="501"/>
      <c r="H11" s="498">
        <v>1.4</v>
      </c>
      <c r="I11" s="499">
        <f t="shared" si="2"/>
        <v>0</v>
      </c>
      <c r="J11" s="502"/>
      <c r="K11" s="502"/>
      <c r="L11" s="502"/>
      <c r="M11" s="502"/>
      <c r="N11" s="502"/>
      <c r="O11" s="502"/>
      <c r="P11" s="502"/>
      <c r="Q11" s="496">
        <f>SUMPRODUCT($J$5:$P$5,J11:P11)</f>
        <v>0</v>
      </c>
    </row>
    <row r="12" spans="1:17" ht="15.75">
      <c r="A12" s="452"/>
      <c r="B12" s="503" t="s">
        <v>730</v>
      </c>
      <c r="C12" s="501"/>
      <c r="D12" s="501"/>
      <c r="E12" s="501"/>
      <c r="F12" s="501"/>
      <c r="G12" s="501"/>
      <c r="H12" s="498">
        <v>1.4</v>
      </c>
      <c r="I12" s="499">
        <f t="shared" si="2"/>
        <v>0</v>
      </c>
      <c r="J12" s="502"/>
      <c r="K12" s="502"/>
      <c r="L12" s="502"/>
      <c r="M12" s="502"/>
      <c r="N12" s="502"/>
      <c r="O12" s="502"/>
      <c r="P12" s="502"/>
      <c r="Q12" s="496">
        <f t="shared" ref="Q12:Q13" si="4">SUMPRODUCT($J$5:$P$5,J12:P12)</f>
        <v>0</v>
      </c>
    </row>
    <row r="13" spans="1:17" ht="15.75">
      <c r="A13" s="452"/>
      <c r="B13" s="503" t="s">
        <v>737</v>
      </c>
      <c r="C13" s="501"/>
      <c r="D13" s="501"/>
      <c r="E13" s="501"/>
      <c r="F13" s="501"/>
      <c r="G13" s="501"/>
      <c r="H13" s="498">
        <v>1.4</v>
      </c>
      <c r="I13" s="499">
        <f t="shared" si="2"/>
        <v>0</v>
      </c>
      <c r="J13" s="502"/>
      <c r="K13" s="502"/>
      <c r="L13" s="502"/>
      <c r="M13" s="502"/>
      <c r="N13" s="502"/>
      <c r="O13" s="502"/>
      <c r="P13" s="502"/>
      <c r="Q13" s="496">
        <f t="shared" si="4"/>
        <v>0</v>
      </c>
    </row>
    <row r="14" spans="1:17" ht="15.75">
      <c r="A14" s="452"/>
      <c r="B14" s="500" t="s">
        <v>732</v>
      </c>
      <c r="C14" s="501"/>
      <c r="D14" s="501"/>
      <c r="E14" s="501"/>
      <c r="F14" s="501"/>
      <c r="G14" s="501"/>
      <c r="H14" s="498">
        <v>1.4</v>
      </c>
      <c r="I14" s="499">
        <f t="shared" si="2"/>
        <v>0</v>
      </c>
      <c r="J14" s="502"/>
      <c r="K14" s="502"/>
      <c r="L14" s="502"/>
      <c r="M14" s="502"/>
      <c r="N14" s="502"/>
      <c r="O14" s="502"/>
      <c r="P14" s="502"/>
      <c r="Q14" s="496">
        <f>SUM(Q15:Q17)</f>
        <v>0</v>
      </c>
    </row>
    <row r="15" spans="1:17" ht="15.75">
      <c r="A15" s="452"/>
      <c r="B15" s="503" t="s">
        <v>729</v>
      </c>
      <c r="C15" s="501"/>
      <c r="D15" s="501"/>
      <c r="E15" s="501"/>
      <c r="F15" s="501"/>
      <c r="G15" s="501"/>
      <c r="H15" s="498">
        <v>1.4</v>
      </c>
      <c r="I15" s="499">
        <f t="shared" si="2"/>
        <v>0</v>
      </c>
      <c r="J15" s="502"/>
      <c r="K15" s="502"/>
      <c r="L15" s="502"/>
      <c r="M15" s="502"/>
      <c r="N15" s="502"/>
      <c r="O15" s="502"/>
      <c r="P15" s="502"/>
      <c r="Q15" s="496">
        <f>SUMPRODUCT($J$5:$P$5,J15:P15)</f>
        <v>0</v>
      </c>
    </row>
    <row r="16" spans="1:17" ht="15.75">
      <c r="A16" s="452"/>
      <c r="B16" s="503" t="s">
        <v>730</v>
      </c>
      <c r="C16" s="501"/>
      <c r="D16" s="501"/>
      <c r="E16" s="501"/>
      <c r="F16" s="501"/>
      <c r="G16" s="501"/>
      <c r="H16" s="498">
        <v>1.4</v>
      </c>
      <c r="I16" s="499">
        <f t="shared" si="2"/>
        <v>0</v>
      </c>
      <c r="J16" s="502"/>
      <c r="K16" s="502"/>
      <c r="L16" s="502"/>
      <c r="M16" s="502"/>
      <c r="N16" s="502"/>
      <c r="O16" s="502"/>
      <c r="P16" s="502"/>
      <c r="Q16" s="496">
        <f t="shared" ref="Q16:Q17" si="5">SUMPRODUCT($J$5:$P$5,J16:P16)</f>
        <v>0</v>
      </c>
    </row>
    <row r="17" spans="1:17" ht="15.75">
      <c r="A17" s="452"/>
      <c r="B17" s="503" t="s">
        <v>737</v>
      </c>
      <c r="C17" s="501"/>
      <c r="D17" s="501"/>
      <c r="E17" s="501"/>
      <c r="F17" s="501"/>
      <c r="G17" s="501"/>
      <c r="H17" s="498">
        <v>1.4</v>
      </c>
      <c r="I17" s="499">
        <f t="shared" si="2"/>
        <v>0</v>
      </c>
      <c r="J17" s="502"/>
      <c r="K17" s="502"/>
      <c r="L17" s="502"/>
      <c r="M17" s="502"/>
      <c r="N17" s="502"/>
      <c r="O17" s="502"/>
      <c r="P17" s="502"/>
      <c r="Q17" s="496">
        <f t="shared" si="5"/>
        <v>0</v>
      </c>
    </row>
    <row r="18" spans="1:17" ht="15.75">
      <c r="A18" s="452"/>
      <c r="B18" s="500" t="s">
        <v>733</v>
      </c>
      <c r="C18" s="501"/>
      <c r="D18" s="501"/>
      <c r="E18" s="501"/>
      <c r="F18" s="501"/>
      <c r="G18" s="501"/>
      <c r="H18" s="498">
        <v>1.4</v>
      </c>
      <c r="I18" s="499">
        <f t="shared" si="2"/>
        <v>0</v>
      </c>
      <c r="J18" s="502"/>
      <c r="K18" s="502"/>
      <c r="L18" s="502"/>
      <c r="M18" s="502"/>
      <c r="N18" s="502"/>
      <c r="O18" s="502"/>
      <c r="P18" s="502"/>
      <c r="Q18" s="496">
        <f>SUM(Q19:Q21)</f>
        <v>0</v>
      </c>
    </row>
    <row r="19" spans="1:17" ht="15.75">
      <c r="A19" s="452"/>
      <c r="B19" s="503" t="s">
        <v>729</v>
      </c>
      <c r="C19" s="501"/>
      <c r="D19" s="501"/>
      <c r="E19" s="501"/>
      <c r="F19" s="501"/>
      <c r="G19" s="501"/>
      <c r="H19" s="498">
        <v>1.4</v>
      </c>
      <c r="I19" s="499">
        <f t="shared" si="2"/>
        <v>0</v>
      </c>
      <c r="J19" s="502"/>
      <c r="K19" s="502"/>
      <c r="L19" s="502"/>
      <c r="M19" s="502"/>
      <c r="N19" s="502"/>
      <c r="O19" s="502"/>
      <c r="P19" s="502"/>
      <c r="Q19" s="496">
        <f>SUMPRODUCT($J$5:$P$5,J19:P19)</f>
        <v>0</v>
      </c>
    </row>
    <row r="20" spans="1:17" ht="15.75">
      <c r="A20" s="452"/>
      <c r="B20" s="503" t="s">
        <v>730</v>
      </c>
      <c r="C20" s="501"/>
      <c r="D20" s="501"/>
      <c r="E20" s="501"/>
      <c r="F20" s="501"/>
      <c r="G20" s="501"/>
      <c r="H20" s="498">
        <v>1.4</v>
      </c>
      <c r="I20" s="499">
        <f t="shared" si="2"/>
        <v>0</v>
      </c>
      <c r="J20" s="502"/>
      <c r="K20" s="502"/>
      <c r="L20" s="502"/>
      <c r="M20" s="502"/>
      <c r="N20" s="502"/>
      <c r="O20" s="502"/>
      <c r="P20" s="502"/>
      <c r="Q20" s="496">
        <f t="shared" ref="Q20:Q21" si="6">SUMPRODUCT($J$5:$P$5,J20:P20)</f>
        <v>0</v>
      </c>
    </row>
    <row r="21" spans="1:17" ht="15.75">
      <c r="A21" s="452"/>
      <c r="B21" s="503" t="s">
        <v>737</v>
      </c>
      <c r="C21" s="501"/>
      <c r="D21" s="501"/>
      <c r="E21" s="501"/>
      <c r="F21" s="501"/>
      <c r="G21" s="501"/>
      <c r="H21" s="498">
        <v>1.4</v>
      </c>
      <c r="I21" s="499">
        <f t="shared" si="2"/>
        <v>0</v>
      </c>
      <c r="J21" s="502"/>
      <c r="K21" s="502"/>
      <c r="L21" s="502"/>
      <c r="M21" s="502"/>
      <c r="N21" s="502"/>
      <c r="O21" s="502"/>
      <c r="P21" s="502"/>
      <c r="Q21" s="496">
        <f t="shared" si="6"/>
        <v>0</v>
      </c>
    </row>
    <row r="22" spans="1:17" ht="15.75">
      <c r="A22" s="452"/>
      <c r="B22" s="500" t="s">
        <v>734</v>
      </c>
      <c r="C22" s="501"/>
      <c r="D22" s="501"/>
      <c r="E22" s="501"/>
      <c r="F22" s="501"/>
      <c r="G22" s="501"/>
      <c r="H22" s="498">
        <v>1.4</v>
      </c>
      <c r="I22" s="499">
        <f t="shared" si="2"/>
        <v>0</v>
      </c>
      <c r="J22" s="502"/>
      <c r="K22" s="502"/>
      <c r="L22" s="502"/>
      <c r="M22" s="502"/>
      <c r="N22" s="502"/>
      <c r="O22" s="502"/>
      <c r="P22" s="502"/>
      <c r="Q22" s="496">
        <f>SUM(Q23:Q25)</f>
        <v>0</v>
      </c>
    </row>
    <row r="23" spans="1:17" ht="15.75">
      <c r="A23" s="452"/>
      <c r="B23" s="503" t="s">
        <v>729</v>
      </c>
      <c r="C23" s="501"/>
      <c r="D23" s="501"/>
      <c r="E23" s="501"/>
      <c r="F23" s="501"/>
      <c r="G23" s="501"/>
      <c r="H23" s="498">
        <v>1.4</v>
      </c>
      <c r="I23" s="499">
        <f t="shared" si="2"/>
        <v>0</v>
      </c>
      <c r="J23" s="502"/>
      <c r="K23" s="502"/>
      <c r="L23" s="502"/>
      <c r="M23" s="502"/>
      <c r="N23" s="502"/>
      <c r="O23" s="502"/>
      <c r="P23" s="502"/>
      <c r="Q23" s="496">
        <f>SUMPRODUCT($J$5:$P$5,J23:P23)</f>
        <v>0</v>
      </c>
    </row>
    <row r="24" spans="1:17" ht="15.75">
      <c r="A24" s="452"/>
      <c r="B24" s="503" t="s">
        <v>730</v>
      </c>
      <c r="C24" s="501"/>
      <c r="D24" s="501"/>
      <c r="E24" s="501"/>
      <c r="F24" s="501"/>
      <c r="G24" s="501"/>
      <c r="H24" s="498">
        <v>1.4</v>
      </c>
      <c r="I24" s="499">
        <f t="shared" si="2"/>
        <v>0</v>
      </c>
      <c r="J24" s="502"/>
      <c r="K24" s="502"/>
      <c r="L24" s="502"/>
      <c r="M24" s="502"/>
      <c r="N24" s="502"/>
      <c r="O24" s="502"/>
      <c r="P24" s="502"/>
      <c r="Q24" s="496">
        <f t="shared" ref="Q24:Q25" si="7">SUMPRODUCT($J$5:$P$5,J24:P24)</f>
        <v>0</v>
      </c>
    </row>
    <row r="25" spans="1:17" ht="15.75">
      <c r="A25" s="452"/>
      <c r="B25" s="503" t="s">
        <v>737</v>
      </c>
      <c r="C25" s="501"/>
      <c r="D25" s="501"/>
      <c r="E25" s="501"/>
      <c r="F25" s="501"/>
      <c r="G25" s="501"/>
      <c r="H25" s="498">
        <v>1.4</v>
      </c>
      <c r="I25" s="499">
        <f t="shared" si="2"/>
        <v>0</v>
      </c>
      <c r="J25" s="502"/>
      <c r="K25" s="502"/>
      <c r="L25" s="502"/>
      <c r="M25" s="502"/>
      <c r="N25" s="502"/>
      <c r="O25" s="502"/>
      <c r="P25" s="502"/>
      <c r="Q25" s="496">
        <f t="shared" si="7"/>
        <v>0</v>
      </c>
    </row>
    <row r="26" spans="1:17" ht="15.75">
      <c r="A26" s="452"/>
      <c r="B26" s="500" t="s">
        <v>735</v>
      </c>
      <c r="C26" s="501"/>
      <c r="D26" s="501"/>
      <c r="E26" s="501"/>
      <c r="F26" s="501"/>
      <c r="G26" s="501"/>
      <c r="H26" s="498">
        <v>1.4</v>
      </c>
      <c r="I26" s="499">
        <f t="shared" si="2"/>
        <v>0</v>
      </c>
      <c r="J26" s="502"/>
      <c r="K26" s="502"/>
      <c r="L26" s="502"/>
      <c r="M26" s="502"/>
      <c r="N26" s="502"/>
      <c r="O26" s="502"/>
      <c r="P26" s="502"/>
      <c r="Q26" s="496">
        <f>SUM(Q27:Q29)</f>
        <v>0</v>
      </c>
    </row>
    <row r="27" spans="1:17" ht="15.75">
      <c r="A27" s="452"/>
      <c r="B27" s="503" t="s">
        <v>729</v>
      </c>
      <c r="C27" s="501"/>
      <c r="D27" s="501"/>
      <c r="E27" s="501"/>
      <c r="F27" s="501"/>
      <c r="G27" s="501"/>
      <c r="H27" s="498">
        <v>1.4</v>
      </c>
      <c r="I27" s="499">
        <f t="shared" si="2"/>
        <v>0</v>
      </c>
      <c r="J27" s="502"/>
      <c r="K27" s="502"/>
      <c r="L27" s="502"/>
      <c r="M27" s="502"/>
      <c r="N27" s="502"/>
      <c r="O27" s="502"/>
      <c r="P27" s="502"/>
      <c r="Q27" s="496">
        <f>SUMPRODUCT($J$5:$P$5,J27:P27)</f>
        <v>0</v>
      </c>
    </row>
    <row r="28" spans="1:17" ht="15.75">
      <c r="A28" s="452"/>
      <c r="B28" s="503" t="s">
        <v>730</v>
      </c>
      <c r="C28" s="501"/>
      <c r="D28" s="501"/>
      <c r="E28" s="501"/>
      <c r="F28" s="501"/>
      <c r="G28" s="501"/>
      <c r="H28" s="498">
        <v>1.4</v>
      </c>
      <c r="I28" s="499">
        <f t="shared" si="2"/>
        <v>0</v>
      </c>
      <c r="J28" s="502"/>
      <c r="K28" s="502"/>
      <c r="L28" s="502"/>
      <c r="M28" s="502"/>
      <c r="N28" s="502"/>
      <c r="O28" s="502"/>
      <c r="P28" s="502"/>
      <c r="Q28" s="496">
        <f t="shared" ref="Q28:Q29" si="8">SUMPRODUCT($J$5:$P$5,J28:P28)</f>
        <v>0</v>
      </c>
    </row>
    <row r="29" spans="1:17" ht="15.75">
      <c r="A29" s="452"/>
      <c r="B29" s="503" t="s">
        <v>737</v>
      </c>
      <c r="C29" s="501"/>
      <c r="D29" s="501"/>
      <c r="E29" s="501"/>
      <c r="F29" s="501"/>
      <c r="G29" s="501"/>
      <c r="H29" s="498">
        <v>1.4</v>
      </c>
      <c r="I29" s="499">
        <f t="shared" si="2"/>
        <v>0</v>
      </c>
      <c r="J29" s="502"/>
      <c r="K29" s="502"/>
      <c r="L29" s="502"/>
      <c r="M29" s="502"/>
      <c r="N29" s="502"/>
      <c r="O29" s="502"/>
      <c r="P29" s="502"/>
      <c r="Q29" s="496">
        <f t="shared" si="8"/>
        <v>0</v>
      </c>
    </row>
    <row r="30" spans="1:17" ht="15.75">
      <c r="A30" s="452"/>
      <c r="B30" s="504" t="s">
        <v>736</v>
      </c>
      <c r="C30" s="501"/>
      <c r="D30" s="501"/>
      <c r="E30" s="501"/>
      <c r="F30" s="501"/>
      <c r="G30" s="501"/>
      <c r="H30" s="498">
        <v>1.4</v>
      </c>
      <c r="I30" s="499">
        <f t="shared" si="2"/>
        <v>0</v>
      </c>
      <c r="J30" s="502"/>
      <c r="K30" s="502"/>
      <c r="L30" s="502"/>
      <c r="M30" s="502"/>
      <c r="N30" s="502"/>
      <c r="O30" s="502"/>
      <c r="P30" s="502"/>
      <c r="Q30" s="496">
        <f>SUM(Q31:Q33)</f>
        <v>0</v>
      </c>
    </row>
    <row r="31" spans="1:17" ht="15.75">
      <c r="A31" s="452"/>
      <c r="B31" s="503" t="s">
        <v>729</v>
      </c>
      <c r="C31" s="501"/>
      <c r="D31" s="501"/>
      <c r="E31" s="501"/>
      <c r="F31" s="501"/>
      <c r="G31" s="501"/>
      <c r="H31" s="498">
        <v>1.4</v>
      </c>
      <c r="I31" s="499">
        <f t="shared" si="2"/>
        <v>0</v>
      </c>
      <c r="J31" s="502"/>
      <c r="K31" s="502"/>
      <c r="L31" s="502"/>
      <c r="M31" s="502"/>
      <c r="N31" s="502"/>
      <c r="O31" s="502"/>
      <c r="P31" s="502"/>
      <c r="Q31" s="496">
        <f>SUMPRODUCT($J$5:$P$5,J31:P31)</f>
        <v>0</v>
      </c>
    </row>
    <row r="32" spans="1:17" ht="15.75">
      <c r="A32" s="452"/>
      <c r="B32" s="503" t="s">
        <v>730</v>
      </c>
      <c r="C32" s="501"/>
      <c r="D32" s="501"/>
      <c r="E32" s="501"/>
      <c r="F32" s="501"/>
      <c r="G32" s="501"/>
      <c r="H32" s="498">
        <v>1.4</v>
      </c>
      <c r="I32" s="499">
        <f t="shared" si="2"/>
        <v>0</v>
      </c>
      <c r="J32" s="502"/>
      <c r="K32" s="502"/>
      <c r="L32" s="502"/>
      <c r="M32" s="502"/>
      <c r="N32" s="502"/>
      <c r="O32" s="502"/>
      <c r="P32" s="502"/>
      <c r="Q32" s="496">
        <f t="shared" ref="Q32:Q33" si="9">SUMPRODUCT($J$5:$P$5,J32:P32)</f>
        <v>0</v>
      </c>
    </row>
    <row r="33" spans="1:17" ht="15.75">
      <c r="A33" s="452"/>
      <c r="B33" s="503" t="s">
        <v>737</v>
      </c>
      <c r="C33" s="501"/>
      <c r="D33" s="501"/>
      <c r="E33" s="501"/>
      <c r="F33" s="501"/>
      <c r="G33" s="501"/>
      <c r="H33" s="498">
        <v>1.4</v>
      </c>
      <c r="I33" s="499">
        <f t="shared" si="2"/>
        <v>0</v>
      </c>
      <c r="J33" s="502"/>
      <c r="K33" s="502"/>
      <c r="L33" s="502"/>
      <c r="M33" s="502"/>
      <c r="N33" s="502"/>
      <c r="O33" s="502"/>
      <c r="P33" s="502"/>
      <c r="Q33" s="496">
        <f t="shared" si="9"/>
        <v>0</v>
      </c>
    </row>
    <row r="34" spans="1:17" ht="15.75">
      <c r="A34" s="452"/>
      <c r="B34" s="505" t="s">
        <v>64</v>
      </c>
      <c r="C34" s="506" t="b">
        <f>C6</f>
        <v>0</v>
      </c>
      <c r="D34" s="506" t="b">
        <f t="shared" ref="D34:G34" si="10">D6</f>
        <v>0</v>
      </c>
      <c r="E34" s="506" t="b">
        <f t="shared" si="10"/>
        <v>0</v>
      </c>
      <c r="F34" s="506" t="b">
        <f t="shared" si="10"/>
        <v>0</v>
      </c>
      <c r="G34" s="506" t="b">
        <f t="shared" si="10"/>
        <v>0</v>
      </c>
      <c r="H34" s="498">
        <v>1.4</v>
      </c>
      <c r="I34" s="499">
        <f>(F34+G34)*H34</f>
        <v>0</v>
      </c>
      <c r="J34" s="506" t="b">
        <f t="shared" ref="J34:Q34" si="11">J6</f>
        <v>0</v>
      </c>
      <c r="K34" s="506" t="b">
        <f t="shared" si="11"/>
        <v>0</v>
      </c>
      <c r="L34" s="506" t="b">
        <f t="shared" si="11"/>
        <v>0</v>
      </c>
      <c r="M34" s="506" t="b">
        <f t="shared" si="11"/>
        <v>0</v>
      </c>
      <c r="N34" s="506" t="b">
        <f t="shared" si="11"/>
        <v>0</v>
      </c>
      <c r="O34" s="506" t="b">
        <f t="shared" si="11"/>
        <v>0</v>
      </c>
      <c r="P34" s="506" t="b">
        <f t="shared" si="11"/>
        <v>0</v>
      </c>
      <c r="Q34" s="506"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O55"/>
  <sheetViews>
    <sheetView showGridLines="0"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140625" defaultRowHeight="14.25"/>
  <cols>
    <col min="1" max="1" width="9.5703125" style="3" bestFit="1" customWidth="1"/>
    <col min="2" max="2" width="86" style="3" customWidth="1"/>
    <col min="3" max="3" width="14.28515625" style="3" bestFit="1" customWidth="1"/>
    <col min="4" max="7" width="14.28515625" style="4" bestFit="1" customWidth="1"/>
    <col min="8" max="8" width="9.140625" style="5" customWidth="1"/>
    <col min="9" max="12" width="9.140625" style="5"/>
    <col min="13" max="13" width="6.85546875" style="5" customWidth="1"/>
    <col min="14" max="16384" width="9.140625" style="5"/>
  </cols>
  <sheetData>
    <row r="1" spans="1:15">
      <c r="A1" s="2" t="s">
        <v>30</v>
      </c>
      <c r="B1" s="3" t="str">
        <f>'Info '!C2</f>
        <v>JSC Cartu Bank</v>
      </c>
    </row>
    <row r="2" spans="1:15">
      <c r="A2" s="2" t="s">
        <v>31</v>
      </c>
      <c r="B2" s="532">
        <v>45747</v>
      </c>
    </row>
    <row r="3" spans="1:15" ht="15" thickBot="1">
      <c r="A3" s="2"/>
    </row>
    <row r="4" spans="1:15" ht="15" customHeight="1" thickBot="1">
      <c r="A4" s="6" t="s">
        <v>93</v>
      </c>
      <c r="B4" s="7" t="s">
        <v>92</v>
      </c>
      <c r="C4" s="7"/>
      <c r="D4" s="707" t="s">
        <v>664</v>
      </c>
      <c r="E4" s="708"/>
      <c r="F4" s="708"/>
      <c r="G4" s="709"/>
    </row>
    <row r="5" spans="1:15">
      <c r="A5" s="8" t="s">
        <v>6</v>
      </c>
      <c r="B5" s="9"/>
      <c r="C5" s="221" t="str">
        <f>INT((MONTH($B$2))/3)&amp;"Q"&amp;"-"&amp;YEAR($B$2)</f>
        <v>1Q-2025</v>
      </c>
      <c r="D5" s="221" t="str">
        <f>IF(INT(MONTH($B$2))=3, "4"&amp;"Q"&amp;"-"&amp;YEAR($B$2)-1, IF(INT(MONTH($B$2))=6, "1"&amp;"Q"&amp;"-"&amp;YEAR($B$2), IF(INT(MONTH($B$2))=9, "2"&amp;"Q"&amp;"-"&amp;YEAR($B$2),IF(INT(MONTH($B$2))=12, "3"&amp;"Q"&amp;"-"&amp;YEAR($B$2), 0))))</f>
        <v>4Q-2024</v>
      </c>
      <c r="E5" s="221" t="str">
        <f>IF(INT(MONTH($B$2))=3, "3"&amp;"Q"&amp;"-"&amp;YEAR($B$2)-1, IF(INT(MONTH($B$2))=6, "4"&amp;"Q"&amp;"-"&amp;YEAR($B$2)-1, IF(INT(MONTH($B$2))=9, "1"&amp;"Q"&amp;"-"&amp;YEAR($B$2),IF(INT(MONTH($B$2))=12, "2"&amp;"Q"&amp;"-"&amp;YEAR($B$2), 0))))</f>
        <v>3Q-2024</v>
      </c>
      <c r="F5" s="221" t="str">
        <f>IF(INT(MONTH($B$2))=3, "2"&amp;"Q"&amp;"-"&amp;YEAR($B$2)-1, IF(INT(MONTH($B$2))=6, "3"&amp;"Q"&amp;"-"&amp;YEAR($B$2)-1, IF(INT(MONTH($B$2))=9, "4"&amp;"Q"&amp;"-"&amp;YEAR($B$2)-1,IF(INT(MONTH($B$2))=12, "1"&amp;"Q"&amp;"-"&amp;YEAR($B$2), 0))))</f>
        <v>2Q-2024</v>
      </c>
      <c r="G5" s="222" t="str">
        <f>IF(INT(MONTH($B$2))=3, "1"&amp;"Q"&amp;"-"&amp;YEAR($B$2)-1, IF(INT(MONTH($B$2))=6, "2"&amp;"Q"&amp;"-"&amp;YEAR($B$2)-1, IF(INT(MONTH($B$2))=9, "3"&amp;"Q"&amp;"-"&amp;YEAR($B$2)-1,IF(INT(MONTH($B$2))=12, "4"&amp;"Q"&amp;"-"&amp;YEAR($B$2)-1, 0))))</f>
        <v>1Q-2024</v>
      </c>
    </row>
    <row r="6" spans="1:15">
      <c r="B6" s="102" t="s">
        <v>91</v>
      </c>
      <c r="C6" s="224"/>
      <c r="D6" s="224"/>
      <c r="E6" s="224"/>
      <c r="F6" s="224"/>
      <c r="G6" s="225"/>
    </row>
    <row r="7" spans="1:15">
      <c r="A7" s="10"/>
      <c r="B7" s="103" t="s">
        <v>89</v>
      </c>
      <c r="C7" s="224"/>
      <c r="D7" s="224"/>
      <c r="E7" s="224"/>
      <c r="F7" s="224"/>
      <c r="G7" s="225"/>
    </row>
    <row r="8" spans="1:15">
      <c r="A8" s="8">
        <v>1</v>
      </c>
      <c r="B8" s="11" t="s">
        <v>327</v>
      </c>
      <c r="C8" s="12">
        <v>418319570.88888454</v>
      </c>
      <c r="D8" s="13">
        <v>412586532.12407172</v>
      </c>
      <c r="E8" s="13">
        <v>403344352.85718989</v>
      </c>
      <c r="F8" s="13">
        <v>391791559.37544596</v>
      </c>
      <c r="G8" s="14">
        <v>385048994.53103387</v>
      </c>
      <c r="I8" s="551"/>
      <c r="J8" s="551"/>
      <c r="K8" s="551"/>
      <c r="L8" s="551"/>
      <c r="M8" s="551"/>
      <c r="N8" s="551"/>
      <c r="O8" s="551"/>
    </row>
    <row r="9" spans="1:15">
      <c r="A9" s="8">
        <v>2</v>
      </c>
      <c r="B9" s="11" t="s">
        <v>328</v>
      </c>
      <c r="C9" s="12">
        <v>493036670.88888454</v>
      </c>
      <c r="D9" s="13">
        <v>488370132.12407172</v>
      </c>
      <c r="E9" s="13">
        <v>478964516.38447112</v>
      </c>
      <c r="F9" s="13">
        <v>469582522.90272719</v>
      </c>
      <c r="G9" s="14">
        <v>459740358.0583151</v>
      </c>
      <c r="I9" s="551"/>
      <c r="J9" s="551"/>
      <c r="K9" s="551"/>
      <c r="L9" s="551"/>
      <c r="M9" s="551"/>
    </row>
    <row r="10" spans="1:15">
      <c r="A10" s="8">
        <v>3</v>
      </c>
      <c r="B10" s="11" t="s">
        <v>142</v>
      </c>
      <c r="C10" s="12">
        <v>509087010.88888454</v>
      </c>
      <c r="D10" s="13">
        <v>504649572.12407172</v>
      </c>
      <c r="E10" s="13">
        <v>498618356.38447112</v>
      </c>
      <c r="F10" s="13">
        <v>489815242.90272719</v>
      </c>
      <c r="G10" s="14">
        <v>481841818.0583151</v>
      </c>
      <c r="I10" s="551"/>
      <c r="J10" s="551"/>
      <c r="K10" s="551"/>
      <c r="L10" s="551"/>
      <c r="M10" s="551"/>
    </row>
    <row r="11" spans="1:15">
      <c r="A11" s="8">
        <v>4</v>
      </c>
      <c r="B11" s="11" t="s">
        <v>330</v>
      </c>
      <c r="C11" s="12">
        <v>299357890.43035549</v>
      </c>
      <c r="D11" s="13">
        <v>313388826.32111067</v>
      </c>
      <c r="E11" s="13">
        <v>301554927.07448804</v>
      </c>
      <c r="F11" s="13">
        <v>293827830.5881716</v>
      </c>
      <c r="G11" s="14">
        <v>289992921.27775925</v>
      </c>
      <c r="I11" s="551"/>
      <c r="J11" s="551"/>
      <c r="K11" s="551"/>
      <c r="L11" s="551"/>
      <c r="M11" s="551"/>
    </row>
    <row r="12" spans="1:15">
      <c r="A12" s="8">
        <v>5</v>
      </c>
      <c r="B12" s="11" t="s">
        <v>331</v>
      </c>
      <c r="C12" s="12">
        <v>359030017.90039587</v>
      </c>
      <c r="D12" s="13">
        <v>377261896.32778132</v>
      </c>
      <c r="E12" s="13">
        <v>358301919.15717971</v>
      </c>
      <c r="F12" s="13">
        <v>347261979.47127527</v>
      </c>
      <c r="G12" s="14">
        <v>342979091.85260135</v>
      </c>
      <c r="I12" s="551"/>
      <c r="J12" s="551"/>
      <c r="K12" s="551"/>
      <c r="L12" s="551"/>
      <c r="M12" s="551"/>
    </row>
    <row r="13" spans="1:15">
      <c r="A13" s="8">
        <v>6</v>
      </c>
      <c r="B13" s="11" t="s">
        <v>329</v>
      </c>
      <c r="C13" s="12">
        <v>438002182.08843654</v>
      </c>
      <c r="D13" s="13">
        <v>461809167.50389731</v>
      </c>
      <c r="E13" s="13">
        <v>433393117.01028091</v>
      </c>
      <c r="F13" s="13">
        <v>417975697.32150793</v>
      </c>
      <c r="G13" s="14">
        <v>413110099.14772004</v>
      </c>
      <c r="I13" s="551"/>
      <c r="J13" s="551"/>
      <c r="K13" s="551"/>
      <c r="L13" s="551"/>
      <c r="M13" s="551"/>
    </row>
    <row r="14" spans="1:15">
      <c r="A14" s="10"/>
      <c r="B14" s="102" t="s">
        <v>333</v>
      </c>
      <c r="C14" s="224"/>
      <c r="D14" s="224"/>
      <c r="E14" s="224"/>
      <c r="F14" s="224"/>
      <c r="G14" s="225"/>
      <c r="I14" s="551"/>
      <c r="J14" s="551"/>
      <c r="K14" s="551"/>
      <c r="L14" s="551"/>
      <c r="M14" s="551"/>
    </row>
    <row r="15" spans="1:15" ht="15" customHeight="1">
      <c r="A15" s="8">
        <v>7</v>
      </c>
      <c r="B15" s="11" t="s">
        <v>332</v>
      </c>
      <c r="C15" s="148">
        <v>1733586564.3527336</v>
      </c>
      <c r="D15" s="13">
        <v>1914280435.8874013</v>
      </c>
      <c r="E15" s="13">
        <v>1611591428.3261507</v>
      </c>
      <c r="F15" s="13">
        <v>1541383415.3659451</v>
      </c>
      <c r="G15" s="14">
        <v>1566974847.240495</v>
      </c>
      <c r="I15" s="551"/>
      <c r="J15" s="551"/>
      <c r="K15" s="551"/>
      <c r="L15" s="551"/>
      <c r="M15" s="551"/>
    </row>
    <row r="16" spans="1:15">
      <c r="A16" s="10"/>
      <c r="B16" s="102" t="s">
        <v>334</v>
      </c>
      <c r="C16" s="224"/>
      <c r="D16" s="224"/>
      <c r="E16" s="224"/>
      <c r="F16" s="224"/>
      <c r="G16" s="225"/>
      <c r="I16" s="551"/>
      <c r="J16" s="551"/>
      <c r="K16" s="551"/>
      <c r="L16" s="551"/>
      <c r="M16" s="551"/>
    </row>
    <row r="17" spans="1:13">
      <c r="A17" s="8"/>
      <c r="B17" s="103" t="s">
        <v>715</v>
      </c>
      <c r="C17" s="157"/>
      <c r="D17" s="157"/>
      <c r="E17" s="157"/>
      <c r="F17" s="157"/>
      <c r="G17" s="448"/>
      <c r="I17" s="551"/>
      <c r="J17" s="551"/>
      <c r="K17" s="551"/>
      <c r="L17" s="551"/>
      <c r="M17" s="551"/>
    </row>
    <row r="18" spans="1:13">
      <c r="A18" s="8">
        <v>8</v>
      </c>
      <c r="B18" s="11" t="s">
        <v>327</v>
      </c>
      <c r="C18" s="541">
        <v>0.24130296086199299</v>
      </c>
      <c r="D18" s="539">
        <v>0.21553087227410822</v>
      </c>
      <c r="E18" s="539">
        <v>0.250277052711875</v>
      </c>
      <c r="F18" s="539">
        <v>0.25418176650254759</v>
      </c>
      <c r="G18" s="540">
        <v>0.24572761662966094</v>
      </c>
      <c r="I18" s="551"/>
      <c r="J18" s="551"/>
      <c r="K18" s="551"/>
      <c r="L18" s="551"/>
      <c r="M18" s="551"/>
    </row>
    <row r="19" spans="1:13" ht="15" customHeight="1">
      <c r="A19" s="8">
        <v>9</v>
      </c>
      <c r="B19" s="11" t="s">
        <v>328</v>
      </c>
      <c r="C19" s="541">
        <v>0.28440268344659725</v>
      </c>
      <c r="D19" s="539">
        <v>0.25511942919569064</v>
      </c>
      <c r="E19" s="539">
        <v>0.29719971697909731</v>
      </c>
      <c r="F19" s="539">
        <v>0.30465004243687283</v>
      </c>
      <c r="G19" s="540">
        <v>0.29339357863206045</v>
      </c>
      <c r="I19" s="551"/>
      <c r="J19" s="551"/>
      <c r="K19" s="551"/>
      <c r="L19" s="551"/>
      <c r="M19" s="551"/>
    </row>
    <row r="20" spans="1:13">
      <c r="A20" s="8">
        <v>10</v>
      </c>
      <c r="B20" s="11" t="s">
        <v>142</v>
      </c>
      <c r="C20" s="541">
        <v>0.29366114237217888</v>
      </c>
      <c r="D20" s="539">
        <v>0.26362363771958613</v>
      </c>
      <c r="E20" s="539">
        <v>0.30939501639218309</v>
      </c>
      <c r="F20" s="539">
        <v>0.31777638063300329</v>
      </c>
      <c r="G20" s="540">
        <v>0.30749811900737123</v>
      </c>
      <c r="I20" s="551"/>
      <c r="J20" s="551"/>
      <c r="K20" s="551"/>
      <c r="L20" s="551"/>
      <c r="M20" s="551"/>
    </row>
    <row r="21" spans="1:13">
      <c r="A21" s="8">
        <v>11</v>
      </c>
      <c r="B21" s="11" t="s">
        <v>330</v>
      </c>
      <c r="C21" s="541">
        <v>0.17268124741271645</v>
      </c>
      <c r="D21" s="539">
        <v>0.16371103232627107</v>
      </c>
      <c r="E21" s="539">
        <v>0.18711623912500727</v>
      </c>
      <c r="F21" s="539">
        <v>0.19062604907969177</v>
      </c>
      <c r="G21" s="540">
        <v>0.18506546023278442</v>
      </c>
      <c r="I21" s="551"/>
      <c r="J21" s="551"/>
      <c r="K21" s="551"/>
      <c r="L21" s="551"/>
      <c r="M21" s="551"/>
    </row>
    <row r="22" spans="1:13">
      <c r="A22" s="8">
        <v>12</v>
      </c>
      <c r="B22" s="11" t="s">
        <v>331</v>
      </c>
      <c r="C22" s="541">
        <v>0.20710244604049888</v>
      </c>
      <c r="D22" s="539">
        <v>0.19707765343842859</v>
      </c>
      <c r="E22" s="539">
        <v>0.22232801245990946</v>
      </c>
      <c r="F22" s="539">
        <v>0.22529240681419335</v>
      </c>
      <c r="G22" s="540">
        <v>0.21887976852761942</v>
      </c>
      <c r="I22" s="551"/>
      <c r="J22" s="551"/>
      <c r="K22" s="551"/>
      <c r="L22" s="551"/>
      <c r="M22" s="551"/>
    </row>
    <row r="23" spans="1:13">
      <c r="A23" s="8">
        <v>13</v>
      </c>
      <c r="B23" s="11" t="s">
        <v>329</v>
      </c>
      <c r="C23" s="541">
        <v>0.25265665476126525</v>
      </c>
      <c r="D23" s="539">
        <v>0.24124426016495165</v>
      </c>
      <c r="E23" s="539">
        <v>0.26892245105846496</v>
      </c>
      <c r="F23" s="539">
        <v>0.27116919330695854</v>
      </c>
      <c r="G23" s="540">
        <v>0.26363543733661288</v>
      </c>
      <c r="I23" s="551"/>
      <c r="J23" s="551"/>
      <c r="K23" s="551"/>
      <c r="L23" s="551"/>
      <c r="M23" s="551"/>
    </row>
    <row r="24" spans="1:13" ht="15">
      <c r="A24" s="449"/>
      <c r="B24" s="102" t="s">
        <v>700</v>
      </c>
      <c r="C24" s="157"/>
      <c r="D24" s="157"/>
      <c r="E24" s="157"/>
      <c r="F24" s="157"/>
      <c r="G24" s="448"/>
      <c r="I24" s="551"/>
      <c r="J24" s="551"/>
      <c r="K24" s="551"/>
      <c r="L24" s="551"/>
      <c r="M24" s="551"/>
    </row>
    <row r="25" spans="1:13" ht="25.5">
      <c r="A25" s="8">
        <v>14</v>
      </c>
      <c r="B25" s="11" t="s">
        <v>701</v>
      </c>
      <c r="C25" s="148"/>
      <c r="D25" s="13"/>
      <c r="E25" s="13"/>
      <c r="F25" s="13"/>
      <c r="G25" s="14"/>
      <c r="H25" s="447"/>
      <c r="I25" s="551"/>
      <c r="J25" s="551"/>
      <c r="K25" s="551"/>
      <c r="L25" s="551"/>
      <c r="M25" s="551"/>
    </row>
    <row r="26" spans="1:13">
      <c r="A26" s="10"/>
      <c r="B26" s="102" t="s">
        <v>88</v>
      </c>
      <c r="C26" s="224"/>
      <c r="D26" s="224"/>
      <c r="E26" s="224"/>
      <c r="F26" s="224"/>
      <c r="G26" s="225"/>
      <c r="I26" s="551"/>
      <c r="J26" s="551"/>
      <c r="K26" s="551"/>
      <c r="L26" s="551"/>
      <c r="M26" s="551"/>
    </row>
    <row r="27" spans="1:13" ht="15" customHeight="1">
      <c r="A27" s="226">
        <v>15</v>
      </c>
      <c r="B27" s="11" t="s">
        <v>87</v>
      </c>
      <c r="C27" s="542">
        <v>5.8456655620980312E-2</v>
      </c>
      <c r="D27" s="543">
        <v>5.9473431919653458E-2</v>
      </c>
      <c r="E27" s="543">
        <v>5.8551911232166257E-2</v>
      </c>
      <c r="F27" s="543">
        <v>5.7674257903819602E-2</v>
      </c>
      <c r="G27" s="544">
        <v>5.4875768954618667E-2</v>
      </c>
      <c r="I27" s="551"/>
      <c r="J27" s="551"/>
      <c r="K27" s="551"/>
      <c r="L27" s="551"/>
      <c r="M27" s="551"/>
    </row>
    <row r="28" spans="1:13">
      <c r="A28" s="226">
        <v>16</v>
      </c>
      <c r="B28" s="11" t="s">
        <v>86</v>
      </c>
      <c r="C28" s="542">
        <v>2.0597753611956888E-2</v>
      </c>
      <c r="D28" s="543">
        <v>1.9093795718955971E-2</v>
      </c>
      <c r="E28" s="543">
        <v>1.8623484575566836E-2</v>
      </c>
      <c r="F28" s="543">
        <v>1.8249022023876623E-2</v>
      </c>
      <c r="G28" s="544">
        <v>1.7495223723369958E-2</v>
      </c>
      <c r="I28" s="551"/>
      <c r="J28" s="551"/>
      <c r="K28" s="551"/>
      <c r="L28" s="551"/>
      <c r="M28" s="551"/>
    </row>
    <row r="29" spans="1:13">
      <c r="A29" s="226">
        <v>17</v>
      </c>
      <c r="B29" s="11" t="s">
        <v>85</v>
      </c>
      <c r="C29" s="542">
        <v>2.1464265038663173E-2</v>
      </c>
      <c r="D29" s="543">
        <v>2.138983755923516E-2</v>
      </c>
      <c r="E29" s="543">
        <v>2.5939943471691148E-2</v>
      </c>
      <c r="F29" s="543">
        <v>2.4172177585236036E-2</v>
      </c>
      <c r="G29" s="544">
        <v>2.2240813700082133E-2</v>
      </c>
      <c r="I29" s="551"/>
      <c r="J29" s="551"/>
      <c r="K29" s="551"/>
      <c r="L29" s="551"/>
      <c r="M29" s="551"/>
    </row>
    <row r="30" spans="1:13">
      <c r="A30" s="226">
        <v>18</v>
      </c>
      <c r="B30" s="11" t="s">
        <v>84</v>
      </c>
      <c r="C30" s="542">
        <v>3.7858902009023435E-2</v>
      </c>
      <c r="D30" s="543">
        <v>4.0379636200697476E-2</v>
      </c>
      <c r="E30" s="543">
        <v>3.9928426656599417E-2</v>
      </c>
      <c r="F30" s="543">
        <v>3.9425235879942976E-2</v>
      </c>
      <c r="G30" s="544">
        <v>3.7380545231248709E-2</v>
      </c>
      <c r="I30" s="551"/>
      <c r="J30" s="551"/>
      <c r="K30" s="551"/>
      <c r="L30" s="551"/>
      <c r="M30" s="551"/>
    </row>
    <row r="31" spans="1:13">
      <c r="A31" s="226">
        <v>19</v>
      </c>
      <c r="B31" s="11" t="s">
        <v>154</v>
      </c>
      <c r="C31" s="542">
        <v>1.6022672045571729E-2</v>
      </c>
      <c r="D31" s="543">
        <v>1.9238023947200613E-2</v>
      </c>
      <c r="E31" s="543">
        <v>2.0298670059863216E-2</v>
      </c>
      <c r="F31" s="543">
        <v>1.7049686434943742E-2</v>
      </c>
      <c r="G31" s="544">
        <v>1.8541412346713988E-2</v>
      </c>
      <c r="I31" s="551"/>
      <c r="J31" s="551"/>
      <c r="K31" s="551"/>
      <c r="L31" s="551"/>
      <c r="M31" s="551"/>
    </row>
    <row r="32" spans="1:13">
      <c r="A32" s="226">
        <v>20</v>
      </c>
      <c r="B32" s="11" t="s">
        <v>155</v>
      </c>
      <c r="C32" s="542">
        <v>6.8261531300982739E-2</v>
      </c>
      <c r="D32" s="543">
        <v>8.3099136488405778E-2</v>
      </c>
      <c r="E32" s="543">
        <v>8.7736729711175229E-2</v>
      </c>
      <c r="F32" s="543">
        <v>7.6609913781296085E-2</v>
      </c>
      <c r="G32" s="544">
        <v>8.7302368472783651E-2</v>
      </c>
      <c r="I32" s="551"/>
      <c r="J32" s="551"/>
      <c r="K32" s="551"/>
      <c r="L32" s="551"/>
      <c r="M32" s="551"/>
    </row>
    <row r="33" spans="1:13">
      <c r="A33" s="10"/>
      <c r="B33" s="102" t="s">
        <v>216</v>
      </c>
      <c r="C33" s="224"/>
      <c r="D33" s="224"/>
      <c r="E33" s="224"/>
      <c r="F33" s="224"/>
      <c r="G33" s="225"/>
      <c r="I33" s="551"/>
      <c r="J33" s="551"/>
      <c r="K33" s="551"/>
      <c r="L33" s="551"/>
      <c r="M33" s="551"/>
    </row>
    <row r="34" spans="1:13">
      <c r="A34" s="226">
        <v>21</v>
      </c>
      <c r="B34" s="11" t="s">
        <v>83</v>
      </c>
      <c r="C34" s="542">
        <v>0.11454777701974829</v>
      </c>
      <c r="D34" s="543">
        <v>0.1267633112757092</v>
      </c>
      <c r="E34" s="543">
        <v>0.14978179243327239</v>
      </c>
      <c r="F34" s="543">
        <v>0.16739580962701317</v>
      </c>
      <c r="G34" s="544">
        <v>0.1751715494874084</v>
      </c>
      <c r="I34" s="551"/>
      <c r="J34" s="551"/>
      <c r="K34" s="551"/>
      <c r="L34" s="551"/>
      <c r="M34" s="551"/>
    </row>
    <row r="35" spans="1:13" ht="15" customHeight="1">
      <c r="A35" s="226">
        <v>22</v>
      </c>
      <c r="B35" s="11" t="s">
        <v>674</v>
      </c>
      <c r="C35" s="542">
        <v>5.1807931252594669E-2</v>
      </c>
      <c r="D35" s="543">
        <v>5.1058308215887596E-2</v>
      </c>
      <c r="E35" s="543">
        <v>5.3031218019667613E-2</v>
      </c>
      <c r="F35" s="543">
        <v>5.6825676862527673E-2</v>
      </c>
      <c r="G35" s="544">
        <v>5.5314187069218902E-2</v>
      </c>
      <c r="I35" s="551"/>
      <c r="J35" s="551"/>
      <c r="K35" s="551"/>
      <c r="L35" s="551"/>
      <c r="M35" s="551"/>
    </row>
    <row r="36" spans="1:13">
      <c r="A36" s="226">
        <v>23</v>
      </c>
      <c r="B36" s="11" t="s">
        <v>82</v>
      </c>
      <c r="C36" s="542">
        <v>0.5825802425809502</v>
      </c>
      <c r="D36" s="543">
        <v>0.58657682521853471</v>
      </c>
      <c r="E36" s="543">
        <v>0.57100749024809472</v>
      </c>
      <c r="F36" s="543">
        <v>0.60596268968147471</v>
      </c>
      <c r="G36" s="544">
        <v>0.60076124620324745</v>
      </c>
      <c r="I36" s="551"/>
      <c r="J36" s="551"/>
      <c r="K36" s="551"/>
      <c r="L36" s="551"/>
      <c r="M36" s="551"/>
    </row>
    <row r="37" spans="1:13" ht="15" customHeight="1">
      <c r="A37" s="226">
        <v>24</v>
      </c>
      <c r="B37" s="11" t="s">
        <v>81</v>
      </c>
      <c r="C37" s="542">
        <v>0.64462332158706992</v>
      </c>
      <c r="D37" s="543">
        <v>0.67286837388603382</v>
      </c>
      <c r="E37" s="543">
        <v>0.61137153569527847</v>
      </c>
      <c r="F37" s="543">
        <v>0.6392349704505722</v>
      </c>
      <c r="G37" s="544">
        <v>0.66521936215639776</v>
      </c>
      <c r="I37" s="551"/>
      <c r="J37" s="551"/>
      <c r="K37" s="551"/>
      <c r="L37" s="551"/>
      <c r="M37" s="551"/>
    </row>
    <row r="38" spans="1:13">
      <c r="A38" s="226">
        <v>25</v>
      </c>
      <c r="B38" s="11" t="s">
        <v>80</v>
      </c>
      <c r="C38" s="542">
        <v>-2.612298990832233E-2</v>
      </c>
      <c r="D38" s="543">
        <v>0.27772081929726922</v>
      </c>
      <c r="E38" s="543">
        <v>0.15208992477675973</v>
      </c>
      <c r="F38" s="543">
        <v>4.9618510723805714E-2</v>
      </c>
      <c r="G38" s="544">
        <v>-2.9410197199612402E-2</v>
      </c>
      <c r="I38" s="551"/>
      <c r="J38" s="551"/>
      <c r="K38" s="551"/>
      <c r="L38" s="551"/>
      <c r="M38" s="551"/>
    </row>
    <row r="39" spans="1:13" ht="15" customHeight="1">
      <c r="A39" s="10"/>
      <c r="B39" s="102" t="s">
        <v>217</v>
      </c>
      <c r="C39" s="224"/>
      <c r="D39" s="224"/>
      <c r="E39" s="224"/>
      <c r="F39" s="224"/>
      <c r="G39" s="225"/>
      <c r="I39" s="551"/>
      <c r="J39" s="551"/>
      <c r="K39" s="551"/>
      <c r="L39" s="551"/>
      <c r="M39" s="551"/>
    </row>
    <row r="40" spans="1:13" ht="15" customHeight="1">
      <c r="A40" s="226">
        <v>26</v>
      </c>
      <c r="B40" s="11" t="s">
        <v>79</v>
      </c>
      <c r="C40" s="542">
        <v>0.30872224623525724</v>
      </c>
      <c r="D40" s="543">
        <v>0.38005040022475645</v>
      </c>
      <c r="E40" s="543">
        <v>0.30193757856817588</v>
      </c>
      <c r="F40" s="543">
        <v>0.31132062250960379</v>
      </c>
      <c r="G40" s="544">
        <v>0.41214973247393905</v>
      </c>
      <c r="I40" s="551"/>
      <c r="J40" s="551"/>
      <c r="K40" s="551"/>
      <c r="L40" s="551"/>
      <c r="M40" s="551"/>
    </row>
    <row r="41" spans="1:13" ht="15" customHeight="1">
      <c r="A41" s="226">
        <v>27</v>
      </c>
      <c r="B41" s="11" t="s">
        <v>78</v>
      </c>
      <c r="C41" s="542">
        <v>0.83192038646247413</v>
      </c>
      <c r="D41" s="543">
        <v>0.83712986360935282</v>
      </c>
      <c r="E41" s="543">
        <v>0.79163333441986028</v>
      </c>
      <c r="F41" s="543">
        <v>0.82144817326135444</v>
      </c>
      <c r="G41" s="544">
        <v>0.82965058095857669</v>
      </c>
      <c r="I41" s="551"/>
      <c r="J41" s="551"/>
      <c r="K41" s="551"/>
      <c r="L41" s="551"/>
      <c r="M41" s="551"/>
    </row>
    <row r="42" spans="1:13" ht="15" customHeight="1">
      <c r="A42" s="226">
        <v>28</v>
      </c>
      <c r="B42" s="11" t="s">
        <v>77</v>
      </c>
      <c r="C42" s="542">
        <v>0.32179844710001582</v>
      </c>
      <c r="D42" s="543">
        <v>0.3140281322762889</v>
      </c>
      <c r="E42" s="543">
        <v>0.351307002769845</v>
      </c>
      <c r="F42" s="543">
        <v>0.35841567228758969</v>
      </c>
      <c r="G42" s="544">
        <v>0.41594505265157111</v>
      </c>
      <c r="I42" s="551"/>
      <c r="J42" s="551"/>
      <c r="K42" s="551"/>
      <c r="L42" s="551"/>
      <c r="M42" s="551"/>
    </row>
    <row r="43" spans="1:13" ht="15" customHeight="1">
      <c r="A43" s="227"/>
      <c r="B43" s="102" t="s">
        <v>258</v>
      </c>
      <c r="C43" s="224"/>
      <c r="D43" s="224"/>
      <c r="E43" s="224"/>
      <c r="F43" s="224"/>
      <c r="G43" s="225"/>
      <c r="I43" s="551"/>
      <c r="J43" s="551"/>
      <c r="K43" s="551"/>
      <c r="L43" s="551"/>
      <c r="M43" s="551"/>
    </row>
    <row r="44" spans="1:13">
      <c r="A44" s="226">
        <v>29</v>
      </c>
      <c r="B44" s="11" t="s">
        <v>241</v>
      </c>
      <c r="C44" s="15">
        <v>741797588.97668672</v>
      </c>
      <c r="D44" s="16">
        <v>844949461.5188607</v>
      </c>
      <c r="E44" s="16">
        <v>645732587.26467955</v>
      </c>
      <c r="F44" s="16">
        <v>808543794.65732729</v>
      </c>
      <c r="G44" s="17">
        <v>959733056.45312023</v>
      </c>
      <c r="I44" s="551"/>
      <c r="J44" s="551"/>
      <c r="K44" s="551"/>
      <c r="L44" s="551"/>
      <c r="M44" s="551"/>
    </row>
    <row r="45" spans="1:13" ht="15" customHeight="1">
      <c r="A45" s="226">
        <v>30</v>
      </c>
      <c r="B45" s="11" t="s">
        <v>253</v>
      </c>
      <c r="C45" s="15">
        <v>437577201.62456089</v>
      </c>
      <c r="D45" s="16">
        <v>562727994.53029513</v>
      </c>
      <c r="E45" s="16">
        <v>457962567.9413619</v>
      </c>
      <c r="F45" s="16">
        <v>527370809.20028573</v>
      </c>
      <c r="G45" s="17">
        <v>611442068.28643262</v>
      </c>
      <c r="I45" s="551"/>
      <c r="J45" s="551"/>
      <c r="K45" s="551"/>
      <c r="L45" s="551"/>
      <c r="M45" s="551"/>
    </row>
    <row r="46" spans="1:13" ht="15" customHeight="1">
      <c r="A46" s="263">
        <v>31</v>
      </c>
      <c r="B46" s="264" t="s">
        <v>242</v>
      </c>
      <c r="C46" s="545">
        <v>1.6952382030477571</v>
      </c>
      <c r="D46" s="546">
        <v>1.5015237729982382</v>
      </c>
      <c r="E46" s="546">
        <v>1.4100117181353564</v>
      </c>
      <c r="F46" s="546">
        <v>1.5331599332989574</v>
      </c>
      <c r="G46" s="547">
        <v>1.5696222197186622</v>
      </c>
      <c r="I46" s="551"/>
      <c r="J46" s="551"/>
      <c r="K46" s="551"/>
      <c r="L46" s="551"/>
      <c r="M46" s="551"/>
    </row>
    <row r="47" spans="1:13" ht="15" customHeight="1">
      <c r="A47" s="263"/>
      <c r="B47" s="102" t="s">
        <v>337</v>
      </c>
      <c r="C47" s="265"/>
      <c r="D47" s="266"/>
      <c r="E47" s="266"/>
      <c r="F47" s="266"/>
      <c r="G47" s="267"/>
      <c r="I47" s="551"/>
      <c r="J47" s="551"/>
      <c r="K47" s="551"/>
      <c r="L47" s="551"/>
      <c r="M47" s="551"/>
    </row>
    <row r="48" spans="1:13" ht="15" customHeight="1">
      <c r="A48" s="263">
        <v>32</v>
      </c>
      <c r="B48" s="264" t="s">
        <v>344</v>
      </c>
      <c r="C48" s="265">
        <v>1403571182.4169745</v>
      </c>
      <c r="D48" s="266">
        <v>1587876391.8261116</v>
      </c>
      <c r="E48" s="266">
        <v>1316037451.636996</v>
      </c>
      <c r="F48" s="266">
        <v>1304071715.687022</v>
      </c>
      <c r="G48" s="267">
        <v>1405929791.4593749</v>
      </c>
      <c r="I48" s="551"/>
      <c r="J48" s="551"/>
      <c r="K48" s="551"/>
      <c r="L48" s="551"/>
      <c r="M48" s="551"/>
    </row>
    <row r="49" spans="1:13" ht="15" customHeight="1">
      <c r="A49" s="263">
        <v>33</v>
      </c>
      <c r="B49" s="264" t="s">
        <v>359</v>
      </c>
      <c r="C49" s="265">
        <v>844223118.08681297</v>
      </c>
      <c r="D49" s="266">
        <v>869845351.61733115</v>
      </c>
      <c r="E49" s="266">
        <v>842078208.91682148</v>
      </c>
      <c r="F49" s="266">
        <v>778817568.01857877</v>
      </c>
      <c r="G49" s="267">
        <v>733521750.39291084</v>
      </c>
      <c r="I49" s="551"/>
      <c r="J49" s="551"/>
      <c r="K49" s="551"/>
      <c r="L49" s="551"/>
      <c r="M49" s="551"/>
    </row>
    <row r="50" spans="1:13" ht="15" thickBot="1">
      <c r="A50" s="228">
        <v>34</v>
      </c>
      <c r="B50" s="104" t="s">
        <v>377</v>
      </c>
      <c r="C50" s="548">
        <v>1.6625595205184167</v>
      </c>
      <c r="D50" s="549">
        <v>1.8254697675554883</v>
      </c>
      <c r="E50" s="549">
        <v>1.5628446831914056</v>
      </c>
      <c r="F50" s="549">
        <v>1.6744251404148003</v>
      </c>
      <c r="G50" s="550">
        <v>1.9166845300855615</v>
      </c>
      <c r="I50" s="551"/>
      <c r="J50" s="551"/>
      <c r="K50" s="551"/>
      <c r="L50" s="551"/>
      <c r="M50" s="551"/>
    </row>
    <row r="51" spans="1:13">
      <c r="A51" s="18"/>
    </row>
    <row r="52" spans="1:13">
      <c r="B52" s="150"/>
    </row>
    <row r="53" spans="1:13" ht="51">
      <c r="B53" s="150" t="s">
        <v>257</v>
      </c>
    </row>
    <row r="55" spans="1:13">
      <c r="B55" s="14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F38"/>
  <sheetViews>
    <sheetView showGridLines="0" zoomScale="80" zoomScaleNormal="80" workbookViewId="0"/>
  </sheetViews>
  <sheetFormatPr defaultColWidth="8.7109375" defaultRowHeight="15"/>
  <cols>
    <col min="1" max="1" width="11.42578125" style="452" customWidth="1"/>
    <col min="2" max="2" width="76.85546875" style="529" customWidth="1"/>
    <col min="3" max="3" width="22.85546875" style="452" customWidth="1"/>
    <col min="4" max="5" width="8.7109375" style="452"/>
    <col min="6" max="6" width="15.85546875" style="452" bestFit="1" customWidth="1"/>
    <col min="7" max="16384" width="8.7109375" style="452"/>
  </cols>
  <sheetData>
    <row r="1" spans="1:6">
      <c r="A1" s="116" t="s">
        <v>30</v>
      </c>
      <c r="B1" s="451" t="str">
        <f>'Info '!C2</f>
        <v>JSC Cartu Bank</v>
      </c>
    </row>
    <row r="2" spans="1:6">
      <c r="A2" s="116" t="s">
        <v>31</v>
      </c>
      <c r="B2" s="533">
        <f>'1. key ratios '!B2</f>
        <v>45747</v>
      </c>
    </row>
    <row r="3" spans="1:6">
      <c r="B3" s="452"/>
    </row>
    <row r="4" spans="1:6">
      <c r="A4" s="452" t="s">
        <v>295</v>
      </c>
      <c r="B4" s="452" t="s">
        <v>296</v>
      </c>
    </row>
    <row r="5" spans="1:6">
      <c r="A5" s="511" t="s">
        <v>297</v>
      </c>
      <c r="B5" s="512"/>
      <c r="C5" s="513"/>
    </row>
    <row r="6" spans="1:6">
      <c r="A6" s="517">
        <v>1</v>
      </c>
      <c r="B6" s="518" t="s">
        <v>751</v>
      </c>
      <c r="C6" s="519">
        <v>1822040125.3764267</v>
      </c>
      <c r="E6" s="662"/>
      <c r="F6" s="662"/>
    </row>
    <row r="7" spans="1:6">
      <c r="A7" s="517">
        <v>2</v>
      </c>
      <c r="B7" s="518" t="s">
        <v>298</v>
      </c>
      <c r="C7" s="519">
        <v>-12372374.228405572</v>
      </c>
      <c r="E7" s="662"/>
      <c r="F7" s="662"/>
    </row>
    <row r="8" spans="1:6" ht="30">
      <c r="A8" s="520">
        <v>3</v>
      </c>
      <c r="B8" s="521" t="s">
        <v>299</v>
      </c>
      <c r="C8" s="519">
        <f>C6+C7</f>
        <v>1809667751.1480212</v>
      </c>
      <c r="E8" s="662"/>
      <c r="F8" s="662"/>
    </row>
    <row r="9" spans="1:6">
      <c r="A9" s="511" t="s">
        <v>300</v>
      </c>
      <c r="B9" s="512"/>
      <c r="C9" s="514"/>
      <c r="E9" s="662"/>
      <c r="F9" s="662"/>
    </row>
    <row r="10" spans="1:6" ht="25.7" customHeight="1">
      <c r="A10" s="517">
        <v>4</v>
      </c>
      <c r="B10" s="522" t="s">
        <v>749</v>
      </c>
      <c r="C10" s="519" t="b">
        <f>'15. CCR '!F34</f>
        <v>0</v>
      </c>
      <c r="E10" s="662"/>
      <c r="F10" s="662"/>
    </row>
    <row r="11" spans="1:6" ht="25.7" customHeight="1">
      <c r="A11" s="517">
        <v>5</v>
      </c>
      <c r="B11" s="523" t="s">
        <v>750</v>
      </c>
      <c r="C11" s="519" t="b">
        <f>'15. CCR '!G34</f>
        <v>0</v>
      </c>
      <c r="E11" s="662"/>
      <c r="F11" s="662"/>
    </row>
    <row r="12" spans="1:6" ht="25.7" customHeight="1">
      <c r="A12" s="517">
        <v>6</v>
      </c>
      <c r="B12" s="523" t="s">
        <v>743</v>
      </c>
      <c r="C12" s="524">
        <f>'15. CCR '!I34</f>
        <v>0</v>
      </c>
      <c r="E12" s="662"/>
      <c r="F12" s="662"/>
    </row>
    <row r="13" spans="1:6" ht="25.7" customHeight="1">
      <c r="A13" s="525">
        <v>7</v>
      </c>
      <c r="B13" s="522" t="s">
        <v>744</v>
      </c>
      <c r="C13" s="519" t="b">
        <f>'15. CCR '!E34</f>
        <v>0</v>
      </c>
      <c r="E13" s="662"/>
      <c r="F13" s="662"/>
    </row>
    <row r="14" spans="1:6" ht="25.7" customHeight="1">
      <c r="A14" s="520">
        <v>8</v>
      </c>
      <c r="B14" s="515" t="s">
        <v>301</v>
      </c>
      <c r="C14" s="526">
        <f>C12</f>
        <v>0</v>
      </c>
      <c r="E14" s="662"/>
      <c r="F14" s="662"/>
    </row>
    <row r="15" spans="1:6">
      <c r="A15" s="511" t="s">
        <v>302</v>
      </c>
      <c r="B15" s="512"/>
      <c r="C15" s="514"/>
      <c r="E15" s="662"/>
      <c r="F15" s="662"/>
    </row>
    <row r="16" spans="1:6">
      <c r="A16" s="525">
        <v>9</v>
      </c>
      <c r="B16" s="522" t="s">
        <v>303</v>
      </c>
      <c r="C16" s="519"/>
      <c r="E16" s="662"/>
      <c r="F16" s="662"/>
    </row>
    <row r="17" spans="1:6">
      <c r="A17" s="525">
        <v>10</v>
      </c>
      <c r="B17" s="522" t="s">
        <v>304</v>
      </c>
      <c r="C17" s="519"/>
      <c r="E17" s="662"/>
      <c r="F17" s="662"/>
    </row>
    <row r="18" spans="1:6">
      <c r="A18" s="525">
        <v>11</v>
      </c>
      <c r="B18" s="522" t="s">
        <v>305</v>
      </c>
      <c r="C18" s="519"/>
      <c r="E18" s="662"/>
      <c r="F18" s="662"/>
    </row>
    <row r="19" spans="1:6" ht="30">
      <c r="A19" s="525">
        <v>12</v>
      </c>
      <c r="B19" s="522" t="s">
        <v>306</v>
      </c>
      <c r="C19" s="519"/>
      <c r="E19" s="662"/>
      <c r="F19" s="662"/>
    </row>
    <row r="20" spans="1:6">
      <c r="A20" s="525">
        <v>14</v>
      </c>
      <c r="B20" s="522" t="s">
        <v>307</v>
      </c>
      <c r="C20" s="519"/>
      <c r="E20" s="662"/>
      <c r="F20" s="662"/>
    </row>
    <row r="21" spans="1:6">
      <c r="A21" s="525">
        <v>14</v>
      </c>
      <c r="B21" s="522" t="s">
        <v>308</v>
      </c>
      <c r="C21" s="519"/>
      <c r="E21" s="662"/>
      <c r="F21" s="662"/>
    </row>
    <row r="22" spans="1:6">
      <c r="A22" s="520">
        <v>15</v>
      </c>
      <c r="B22" s="515" t="s">
        <v>309</v>
      </c>
      <c r="C22" s="526">
        <f>SUM(C16:C21)</f>
        <v>0</v>
      </c>
      <c r="E22" s="662"/>
      <c r="F22" s="662"/>
    </row>
    <row r="23" spans="1:6">
      <c r="A23" s="511" t="s">
        <v>310</v>
      </c>
      <c r="B23" s="512"/>
      <c r="C23" s="514"/>
      <c r="E23" s="662"/>
      <c r="F23" s="662"/>
    </row>
    <row r="24" spans="1:6">
      <c r="A24" s="530">
        <v>16</v>
      </c>
      <c r="B24" s="523" t="s">
        <v>311</v>
      </c>
      <c r="C24" s="519">
        <v>203090491.26299769</v>
      </c>
      <c r="E24" s="662"/>
      <c r="F24" s="662"/>
    </row>
    <row r="25" spans="1:6">
      <c r="A25" s="530">
        <v>17</v>
      </c>
      <c r="B25" s="523" t="s">
        <v>312</v>
      </c>
      <c r="C25" s="519">
        <v>-91519693.949966714</v>
      </c>
      <c r="E25" s="662"/>
      <c r="F25" s="662"/>
    </row>
    <row r="26" spans="1:6">
      <c r="A26" s="531">
        <v>18</v>
      </c>
      <c r="B26" s="515" t="s">
        <v>313</v>
      </c>
      <c r="C26" s="526">
        <f>C24+C25</f>
        <v>111570797.31303097</v>
      </c>
      <c r="E26" s="662"/>
      <c r="F26" s="662"/>
    </row>
    <row r="27" spans="1:6">
      <c r="A27" s="511" t="s">
        <v>314</v>
      </c>
      <c r="B27" s="512"/>
      <c r="C27" s="514"/>
      <c r="E27" s="662"/>
      <c r="F27" s="662"/>
    </row>
    <row r="28" spans="1:6" ht="30">
      <c r="A28" s="530">
        <v>19</v>
      </c>
      <c r="B28" s="522" t="s">
        <v>315</v>
      </c>
      <c r="C28" s="527"/>
      <c r="E28" s="662"/>
      <c r="F28" s="662"/>
    </row>
    <row r="29" spans="1:6">
      <c r="A29" s="530">
        <v>20</v>
      </c>
      <c r="B29" s="523" t="s">
        <v>316</v>
      </c>
      <c r="C29" s="527"/>
      <c r="E29" s="662"/>
      <c r="F29" s="662"/>
    </row>
    <row r="30" spans="1:6">
      <c r="A30" s="511" t="s">
        <v>748</v>
      </c>
      <c r="B30" s="512"/>
      <c r="C30" s="514"/>
      <c r="E30" s="662"/>
      <c r="F30" s="662"/>
    </row>
    <row r="31" spans="1:6">
      <c r="A31" s="531">
        <v>21</v>
      </c>
      <c r="B31" s="516" t="s">
        <v>317</v>
      </c>
      <c r="C31" s="526">
        <v>493036670.88888454</v>
      </c>
      <c r="E31" s="662"/>
      <c r="F31" s="662"/>
    </row>
    <row r="32" spans="1:6">
      <c r="A32" s="531">
        <v>22</v>
      </c>
      <c r="B32" s="515" t="s">
        <v>318</v>
      </c>
      <c r="C32" s="526">
        <f>C8+C14+C22+C26</f>
        <v>1921238548.4610522</v>
      </c>
      <c r="E32" s="662"/>
      <c r="F32" s="662"/>
    </row>
    <row r="33" spans="1:6">
      <c r="A33" s="511" t="s">
        <v>319</v>
      </c>
      <c r="B33" s="512"/>
      <c r="C33" s="514"/>
      <c r="E33" s="662"/>
      <c r="F33" s="662"/>
    </row>
    <row r="34" spans="1:6">
      <c r="A34" s="520">
        <v>23</v>
      </c>
      <c r="B34" s="515" t="s">
        <v>319</v>
      </c>
      <c r="C34" s="663">
        <f>C31/C32</f>
        <v>0.25662439017987437</v>
      </c>
      <c r="E34" s="662"/>
      <c r="F34" s="662"/>
    </row>
    <row r="35" spans="1:6">
      <c r="A35" s="511" t="s">
        <v>320</v>
      </c>
      <c r="B35" s="512"/>
      <c r="C35" s="514"/>
      <c r="E35" s="662"/>
      <c r="F35" s="662"/>
    </row>
    <row r="36" spans="1:6">
      <c r="A36" s="528" t="s">
        <v>321</v>
      </c>
      <c r="B36" s="522" t="s">
        <v>322</v>
      </c>
      <c r="C36" s="527"/>
      <c r="E36" s="662"/>
      <c r="F36" s="662"/>
    </row>
    <row r="37" spans="1:6" ht="30">
      <c r="A37" s="528" t="s">
        <v>323</v>
      </c>
      <c r="B37" s="518" t="s">
        <v>324</v>
      </c>
      <c r="C37" s="527"/>
      <c r="E37" s="662"/>
      <c r="F37" s="662"/>
    </row>
    <row r="38" spans="1:6">
      <c r="E38" s="662"/>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showGridLines="0" zoomScale="80" zoomScaleNormal="80" workbookViewId="0">
      <selection activeCell="B2" sqref="B2"/>
    </sheetView>
  </sheetViews>
  <sheetFormatPr defaultColWidth="8.85546875" defaultRowHeight="15"/>
  <cols>
    <col min="1" max="1" width="11.42578125" customWidth="1"/>
    <col min="2" max="2" width="76.85546875" style="196" customWidth="1"/>
    <col min="3" max="6" width="25.42578125" customWidth="1"/>
  </cols>
  <sheetData>
    <row r="1" spans="1:6">
      <c r="A1" s="2" t="s">
        <v>30</v>
      </c>
      <c r="B1" s="3" t="str">
        <f>'Info '!C2</f>
        <v>JSC Cartu Bank</v>
      </c>
    </row>
    <row r="2" spans="1:6">
      <c r="A2" s="2" t="s">
        <v>31</v>
      </c>
      <c r="B2" s="532">
        <f>'1. key ratios '!B2</f>
        <v>45747</v>
      </c>
    </row>
    <row r="3" spans="1:6">
      <c r="A3" s="4"/>
      <c r="B3"/>
    </row>
    <row r="4" spans="1:6">
      <c r="A4" s="507" t="s">
        <v>738</v>
      </c>
    </row>
    <row r="5" spans="1:6" ht="60">
      <c r="B5" s="502"/>
      <c r="C5" s="508" t="s">
        <v>739</v>
      </c>
      <c r="D5" s="508" t="s">
        <v>741</v>
      </c>
      <c r="E5" s="508" t="s">
        <v>740</v>
      </c>
      <c r="F5" s="508" t="s">
        <v>742</v>
      </c>
    </row>
    <row r="6" spans="1:6">
      <c r="B6" s="509" t="s">
        <v>716</v>
      </c>
      <c r="C6" s="496" t="b">
        <f>IF(C7&gt;0,C7,IF(C8&gt;0,C8,IF(C9&gt;0,C9)))</f>
        <v>0</v>
      </c>
      <c r="D6" s="496" t="b">
        <f>IF(D7&gt;0,D7,IF(D8&gt;0,D8,IF(D9&gt;0,D9)))</f>
        <v>0</v>
      </c>
      <c r="E6" s="496" t="b">
        <f>IF(E7&gt;0,E7,IF(E8&gt;0,E8,IF(E9&gt;0,E9)))</f>
        <v>0</v>
      </c>
      <c r="F6" s="496" t="b">
        <f>IF(F7&gt;0,F7,IF(F8&gt;0,F8,IF(F9&gt;0,F9)))</f>
        <v>0</v>
      </c>
    </row>
    <row r="7" spans="1:6">
      <c r="B7" s="497" t="s">
        <v>729</v>
      </c>
      <c r="C7" s="510"/>
      <c r="D7" s="510"/>
      <c r="E7" s="510"/>
      <c r="F7" s="510"/>
    </row>
    <row r="8" spans="1:6">
      <c r="B8" s="497" t="s">
        <v>730</v>
      </c>
      <c r="C8" s="510"/>
      <c r="D8" s="510"/>
      <c r="E8" s="510"/>
      <c r="F8" s="510"/>
    </row>
    <row r="9" spans="1:6">
      <c r="B9" s="497" t="s">
        <v>737</v>
      </c>
      <c r="C9" s="510"/>
      <c r="D9" s="510"/>
      <c r="E9" s="510"/>
      <c r="F9" s="510"/>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O42"/>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RowHeight="15"/>
  <cols>
    <col min="1" max="1" width="8.85546875" style="118"/>
    <col min="2" max="2" width="82.5703125" style="125" customWidth="1"/>
    <col min="3" max="7" width="17.5703125" style="118" customWidth="1"/>
    <col min="10" max="10" width="17" bestFit="1" customWidth="1"/>
  </cols>
  <sheetData>
    <row r="1" spans="1:15">
      <c r="A1" s="118" t="s">
        <v>30</v>
      </c>
      <c r="B1" s="3" t="str">
        <f>'Info '!C2</f>
        <v>JSC Cartu Bank</v>
      </c>
    </row>
    <row r="2" spans="1:15">
      <c r="A2" s="118" t="s">
        <v>31</v>
      </c>
      <c r="B2" s="532">
        <f>'1. key ratios '!B2</f>
        <v>45747</v>
      </c>
    </row>
    <row r="4" spans="1:15" ht="15.75" thickBot="1">
      <c r="A4" s="118" t="s">
        <v>376</v>
      </c>
      <c r="B4" s="229" t="s">
        <v>337</v>
      </c>
    </row>
    <row r="5" spans="1:15">
      <c r="A5" s="230"/>
      <c r="B5" s="231"/>
      <c r="C5" s="772" t="s">
        <v>338</v>
      </c>
      <c r="D5" s="772"/>
      <c r="E5" s="772"/>
      <c r="F5" s="772"/>
      <c r="G5" s="773" t="s">
        <v>339</v>
      </c>
    </row>
    <row r="6" spans="1:15">
      <c r="A6" s="232"/>
      <c r="B6" s="233"/>
      <c r="C6" s="234" t="s">
        <v>340</v>
      </c>
      <c r="D6" s="234" t="s">
        <v>341</v>
      </c>
      <c r="E6" s="234" t="s">
        <v>342</v>
      </c>
      <c r="F6" s="234" t="s">
        <v>343</v>
      </c>
      <c r="G6" s="774"/>
    </row>
    <row r="7" spans="1:15">
      <c r="A7" s="235"/>
      <c r="B7" s="236" t="s">
        <v>344</v>
      </c>
      <c r="C7" s="237"/>
      <c r="D7" s="237"/>
      <c r="E7" s="237"/>
      <c r="F7" s="237"/>
      <c r="G7" s="238"/>
    </row>
    <row r="8" spans="1:15">
      <c r="A8" s="239">
        <v>1</v>
      </c>
      <c r="B8" s="240" t="s">
        <v>345</v>
      </c>
      <c r="C8" s="241">
        <f>SUM(C9:C10)</f>
        <v>442164918.72888452</v>
      </c>
      <c r="D8" s="241">
        <f>SUM(D9:D10)</f>
        <v>0</v>
      </c>
      <c r="E8" s="241">
        <f>SUM(E9:E10)</f>
        <v>0</v>
      </c>
      <c r="F8" s="241">
        <f>SUM(F9:F10)</f>
        <v>218403852.57519999</v>
      </c>
      <c r="G8" s="242">
        <f>SUM(G9:G10)</f>
        <v>660568771.30408454</v>
      </c>
      <c r="I8" s="845"/>
      <c r="J8" s="845"/>
      <c r="K8" s="845"/>
      <c r="L8" s="845"/>
      <c r="M8" s="845"/>
      <c r="N8" s="845"/>
      <c r="O8" s="845"/>
    </row>
    <row r="9" spans="1:15">
      <c r="A9" s="239">
        <v>2</v>
      </c>
      <c r="B9" s="243" t="s">
        <v>346</v>
      </c>
      <c r="C9" s="241">
        <v>442164918.72888452</v>
      </c>
      <c r="D9" s="241">
        <v>0</v>
      </c>
      <c r="E9" s="241">
        <v>0</v>
      </c>
      <c r="F9" s="241">
        <v>66922092.159999996</v>
      </c>
      <c r="G9" s="242">
        <v>509087010.88888454</v>
      </c>
      <c r="I9" s="845"/>
      <c r="J9" s="845"/>
      <c r="K9" s="845"/>
      <c r="L9" s="845"/>
      <c r="M9" s="845"/>
      <c r="N9" s="561"/>
    </row>
    <row r="10" spans="1:15">
      <c r="A10" s="239">
        <v>3</v>
      </c>
      <c r="B10" s="243" t="s">
        <v>347</v>
      </c>
      <c r="C10" s="244"/>
      <c r="D10" s="244"/>
      <c r="E10" s="244"/>
      <c r="F10" s="241">
        <v>151481760.4152</v>
      </c>
      <c r="G10" s="242">
        <v>151481760.4152</v>
      </c>
      <c r="I10" s="845"/>
      <c r="J10" s="845"/>
      <c r="K10" s="845"/>
      <c r="L10" s="845"/>
      <c r="M10" s="845"/>
      <c r="N10" s="561"/>
    </row>
    <row r="11" spans="1:15" ht="14.45" customHeight="1">
      <c r="A11" s="239">
        <v>4</v>
      </c>
      <c r="B11" s="240" t="s">
        <v>348</v>
      </c>
      <c r="C11" s="241">
        <f t="shared" ref="C11:F11" si="0">SUM(C12:C13)</f>
        <v>93411724.688399941</v>
      </c>
      <c r="D11" s="241">
        <f t="shared" si="0"/>
        <v>212242505.04889998</v>
      </c>
      <c r="E11" s="241">
        <f t="shared" si="0"/>
        <v>151868286.7123</v>
      </c>
      <c r="F11" s="241">
        <f t="shared" si="0"/>
        <v>0</v>
      </c>
      <c r="G11" s="242">
        <f>SUM(G12:G13)</f>
        <v>417452077.5533399</v>
      </c>
      <c r="I11" s="845"/>
      <c r="J11" s="845"/>
      <c r="K11" s="845"/>
      <c r="L11" s="845"/>
      <c r="M11" s="845"/>
      <c r="N11" s="561"/>
    </row>
    <row r="12" spans="1:15">
      <c r="A12" s="239">
        <v>5</v>
      </c>
      <c r="B12" s="243" t="s">
        <v>349</v>
      </c>
      <c r="C12" s="241">
        <v>70691578.044299945</v>
      </c>
      <c r="D12" s="245">
        <v>206197174.93689999</v>
      </c>
      <c r="E12" s="241">
        <v>142424178.86000001</v>
      </c>
      <c r="F12" s="241">
        <v>0</v>
      </c>
      <c r="G12" s="242">
        <v>398347285.2491399</v>
      </c>
      <c r="I12" s="845"/>
      <c r="J12" s="845"/>
      <c r="K12" s="845"/>
      <c r="L12" s="845"/>
      <c r="M12" s="845"/>
      <c r="N12" s="561"/>
    </row>
    <row r="13" spans="1:15">
      <c r="A13" s="239">
        <v>6</v>
      </c>
      <c r="B13" s="243" t="s">
        <v>350</v>
      </c>
      <c r="C13" s="241">
        <v>22720146.644099995</v>
      </c>
      <c r="D13" s="245">
        <v>6045330.1119999997</v>
      </c>
      <c r="E13" s="241">
        <v>9444107.8522999994</v>
      </c>
      <c r="F13" s="241">
        <v>0</v>
      </c>
      <c r="G13" s="242">
        <v>19104792.304199997</v>
      </c>
      <c r="I13" s="845"/>
      <c r="J13" s="845"/>
      <c r="K13" s="845"/>
      <c r="L13" s="845"/>
      <c r="M13" s="845"/>
      <c r="N13" s="561"/>
    </row>
    <row r="14" spans="1:15">
      <c r="A14" s="239">
        <v>7</v>
      </c>
      <c r="B14" s="240" t="s">
        <v>351</v>
      </c>
      <c r="C14" s="241">
        <f t="shared" ref="C14:F14" si="1">SUM(C15:C16)</f>
        <v>302881629.87410003</v>
      </c>
      <c r="D14" s="241">
        <f t="shared" si="1"/>
        <v>327084277.66670007</v>
      </c>
      <c r="E14" s="241">
        <f t="shared" si="1"/>
        <v>31345864.9857</v>
      </c>
      <c r="F14" s="241">
        <f t="shared" si="1"/>
        <v>0</v>
      </c>
      <c r="G14" s="242">
        <f>SUM(G15:G16)</f>
        <v>325550333.55955005</v>
      </c>
      <c r="I14" s="845"/>
      <c r="J14" s="845"/>
      <c r="K14" s="845"/>
      <c r="L14" s="845"/>
      <c r="M14" s="845"/>
      <c r="N14" s="561"/>
    </row>
    <row r="15" spans="1:15" ht="39">
      <c r="A15" s="239">
        <v>8</v>
      </c>
      <c r="B15" s="243" t="s">
        <v>352</v>
      </c>
      <c r="C15" s="241">
        <v>299474118.18670005</v>
      </c>
      <c r="D15" s="245">
        <v>320280683.94670004</v>
      </c>
      <c r="E15" s="241">
        <v>27915674.9857</v>
      </c>
      <c r="F15" s="241">
        <v>0</v>
      </c>
      <c r="G15" s="242">
        <v>323835238.55955005</v>
      </c>
      <c r="I15" s="845"/>
      <c r="J15" s="845"/>
      <c r="K15" s="845"/>
      <c r="L15" s="845"/>
      <c r="M15" s="845"/>
      <c r="N15" s="561"/>
    </row>
    <row r="16" spans="1:15" ht="26.25">
      <c r="A16" s="239">
        <v>9</v>
      </c>
      <c r="B16" s="243" t="s">
        <v>353</v>
      </c>
      <c r="C16" s="241">
        <v>3407511.6873999997</v>
      </c>
      <c r="D16" s="245">
        <v>6803593.7199999997</v>
      </c>
      <c r="E16" s="241">
        <v>3430190</v>
      </c>
      <c r="F16" s="241">
        <v>0</v>
      </c>
      <c r="G16" s="242">
        <v>1715095</v>
      </c>
      <c r="I16" s="845"/>
      <c r="J16" s="845"/>
      <c r="K16" s="845"/>
      <c r="L16" s="845"/>
      <c r="M16" s="845"/>
      <c r="N16" s="561"/>
    </row>
    <row r="17" spans="1:14">
      <c r="A17" s="239">
        <v>10</v>
      </c>
      <c r="B17" s="240" t="s">
        <v>354</v>
      </c>
      <c r="C17" s="241">
        <v>0</v>
      </c>
      <c r="D17" s="245">
        <v>0</v>
      </c>
      <c r="E17" s="241">
        <v>0</v>
      </c>
      <c r="F17" s="241">
        <v>0</v>
      </c>
      <c r="G17" s="242">
        <v>0</v>
      </c>
      <c r="I17" s="845"/>
      <c r="J17" s="845"/>
      <c r="K17" s="845"/>
      <c r="L17" s="845"/>
      <c r="M17" s="845"/>
      <c r="N17" s="561"/>
    </row>
    <row r="18" spans="1:14">
      <c r="A18" s="239">
        <v>11</v>
      </c>
      <c r="B18" s="240" t="s">
        <v>355</v>
      </c>
      <c r="C18" s="241">
        <f>SUM(C19:C20)</f>
        <v>0</v>
      </c>
      <c r="D18" s="245">
        <f t="shared" ref="D18:G18" si="2">SUM(D19:D20)</f>
        <v>14106013.693780839</v>
      </c>
      <c r="E18" s="241">
        <f t="shared" si="2"/>
        <v>6793427.0692148022</v>
      </c>
      <c r="F18" s="241">
        <f t="shared" si="2"/>
        <v>9365258.0747593343</v>
      </c>
      <c r="G18" s="242">
        <f t="shared" si="2"/>
        <v>0</v>
      </c>
      <c r="I18" s="845"/>
      <c r="J18" s="845"/>
      <c r="K18" s="845"/>
      <c r="L18" s="845"/>
      <c r="M18" s="845"/>
      <c r="N18" s="561"/>
    </row>
    <row r="19" spans="1:14">
      <c r="A19" s="239">
        <v>12</v>
      </c>
      <c r="B19" s="243" t="s">
        <v>356</v>
      </c>
      <c r="C19" s="244"/>
      <c r="D19" s="245">
        <v>0</v>
      </c>
      <c r="E19" s="241">
        <v>0</v>
      </c>
      <c r="F19" s="241">
        <v>0</v>
      </c>
      <c r="G19" s="242">
        <v>0</v>
      </c>
      <c r="I19" s="845"/>
      <c r="J19" s="845"/>
      <c r="K19" s="845"/>
      <c r="L19" s="845"/>
      <c r="M19" s="845"/>
      <c r="N19" s="561"/>
    </row>
    <row r="20" spans="1:14">
      <c r="A20" s="239">
        <v>13</v>
      </c>
      <c r="B20" s="243" t="s">
        <v>357</v>
      </c>
      <c r="C20" s="241">
        <v>0</v>
      </c>
      <c r="D20" s="241">
        <v>14106013.693780839</v>
      </c>
      <c r="E20" s="241">
        <v>6793427.0692148022</v>
      </c>
      <c r="F20" s="241">
        <v>9365258.0747593343</v>
      </c>
      <c r="G20" s="242">
        <v>0</v>
      </c>
      <c r="I20" s="845"/>
      <c r="J20" s="845"/>
      <c r="K20" s="845"/>
      <c r="L20" s="845"/>
      <c r="M20" s="845"/>
      <c r="N20" s="561"/>
    </row>
    <row r="21" spans="1:14">
      <c r="A21" s="246">
        <v>14</v>
      </c>
      <c r="B21" s="247" t="s">
        <v>358</v>
      </c>
      <c r="C21" s="244"/>
      <c r="D21" s="244"/>
      <c r="E21" s="244"/>
      <c r="F21" s="244"/>
      <c r="G21" s="248">
        <f>SUM(G8,G11,G14,G17,G18)</f>
        <v>1403571182.4169745</v>
      </c>
      <c r="I21" s="845"/>
      <c r="J21" s="845"/>
      <c r="K21" s="845"/>
      <c r="L21" s="845"/>
      <c r="M21" s="845"/>
      <c r="N21" s="561"/>
    </row>
    <row r="22" spans="1:14">
      <c r="A22" s="249"/>
      <c r="B22" s="250" t="s">
        <v>359</v>
      </c>
      <c r="C22" s="251"/>
      <c r="D22" s="252"/>
      <c r="E22" s="251"/>
      <c r="F22" s="251"/>
      <c r="G22" s="253"/>
      <c r="I22" s="845"/>
      <c r="J22" s="845"/>
      <c r="K22" s="845"/>
      <c r="L22" s="845"/>
      <c r="M22" s="845"/>
      <c r="N22" s="561"/>
    </row>
    <row r="23" spans="1:14">
      <c r="A23" s="239">
        <v>15</v>
      </c>
      <c r="B23" s="240" t="s">
        <v>360</v>
      </c>
      <c r="C23" s="254">
        <v>393050349.11178982</v>
      </c>
      <c r="D23" s="255">
        <v>257660074.56807932</v>
      </c>
      <c r="E23" s="254">
        <v>0</v>
      </c>
      <c r="F23" s="254">
        <v>0</v>
      </c>
      <c r="G23" s="242">
        <v>15980437.709688328</v>
      </c>
      <c r="I23" s="845"/>
      <c r="J23" s="845"/>
      <c r="K23" s="845"/>
      <c r="L23" s="845"/>
      <c r="M23" s="845"/>
      <c r="N23" s="561"/>
    </row>
    <row r="24" spans="1:14">
      <c r="A24" s="239">
        <v>16</v>
      </c>
      <c r="B24" s="240" t="s">
        <v>361</v>
      </c>
      <c r="C24" s="241">
        <f>SUM(C25:C27,C29,C31)</f>
        <v>20530262.187164426</v>
      </c>
      <c r="D24" s="245">
        <f t="shared" ref="D24:G24" si="3">SUM(D25:D27,D29,D31)</f>
        <v>294184400.19846106</v>
      </c>
      <c r="E24" s="241">
        <f t="shared" si="3"/>
        <v>150614887.16866392</v>
      </c>
      <c r="F24" s="241">
        <f t="shared" si="3"/>
        <v>377805021.14364392</v>
      </c>
      <c r="G24" s="242">
        <f t="shared" si="3"/>
        <v>546613450.98373449</v>
      </c>
      <c r="I24" s="845"/>
      <c r="J24" s="845"/>
      <c r="K24" s="845"/>
      <c r="L24" s="845"/>
      <c r="M24" s="845"/>
      <c r="N24" s="561"/>
    </row>
    <row r="25" spans="1:14">
      <c r="A25" s="239">
        <v>17</v>
      </c>
      <c r="B25" s="243" t="s">
        <v>362</v>
      </c>
      <c r="C25" s="241">
        <v>0</v>
      </c>
      <c r="D25" s="245">
        <v>0</v>
      </c>
      <c r="E25" s="241">
        <v>0</v>
      </c>
      <c r="F25" s="241">
        <v>0</v>
      </c>
      <c r="G25" s="242">
        <v>0</v>
      </c>
      <c r="I25" s="845"/>
      <c r="J25" s="845"/>
      <c r="K25" s="845"/>
      <c r="L25" s="845"/>
      <c r="M25" s="845"/>
      <c r="N25" s="561"/>
    </row>
    <row r="26" spans="1:14" ht="26.25">
      <c r="A26" s="239">
        <v>18</v>
      </c>
      <c r="B26" s="243" t="s">
        <v>363</v>
      </c>
      <c r="C26" s="241">
        <v>20530262.187164426</v>
      </c>
      <c r="D26" s="245">
        <v>0</v>
      </c>
      <c r="E26" s="241">
        <v>0</v>
      </c>
      <c r="F26" s="241">
        <v>0</v>
      </c>
      <c r="G26" s="242">
        <v>3079539.3280746639</v>
      </c>
      <c r="I26" s="845"/>
      <c r="J26" s="845"/>
      <c r="K26" s="845"/>
      <c r="L26" s="845"/>
      <c r="M26" s="845"/>
      <c r="N26" s="561"/>
    </row>
    <row r="27" spans="1:14">
      <c r="A27" s="239">
        <v>19</v>
      </c>
      <c r="B27" s="243" t="s">
        <v>364</v>
      </c>
      <c r="C27" s="241">
        <v>0</v>
      </c>
      <c r="D27" s="245">
        <v>290050569.31931531</v>
      </c>
      <c r="E27" s="241">
        <v>139217285.79357335</v>
      </c>
      <c r="F27" s="241">
        <v>358654260.64221364</v>
      </c>
      <c r="G27" s="242">
        <v>519490049.10232592</v>
      </c>
      <c r="I27" s="845"/>
      <c r="J27" s="845"/>
      <c r="K27" s="845"/>
      <c r="L27" s="845"/>
      <c r="M27" s="845"/>
      <c r="N27" s="561"/>
    </row>
    <row r="28" spans="1:14">
      <c r="A28" s="239">
        <v>20</v>
      </c>
      <c r="B28" s="256" t="s">
        <v>365</v>
      </c>
      <c r="C28" s="241">
        <v>0</v>
      </c>
      <c r="D28" s="245">
        <v>0</v>
      </c>
      <c r="E28" s="241">
        <v>0</v>
      </c>
      <c r="F28" s="241">
        <v>0</v>
      </c>
      <c r="G28" s="242">
        <v>0</v>
      </c>
      <c r="I28" s="845"/>
      <c r="J28" s="845"/>
      <c r="K28" s="845"/>
      <c r="L28" s="845"/>
      <c r="M28" s="845"/>
      <c r="N28" s="561"/>
    </row>
    <row r="29" spans="1:14">
      <c r="A29" s="239">
        <v>21</v>
      </c>
      <c r="B29" s="243" t="s">
        <v>366</v>
      </c>
      <c r="C29" s="241">
        <v>0</v>
      </c>
      <c r="D29" s="245">
        <v>2794108.4691457134</v>
      </c>
      <c r="E29" s="241">
        <v>8877601.3750905786</v>
      </c>
      <c r="F29" s="241">
        <v>15250723.915585257</v>
      </c>
      <c r="G29" s="242">
        <v>18798970.250365615</v>
      </c>
      <c r="I29" s="845"/>
      <c r="J29" s="845"/>
      <c r="K29" s="845"/>
      <c r="L29" s="845"/>
      <c r="M29" s="845"/>
      <c r="N29" s="561"/>
    </row>
    <row r="30" spans="1:14">
      <c r="A30" s="239">
        <v>22</v>
      </c>
      <c r="B30" s="256" t="s">
        <v>365</v>
      </c>
      <c r="C30" s="241">
        <v>0</v>
      </c>
      <c r="D30" s="245">
        <v>0</v>
      </c>
      <c r="E30" s="241">
        <v>0</v>
      </c>
      <c r="F30" s="241">
        <v>0</v>
      </c>
      <c r="G30" s="242">
        <v>0</v>
      </c>
      <c r="I30" s="845"/>
      <c r="J30" s="845"/>
      <c r="K30" s="845"/>
      <c r="L30" s="845"/>
      <c r="M30" s="845"/>
      <c r="N30" s="561"/>
    </row>
    <row r="31" spans="1:14">
      <c r="A31" s="239">
        <v>23</v>
      </c>
      <c r="B31" s="243" t="s">
        <v>367</v>
      </c>
      <c r="C31" s="241">
        <v>0</v>
      </c>
      <c r="D31" s="245">
        <v>1339722.4100000001</v>
      </c>
      <c r="E31" s="241">
        <v>2520000</v>
      </c>
      <c r="F31" s="241">
        <v>3900036.5858450001</v>
      </c>
      <c r="G31" s="242">
        <v>5244892.3029682506</v>
      </c>
      <c r="I31" s="845"/>
      <c r="J31" s="845"/>
      <c r="K31" s="845"/>
      <c r="L31" s="845"/>
      <c r="M31" s="845"/>
      <c r="N31" s="561"/>
    </row>
    <row r="32" spans="1:14">
      <c r="A32" s="239">
        <v>24</v>
      </c>
      <c r="B32" s="240" t="s">
        <v>368</v>
      </c>
      <c r="C32" s="241">
        <v>0</v>
      </c>
      <c r="D32" s="245">
        <v>0</v>
      </c>
      <c r="E32" s="241">
        <v>0</v>
      </c>
      <c r="F32" s="241">
        <v>0</v>
      </c>
      <c r="G32" s="242">
        <v>0</v>
      </c>
      <c r="I32" s="845"/>
      <c r="J32" s="845"/>
      <c r="K32" s="845"/>
      <c r="L32" s="845"/>
      <c r="M32" s="845"/>
      <c r="N32" s="561"/>
    </row>
    <row r="33" spans="1:14">
      <c r="A33" s="239">
        <v>25</v>
      </c>
      <c r="B33" s="240" t="s">
        <v>369</v>
      </c>
      <c r="C33" s="241">
        <f>SUM(C34:C35)</f>
        <v>0</v>
      </c>
      <c r="D33" s="241">
        <f>SUM(D34:D35)</f>
        <v>109551207.88793102</v>
      </c>
      <c r="E33" s="241">
        <f>SUM(E34:E35)</f>
        <v>12976839.341900021</v>
      </c>
      <c r="F33" s="241">
        <f>SUM(F34:F35)</f>
        <v>193316671.01021132</v>
      </c>
      <c r="G33" s="242">
        <f>SUM(G34:G35)</f>
        <v>258433425.40028733</v>
      </c>
      <c r="I33" s="845"/>
      <c r="J33" s="845"/>
      <c r="K33" s="845"/>
      <c r="L33" s="845"/>
      <c r="M33" s="845"/>
      <c r="N33" s="561"/>
    </row>
    <row r="34" spans="1:14">
      <c r="A34" s="239">
        <v>26</v>
      </c>
      <c r="B34" s="243" t="s">
        <v>370</v>
      </c>
      <c r="C34" s="244"/>
      <c r="D34" s="245">
        <v>0</v>
      </c>
      <c r="E34" s="241">
        <v>0</v>
      </c>
      <c r="F34" s="241">
        <v>0</v>
      </c>
      <c r="G34" s="242">
        <v>0</v>
      </c>
      <c r="I34" s="845"/>
      <c r="J34" s="845"/>
      <c r="K34" s="845"/>
      <c r="L34" s="845"/>
      <c r="M34" s="845"/>
      <c r="N34" s="561"/>
    </row>
    <row r="35" spans="1:14">
      <c r="A35" s="239">
        <v>27</v>
      </c>
      <c r="B35" s="243" t="s">
        <v>371</v>
      </c>
      <c r="C35" s="241"/>
      <c r="D35" s="245">
        <v>109551207.88793102</v>
      </c>
      <c r="E35" s="241">
        <v>12976839.341900021</v>
      </c>
      <c r="F35" s="241">
        <v>193316671.01021132</v>
      </c>
      <c r="G35" s="242">
        <v>258433425.40028733</v>
      </c>
      <c r="I35" s="845"/>
      <c r="J35" s="845"/>
      <c r="K35" s="845"/>
      <c r="L35" s="845"/>
      <c r="M35" s="845"/>
      <c r="N35" s="561"/>
    </row>
    <row r="36" spans="1:14">
      <c r="A36" s="239">
        <v>28</v>
      </c>
      <c r="B36" s="240" t="s">
        <v>372</v>
      </c>
      <c r="C36" s="241">
        <v>0</v>
      </c>
      <c r="D36" s="245">
        <v>79700262.172728926</v>
      </c>
      <c r="E36" s="241">
        <v>14084299.510249641</v>
      </c>
      <c r="F36" s="241">
        <v>109305929.64948136</v>
      </c>
      <c r="G36" s="242">
        <v>23195803.993102755</v>
      </c>
      <c r="I36" s="845"/>
      <c r="J36" s="845"/>
      <c r="K36" s="845"/>
      <c r="L36" s="845"/>
      <c r="M36" s="845"/>
      <c r="N36" s="561"/>
    </row>
    <row r="37" spans="1:14">
      <c r="A37" s="246">
        <v>29</v>
      </c>
      <c r="B37" s="247" t="s">
        <v>373</v>
      </c>
      <c r="C37" s="244"/>
      <c r="D37" s="244"/>
      <c r="E37" s="244"/>
      <c r="F37" s="244"/>
      <c r="G37" s="248">
        <f>SUM(G23:G24,G32:G33,G36)</f>
        <v>844223118.08681297</v>
      </c>
      <c r="I37" s="845"/>
      <c r="J37" s="845"/>
      <c r="K37" s="845"/>
      <c r="L37" s="845"/>
      <c r="M37" s="845"/>
      <c r="N37" s="561"/>
    </row>
    <row r="38" spans="1:14">
      <c r="A38" s="235"/>
      <c r="B38" s="257"/>
      <c r="C38" s="258"/>
      <c r="D38" s="258"/>
      <c r="E38" s="258"/>
      <c r="F38" s="258"/>
      <c r="G38" s="259"/>
      <c r="I38" s="845"/>
      <c r="J38" s="845"/>
      <c r="K38" s="845"/>
      <c r="L38" s="845"/>
      <c r="M38" s="845"/>
      <c r="N38" s="561"/>
    </row>
    <row r="39" spans="1:14" ht="15.75" thickBot="1">
      <c r="A39" s="260">
        <v>30</v>
      </c>
      <c r="B39" s="261" t="s">
        <v>374</v>
      </c>
      <c r="C39" s="169"/>
      <c r="D39" s="170"/>
      <c r="E39" s="170"/>
      <c r="F39" s="171"/>
      <c r="G39" s="262">
        <f>IFERROR(G21/G37,0)</f>
        <v>1.6625595205184167</v>
      </c>
      <c r="I39" s="845"/>
      <c r="J39" s="845"/>
      <c r="K39" s="845"/>
      <c r="L39" s="845"/>
      <c r="M39" s="845"/>
      <c r="N39" s="561"/>
    </row>
    <row r="40" spans="1:14">
      <c r="J40" s="561"/>
      <c r="K40" s="561"/>
      <c r="L40" s="561"/>
      <c r="M40" s="561"/>
      <c r="N40" s="561"/>
    </row>
    <row r="42" spans="1:14" ht="39">
      <c r="B42" s="125"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O40"/>
  <sheetViews>
    <sheetView showGridLines="0" zoomScale="80" zoomScaleNormal="80" workbookViewId="0"/>
  </sheetViews>
  <sheetFormatPr defaultColWidth="9.140625" defaultRowHeight="12.75"/>
  <cols>
    <col min="1" max="1" width="11.85546875" style="270" bestFit="1" customWidth="1"/>
    <col min="2" max="2" width="105.140625" style="270" bestFit="1" customWidth="1"/>
    <col min="3" max="3" width="18.85546875" style="270" bestFit="1" customWidth="1"/>
    <col min="4" max="4" width="19.28515625" style="270" bestFit="1" customWidth="1"/>
    <col min="5" max="6" width="18.85546875" style="270" bestFit="1" customWidth="1"/>
    <col min="7" max="7" width="30.42578125" style="270" customWidth="1"/>
    <col min="8" max="8" width="20.85546875" style="270" bestFit="1" customWidth="1"/>
    <col min="9" max="9" width="9.140625" style="270"/>
    <col min="10" max="11" width="16.42578125" style="270" bestFit="1" customWidth="1"/>
    <col min="12" max="13" width="16" style="270" bestFit="1" customWidth="1"/>
    <col min="14" max="14" width="15.7109375" style="270" bestFit="1" customWidth="1"/>
    <col min="15" max="15" width="17.7109375" style="270" bestFit="1" customWidth="1"/>
    <col min="16" max="16384" width="9.140625" style="270"/>
  </cols>
  <sheetData>
    <row r="1" spans="1:15" ht="13.5">
      <c r="A1" s="268" t="s">
        <v>30</v>
      </c>
      <c r="B1" s="334" t="str">
        <f>'Info '!C2</f>
        <v>JSC Cartu Bank</v>
      </c>
    </row>
    <row r="2" spans="1:15">
      <c r="A2" s="268" t="s">
        <v>31</v>
      </c>
      <c r="B2" s="534">
        <f>'1. key ratios '!B2</f>
        <v>45747</v>
      </c>
    </row>
    <row r="3" spans="1:15">
      <c r="A3" s="269" t="s">
        <v>380</v>
      </c>
    </row>
    <row r="5" spans="1:15" ht="12" customHeight="1">
      <c r="A5" s="775" t="s">
        <v>381</v>
      </c>
      <c r="B5" s="776"/>
      <c r="C5" s="781" t="s">
        <v>382</v>
      </c>
      <c r="D5" s="782"/>
      <c r="E5" s="782"/>
      <c r="F5" s="782"/>
      <c r="G5" s="782"/>
      <c r="H5" s="783"/>
    </row>
    <row r="6" spans="1:15">
      <c r="A6" s="777"/>
      <c r="B6" s="778"/>
      <c r="C6" s="784"/>
      <c r="D6" s="785"/>
      <c r="E6" s="785"/>
      <c r="F6" s="785"/>
      <c r="G6" s="785"/>
      <c r="H6" s="786"/>
    </row>
    <row r="7" spans="1:15">
      <c r="A7" s="779"/>
      <c r="B7" s="780"/>
      <c r="C7" s="333" t="s">
        <v>383</v>
      </c>
      <c r="D7" s="333" t="s">
        <v>384</v>
      </c>
      <c r="E7" s="333" t="s">
        <v>385</v>
      </c>
      <c r="F7" s="333" t="s">
        <v>386</v>
      </c>
      <c r="G7" s="333" t="s">
        <v>387</v>
      </c>
      <c r="H7" s="333" t="s">
        <v>64</v>
      </c>
    </row>
    <row r="8" spans="1:15">
      <c r="A8" s="329">
        <v>1</v>
      </c>
      <c r="B8" s="328" t="s">
        <v>51</v>
      </c>
      <c r="C8" s="666">
        <v>284804637</v>
      </c>
      <c r="D8" s="666">
        <v>7595661.6335474616</v>
      </c>
      <c r="E8" s="666">
        <v>21000731.716899998</v>
      </c>
      <c r="F8" s="666">
        <v>0</v>
      </c>
      <c r="G8" s="666">
        <v>0</v>
      </c>
      <c r="H8" s="667">
        <f t="shared" ref="H8:H21" si="0">SUM(C8:G8)</f>
        <v>313401030.35044748</v>
      </c>
      <c r="J8" s="665"/>
      <c r="K8" s="665"/>
      <c r="L8" s="665"/>
      <c r="M8" s="665"/>
      <c r="N8" s="665"/>
      <c r="O8" s="665"/>
    </row>
    <row r="9" spans="1:15">
      <c r="A9" s="329">
        <v>2</v>
      </c>
      <c r="B9" s="328" t="s">
        <v>52</v>
      </c>
      <c r="C9" s="666">
        <v>0</v>
      </c>
      <c r="D9" s="666">
        <v>0</v>
      </c>
      <c r="E9" s="666">
        <v>0</v>
      </c>
      <c r="F9" s="666">
        <v>0</v>
      </c>
      <c r="G9" s="666">
        <v>0</v>
      </c>
      <c r="H9" s="667">
        <f t="shared" si="0"/>
        <v>0</v>
      </c>
      <c r="J9" s="665"/>
      <c r="K9" s="665"/>
      <c r="L9" s="665"/>
      <c r="M9" s="665"/>
      <c r="N9" s="665"/>
      <c r="O9" s="665"/>
    </row>
    <row r="10" spans="1:15">
      <c r="A10" s="329">
        <v>3</v>
      </c>
      <c r="B10" s="328" t="s">
        <v>152</v>
      </c>
      <c r="C10" s="666">
        <v>0</v>
      </c>
      <c r="D10" s="666">
        <v>0</v>
      </c>
      <c r="E10" s="666">
        <v>0</v>
      </c>
      <c r="F10" s="666">
        <v>0</v>
      </c>
      <c r="G10" s="666">
        <v>0</v>
      </c>
      <c r="H10" s="667">
        <f t="shared" si="0"/>
        <v>0</v>
      </c>
      <c r="J10" s="665"/>
      <c r="K10" s="665"/>
      <c r="L10" s="665"/>
      <c r="M10" s="665"/>
      <c r="N10" s="665"/>
      <c r="O10" s="665"/>
    </row>
    <row r="11" spans="1:15">
      <c r="A11" s="329">
        <v>4</v>
      </c>
      <c r="B11" s="328" t="s">
        <v>53</v>
      </c>
      <c r="C11" s="666">
        <v>0</v>
      </c>
      <c r="D11" s="666">
        <v>0</v>
      </c>
      <c r="E11" s="666">
        <v>0</v>
      </c>
      <c r="F11" s="666">
        <v>0</v>
      </c>
      <c r="G11" s="666">
        <v>0</v>
      </c>
      <c r="H11" s="667">
        <f t="shared" si="0"/>
        <v>0</v>
      </c>
      <c r="J11" s="665"/>
      <c r="K11" s="665"/>
      <c r="L11" s="665"/>
      <c r="M11" s="665"/>
      <c r="N11" s="665"/>
      <c r="O11" s="665"/>
    </row>
    <row r="12" spans="1:15">
      <c r="A12" s="329">
        <v>5</v>
      </c>
      <c r="B12" s="328" t="s">
        <v>54</v>
      </c>
      <c r="C12" s="666">
        <v>0</v>
      </c>
      <c r="D12" s="666">
        <v>0</v>
      </c>
      <c r="E12" s="666">
        <v>0</v>
      </c>
      <c r="F12" s="666">
        <v>0</v>
      </c>
      <c r="G12" s="666">
        <v>0</v>
      </c>
      <c r="H12" s="667">
        <f t="shared" si="0"/>
        <v>0</v>
      </c>
      <c r="J12" s="665"/>
      <c r="K12" s="665"/>
      <c r="L12" s="665"/>
      <c r="M12" s="665"/>
      <c r="N12" s="665"/>
      <c r="O12" s="665"/>
    </row>
    <row r="13" spans="1:15">
      <c r="A13" s="329">
        <v>6</v>
      </c>
      <c r="B13" s="328" t="s">
        <v>55</v>
      </c>
      <c r="C13" s="666">
        <v>22974562.828599997</v>
      </c>
      <c r="D13" s="666">
        <v>257664103.53072134</v>
      </c>
      <c r="E13" s="666">
        <v>0</v>
      </c>
      <c r="F13" s="666">
        <v>3145186.9033945482</v>
      </c>
      <c r="G13" s="666">
        <v>0</v>
      </c>
      <c r="H13" s="667">
        <f t="shared" si="0"/>
        <v>283783853.26271588</v>
      </c>
      <c r="J13" s="665"/>
      <c r="K13" s="665"/>
      <c r="L13" s="665"/>
      <c r="M13" s="665"/>
      <c r="N13" s="665"/>
      <c r="O13" s="665"/>
    </row>
    <row r="14" spans="1:15">
      <c r="A14" s="329">
        <v>7</v>
      </c>
      <c r="B14" s="328" t="s">
        <v>56</v>
      </c>
      <c r="C14" s="666">
        <v>0</v>
      </c>
      <c r="D14" s="666">
        <v>488089643.41402799</v>
      </c>
      <c r="E14" s="666">
        <v>241535708.12878874</v>
      </c>
      <c r="F14" s="666">
        <v>277018725.43369079</v>
      </c>
      <c r="G14" s="666">
        <v>31563684.140792742</v>
      </c>
      <c r="H14" s="667">
        <f t="shared" si="0"/>
        <v>1038207761.1173003</v>
      </c>
      <c r="J14" s="665"/>
      <c r="K14" s="665"/>
      <c r="L14" s="665"/>
      <c r="M14" s="665"/>
      <c r="N14" s="665"/>
      <c r="O14" s="665"/>
    </row>
    <row r="15" spans="1:15">
      <c r="A15" s="329">
        <v>8</v>
      </c>
      <c r="B15" s="330" t="s">
        <v>57</v>
      </c>
      <c r="C15" s="666">
        <v>0</v>
      </c>
      <c r="D15" s="666">
        <v>0</v>
      </c>
      <c r="E15" s="666">
        <v>0</v>
      </c>
      <c r="F15" s="666">
        <v>0</v>
      </c>
      <c r="G15" s="666">
        <v>0</v>
      </c>
      <c r="H15" s="667">
        <f t="shared" si="0"/>
        <v>0</v>
      </c>
      <c r="J15" s="665"/>
      <c r="K15" s="665"/>
      <c r="L15" s="665"/>
      <c r="M15" s="665"/>
      <c r="N15" s="665"/>
      <c r="O15" s="665"/>
    </row>
    <row r="16" spans="1:15">
      <c r="A16" s="329">
        <v>9</v>
      </c>
      <c r="B16" s="328" t="s">
        <v>58</v>
      </c>
      <c r="C16" s="666">
        <v>0</v>
      </c>
      <c r="D16" s="666">
        <v>0</v>
      </c>
      <c r="E16" s="666">
        <v>0</v>
      </c>
      <c r="F16" s="666">
        <v>0</v>
      </c>
      <c r="G16" s="666">
        <v>0</v>
      </c>
      <c r="H16" s="667">
        <f t="shared" si="0"/>
        <v>0</v>
      </c>
      <c r="J16" s="665"/>
      <c r="K16" s="665"/>
      <c r="L16" s="665"/>
      <c r="M16" s="665"/>
      <c r="N16" s="665"/>
      <c r="O16" s="665"/>
    </row>
    <row r="17" spans="1:15">
      <c r="A17" s="329">
        <v>10</v>
      </c>
      <c r="B17" s="332" t="s">
        <v>395</v>
      </c>
      <c r="C17" s="666">
        <v>0</v>
      </c>
      <c r="D17" s="666">
        <v>5228031.0213385057</v>
      </c>
      <c r="E17" s="666">
        <v>24743104.603113346</v>
      </c>
      <c r="F17" s="666">
        <v>191780.74088015838</v>
      </c>
      <c r="G17" s="666">
        <v>31302563.431052353</v>
      </c>
      <c r="H17" s="667">
        <f t="shared" si="0"/>
        <v>61465479.796384364</v>
      </c>
      <c r="J17" s="665"/>
      <c r="K17" s="665"/>
      <c r="L17" s="665"/>
      <c r="M17" s="665"/>
      <c r="N17" s="665"/>
      <c r="O17" s="665"/>
    </row>
    <row r="18" spans="1:15">
      <c r="A18" s="329">
        <v>11</v>
      </c>
      <c r="B18" s="328" t="s">
        <v>60</v>
      </c>
      <c r="C18" s="666">
        <v>0</v>
      </c>
      <c r="D18" s="666">
        <v>0</v>
      </c>
      <c r="E18" s="666">
        <v>0</v>
      </c>
      <c r="F18" s="666">
        <v>0</v>
      </c>
      <c r="G18" s="666">
        <v>0</v>
      </c>
      <c r="H18" s="667">
        <f t="shared" si="0"/>
        <v>0</v>
      </c>
      <c r="J18" s="665"/>
      <c r="K18" s="665"/>
      <c r="L18" s="665"/>
      <c r="M18" s="665"/>
      <c r="N18" s="665"/>
      <c r="O18" s="665"/>
    </row>
    <row r="19" spans="1:15">
      <c r="A19" s="329">
        <v>12</v>
      </c>
      <c r="B19" s="328" t="s">
        <v>61</v>
      </c>
      <c r="C19" s="666">
        <v>0</v>
      </c>
      <c r="D19" s="666">
        <v>0</v>
      </c>
      <c r="E19" s="666">
        <v>0</v>
      </c>
      <c r="F19" s="666">
        <v>0</v>
      </c>
      <c r="G19" s="666">
        <v>0</v>
      </c>
      <c r="H19" s="667">
        <f t="shared" si="0"/>
        <v>0</v>
      </c>
      <c r="J19" s="665"/>
      <c r="K19" s="665"/>
      <c r="L19" s="665"/>
      <c r="M19" s="665"/>
      <c r="N19" s="665"/>
      <c r="O19" s="665"/>
    </row>
    <row r="20" spans="1:15">
      <c r="A20" s="331">
        <v>13</v>
      </c>
      <c r="B20" s="330" t="s">
        <v>144</v>
      </c>
      <c r="C20" s="666">
        <v>0</v>
      </c>
      <c r="D20" s="666">
        <v>0</v>
      </c>
      <c r="E20" s="666">
        <v>0</v>
      </c>
      <c r="F20" s="666">
        <v>0</v>
      </c>
      <c r="G20" s="666">
        <v>0</v>
      </c>
      <c r="H20" s="667">
        <f t="shared" si="0"/>
        <v>0</v>
      </c>
      <c r="J20" s="665"/>
      <c r="K20" s="665"/>
      <c r="L20" s="665"/>
      <c r="M20" s="665"/>
      <c r="N20" s="665"/>
      <c r="O20" s="665"/>
    </row>
    <row r="21" spans="1:15">
      <c r="A21" s="329">
        <v>14</v>
      </c>
      <c r="B21" s="328" t="s">
        <v>63</v>
      </c>
      <c r="C21" s="666">
        <v>46297032.329999998</v>
      </c>
      <c r="D21" s="666">
        <v>7447931.353915642</v>
      </c>
      <c r="E21" s="666">
        <v>6215324.9316962762</v>
      </c>
      <c r="F21" s="666">
        <v>26985554.925574116</v>
      </c>
      <c r="G21" s="666">
        <v>87329258.594810963</v>
      </c>
      <c r="H21" s="667">
        <f t="shared" si="0"/>
        <v>174275102.135997</v>
      </c>
      <c r="J21" s="665"/>
      <c r="K21" s="665"/>
      <c r="L21" s="665"/>
      <c r="M21" s="665"/>
      <c r="N21" s="665"/>
      <c r="O21" s="665"/>
    </row>
    <row r="22" spans="1:15">
      <c r="A22" s="327">
        <v>15</v>
      </c>
      <c r="B22" s="326" t="s">
        <v>64</v>
      </c>
      <c r="C22" s="667">
        <f>SUM(C18:C21)+SUM(C8:C16)</f>
        <v>354076232.15859997</v>
      </c>
      <c r="D22" s="667">
        <f t="shared" ref="D22:H22" si="1">SUM(D18:D21)+SUM(D8:D16)</f>
        <v>760797339.93221247</v>
      </c>
      <c r="E22" s="667">
        <f t="shared" si="1"/>
        <v>268751764.777385</v>
      </c>
      <c r="F22" s="667">
        <f t="shared" si="1"/>
        <v>307149467.26265943</v>
      </c>
      <c r="G22" s="667">
        <f t="shared" si="1"/>
        <v>118892942.73560371</v>
      </c>
      <c r="H22" s="667">
        <f t="shared" si="1"/>
        <v>1809667746.8664606</v>
      </c>
      <c r="J22" s="665"/>
      <c r="K22" s="665"/>
      <c r="L22" s="665"/>
      <c r="M22" s="665"/>
      <c r="N22" s="665"/>
      <c r="O22" s="665"/>
    </row>
    <row r="26" spans="1:15" ht="25.5">
      <c r="B26" s="273" t="s">
        <v>482</v>
      </c>
      <c r="C26" s="672"/>
      <c r="D26" s="672"/>
      <c r="E26" s="672"/>
      <c r="F26" s="672"/>
      <c r="G26" s="672"/>
      <c r="H26" s="672"/>
    </row>
    <row r="27" spans="1:15">
      <c r="C27" s="672"/>
      <c r="D27" s="672"/>
      <c r="E27" s="672"/>
      <c r="F27" s="672"/>
      <c r="G27" s="672"/>
      <c r="H27" s="672"/>
    </row>
    <row r="28" spans="1:15">
      <c r="C28" s="672"/>
      <c r="D28" s="672"/>
      <c r="E28" s="672"/>
      <c r="F28" s="672"/>
      <c r="G28" s="672"/>
      <c r="H28" s="672"/>
    </row>
    <row r="29" spans="1:15">
      <c r="C29" s="672"/>
      <c r="D29" s="672"/>
      <c r="E29" s="672"/>
      <c r="F29" s="672"/>
      <c r="G29" s="672"/>
      <c r="H29" s="672"/>
    </row>
    <row r="30" spans="1:15">
      <c r="C30" s="672"/>
      <c r="D30" s="672"/>
      <c r="E30" s="672"/>
      <c r="F30" s="672"/>
      <c r="G30" s="672"/>
      <c r="H30" s="672"/>
    </row>
    <row r="31" spans="1:15">
      <c r="C31" s="672"/>
      <c r="D31" s="672"/>
      <c r="E31" s="672"/>
      <c r="F31" s="672"/>
      <c r="G31" s="672"/>
      <c r="H31" s="672"/>
    </row>
    <row r="32" spans="1:15">
      <c r="C32" s="672"/>
      <c r="D32" s="672"/>
      <c r="E32" s="672"/>
      <c r="F32" s="672"/>
      <c r="G32" s="672"/>
      <c r="H32" s="672"/>
    </row>
    <row r="33" spans="3:8">
      <c r="C33" s="672"/>
      <c r="D33" s="672"/>
      <c r="E33" s="672"/>
      <c r="F33" s="672"/>
      <c r="G33" s="672"/>
      <c r="H33" s="672"/>
    </row>
    <row r="34" spans="3:8">
      <c r="C34" s="672"/>
      <c r="D34" s="672"/>
      <c r="E34" s="672"/>
      <c r="F34" s="672"/>
      <c r="G34" s="672"/>
      <c r="H34" s="672"/>
    </row>
    <row r="35" spans="3:8">
      <c r="C35" s="672"/>
      <c r="D35" s="672"/>
      <c r="E35" s="672"/>
      <c r="F35" s="672"/>
      <c r="G35" s="672"/>
      <c r="H35" s="672"/>
    </row>
    <row r="36" spans="3:8">
      <c r="C36" s="672"/>
      <c r="D36" s="672"/>
      <c r="E36" s="672"/>
      <c r="F36" s="672"/>
      <c r="G36" s="672"/>
      <c r="H36" s="672"/>
    </row>
    <row r="37" spans="3:8">
      <c r="C37" s="672"/>
      <c r="D37" s="672"/>
      <c r="E37" s="672"/>
      <c r="F37" s="672"/>
      <c r="G37" s="672"/>
      <c r="H37" s="672"/>
    </row>
    <row r="38" spans="3:8">
      <c r="C38" s="672"/>
      <c r="D38" s="672"/>
      <c r="E38" s="672"/>
      <c r="F38" s="672"/>
      <c r="G38" s="672"/>
      <c r="H38" s="672"/>
    </row>
    <row r="39" spans="3:8">
      <c r="C39" s="672"/>
      <c r="D39" s="672"/>
      <c r="E39" s="672"/>
      <c r="F39" s="672"/>
      <c r="G39" s="672"/>
      <c r="H39" s="672"/>
    </row>
    <row r="40" spans="3:8">
      <c r="C40" s="672"/>
      <c r="D40" s="672"/>
      <c r="E40" s="672"/>
      <c r="F40" s="672"/>
      <c r="G40" s="672"/>
      <c r="H40" s="672"/>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R44"/>
  <sheetViews>
    <sheetView showGridLines="0" zoomScale="80" zoomScaleNormal="80" workbookViewId="0"/>
  </sheetViews>
  <sheetFormatPr defaultColWidth="9.140625" defaultRowHeight="12.75"/>
  <cols>
    <col min="1" max="1" width="11.85546875" style="335" bestFit="1" customWidth="1"/>
    <col min="2" max="2" width="86.85546875" style="270" customWidth="1"/>
    <col min="3" max="4" width="31.5703125" style="270" customWidth="1"/>
    <col min="5" max="5" width="15.140625" style="270" bestFit="1" customWidth="1"/>
    <col min="6" max="6" width="11.85546875" style="270" bestFit="1" customWidth="1"/>
    <col min="7" max="7" width="21.5703125" style="270" bestFit="1" customWidth="1"/>
    <col min="8" max="8" width="41.42578125" style="270" customWidth="1"/>
    <col min="9" max="10" width="9.140625" style="270"/>
    <col min="11" max="11" width="16" style="665" bestFit="1" customWidth="1"/>
    <col min="12" max="12" width="17" style="665" bestFit="1" customWidth="1"/>
    <col min="13" max="13" width="15.28515625" style="665" bestFit="1" customWidth="1"/>
    <col min="14" max="14" width="9.28515625" style="665" bestFit="1" customWidth="1"/>
    <col min="15" max="15" width="13.7109375" style="665" bestFit="1" customWidth="1"/>
    <col min="16" max="16" width="17.7109375" style="665" bestFit="1" customWidth="1"/>
    <col min="17" max="16384" width="9.140625" style="270"/>
  </cols>
  <sheetData>
    <row r="1" spans="1:8" ht="13.5">
      <c r="A1" s="268" t="s">
        <v>30</v>
      </c>
      <c r="B1" s="334" t="str">
        <f>'Info '!C2</f>
        <v>JSC Cartu Bank</v>
      </c>
      <c r="C1" s="347"/>
      <c r="D1" s="347"/>
      <c r="E1" s="347"/>
      <c r="F1" s="347"/>
      <c r="G1" s="347"/>
      <c r="H1" s="347"/>
    </row>
    <row r="2" spans="1:8">
      <c r="A2" s="268" t="s">
        <v>31</v>
      </c>
      <c r="B2" s="534">
        <f>'1. key ratios '!B2</f>
        <v>45747</v>
      </c>
      <c r="C2" s="347"/>
      <c r="D2" s="347"/>
      <c r="E2" s="347"/>
      <c r="F2" s="347"/>
      <c r="G2" s="347"/>
      <c r="H2" s="347"/>
    </row>
    <row r="3" spans="1:8">
      <c r="A3" s="269" t="s">
        <v>388</v>
      </c>
      <c r="B3" s="347"/>
      <c r="C3" s="347"/>
      <c r="D3" s="347"/>
      <c r="E3" s="347"/>
      <c r="F3" s="347"/>
      <c r="G3" s="347"/>
      <c r="H3" s="347"/>
    </row>
    <row r="4" spans="1:8">
      <c r="A4" s="348"/>
      <c r="B4" s="347"/>
      <c r="C4" s="346" t="s">
        <v>0</v>
      </c>
      <c r="D4" s="346" t="s">
        <v>1</v>
      </c>
      <c r="E4" s="346" t="s">
        <v>2</v>
      </c>
      <c r="F4" s="346" t="s">
        <v>3</v>
      </c>
      <c r="G4" s="346" t="s">
        <v>4</v>
      </c>
      <c r="H4" s="346" t="s">
        <v>5</v>
      </c>
    </row>
    <row r="5" spans="1:8" ht="33.950000000000003" customHeight="1">
      <c r="A5" s="775" t="s">
        <v>389</v>
      </c>
      <c r="B5" s="776"/>
      <c r="C5" s="789" t="s">
        <v>390</v>
      </c>
      <c r="D5" s="789"/>
      <c r="E5" s="789" t="s">
        <v>627</v>
      </c>
      <c r="F5" s="787" t="s">
        <v>391</v>
      </c>
      <c r="G5" s="787" t="s">
        <v>392</v>
      </c>
      <c r="H5" s="344" t="s">
        <v>626</v>
      </c>
    </row>
    <row r="6" spans="1:8" ht="25.5">
      <c r="A6" s="779"/>
      <c r="B6" s="780"/>
      <c r="C6" s="345" t="s">
        <v>393</v>
      </c>
      <c r="D6" s="345" t="s">
        <v>394</v>
      </c>
      <c r="E6" s="789"/>
      <c r="F6" s="788"/>
      <c r="G6" s="788"/>
      <c r="H6" s="344" t="s">
        <v>625</v>
      </c>
    </row>
    <row r="7" spans="1:8">
      <c r="A7" s="342">
        <v>1</v>
      </c>
      <c r="B7" s="328" t="s">
        <v>51</v>
      </c>
      <c r="C7" s="668">
        <v>0</v>
      </c>
      <c r="D7" s="668">
        <v>313535134.86320555</v>
      </c>
      <c r="E7" s="668">
        <v>112144.40343287736</v>
      </c>
      <c r="F7" s="668">
        <v>0</v>
      </c>
      <c r="G7" s="668">
        <v>0</v>
      </c>
      <c r="H7" s="669">
        <f>C7+D7-E7-F7</f>
        <v>313422990.45977265</v>
      </c>
    </row>
    <row r="8" spans="1:8">
      <c r="A8" s="342">
        <v>2</v>
      </c>
      <c r="B8" s="328" t="s">
        <v>52</v>
      </c>
      <c r="C8" s="668">
        <v>0</v>
      </c>
      <c r="D8" s="668">
        <v>0</v>
      </c>
      <c r="E8" s="668">
        <v>0</v>
      </c>
      <c r="F8" s="668">
        <v>0</v>
      </c>
      <c r="G8" s="668">
        <v>0</v>
      </c>
      <c r="H8" s="669">
        <f t="shared" ref="H8:H20" si="0">C8+D8-E8-F8</f>
        <v>0</v>
      </c>
    </row>
    <row r="9" spans="1:8">
      <c r="A9" s="342">
        <v>3</v>
      </c>
      <c r="B9" s="328" t="s">
        <v>152</v>
      </c>
      <c r="C9" s="668">
        <v>0</v>
      </c>
      <c r="D9" s="668">
        <v>0</v>
      </c>
      <c r="E9" s="668">
        <v>0</v>
      </c>
      <c r="F9" s="668">
        <v>0</v>
      </c>
      <c r="G9" s="668">
        <v>0</v>
      </c>
      <c r="H9" s="669">
        <f t="shared" si="0"/>
        <v>0</v>
      </c>
    </row>
    <row r="10" spans="1:8">
      <c r="A10" s="342">
        <v>4</v>
      </c>
      <c r="B10" s="328" t="s">
        <v>53</v>
      </c>
      <c r="C10" s="668">
        <v>0</v>
      </c>
      <c r="D10" s="668">
        <v>0</v>
      </c>
      <c r="E10" s="668">
        <v>0</v>
      </c>
      <c r="F10" s="668">
        <v>0</v>
      </c>
      <c r="G10" s="668">
        <v>0</v>
      </c>
      <c r="H10" s="669">
        <f t="shared" si="0"/>
        <v>0</v>
      </c>
    </row>
    <row r="11" spans="1:8">
      <c r="A11" s="342">
        <v>5</v>
      </c>
      <c r="B11" s="328" t="s">
        <v>54</v>
      </c>
      <c r="C11" s="668">
        <v>0</v>
      </c>
      <c r="D11" s="668">
        <v>0</v>
      </c>
      <c r="E11" s="668">
        <v>0</v>
      </c>
      <c r="F11" s="668">
        <v>0</v>
      </c>
      <c r="G11" s="668">
        <v>0</v>
      </c>
      <c r="H11" s="669">
        <f t="shared" si="0"/>
        <v>0</v>
      </c>
    </row>
    <row r="12" spans="1:8">
      <c r="A12" s="342">
        <v>6</v>
      </c>
      <c r="B12" s="328" t="s">
        <v>55</v>
      </c>
      <c r="C12" s="668">
        <v>0</v>
      </c>
      <c r="D12" s="668">
        <v>283852731.70649999</v>
      </c>
      <c r="E12" s="668">
        <v>68878.450484116387</v>
      </c>
      <c r="F12" s="668">
        <v>0</v>
      </c>
      <c r="G12" s="668">
        <v>0</v>
      </c>
      <c r="H12" s="669">
        <f t="shared" si="0"/>
        <v>283783853.2560159</v>
      </c>
    </row>
    <row r="13" spans="1:8">
      <c r="A13" s="342">
        <v>7</v>
      </c>
      <c r="B13" s="328" t="s">
        <v>56</v>
      </c>
      <c r="C13" s="668">
        <v>122787936.98032165</v>
      </c>
      <c r="D13" s="668">
        <v>971297919.03447747</v>
      </c>
      <c r="E13" s="668">
        <v>55878094.897497155</v>
      </c>
      <c r="F13" s="668">
        <v>0</v>
      </c>
      <c r="G13" s="668">
        <v>1176940.29</v>
      </c>
      <c r="H13" s="669">
        <f t="shared" si="0"/>
        <v>1038207761.1173019</v>
      </c>
    </row>
    <row r="14" spans="1:8">
      <c r="A14" s="342">
        <v>8</v>
      </c>
      <c r="B14" s="330" t="s">
        <v>57</v>
      </c>
      <c r="C14" s="668">
        <v>0</v>
      </c>
      <c r="D14" s="668">
        <v>0</v>
      </c>
      <c r="E14" s="668">
        <v>0</v>
      </c>
      <c r="F14" s="668">
        <v>0</v>
      </c>
      <c r="G14" s="668">
        <v>0</v>
      </c>
      <c r="H14" s="669">
        <f t="shared" si="0"/>
        <v>0</v>
      </c>
    </row>
    <row r="15" spans="1:8">
      <c r="A15" s="342">
        <v>9</v>
      </c>
      <c r="B15" s="328" t="s">
        <v>58</v>
      </c>
      <c r="C15" s="668">
        <v>0</v>
      </c>
      <c r="D15" s="668">
        <v>0</v>
      </c>
      <c r="E15" s="668">
        <v>0</v>
      </c>
      <c r="F15" s="668">
        <v>0</v>
      </c>
      <c r="G15" s="668">
        <v>0</v>
      </c>
      <c r="H15" s="669">
        <f t="shared" si="0"/>
        <v>0</v>
      </c>
    </row>
    <row r="16" spans="1:8">
      <c r="A16" s="342">
        <v>10</v>
      </c>
      <c r="B16" s="332" t="s">
        <v>395</v>
      </c>
      <c r="C16" s="668">
        <v>78330457.899704143</v>
      </c>
      <c r="D16" s="668">
        <v>0</v>
      </c>
      <c r="E16" s="668">
        <v>16864978.10331976</v>
      </c>
      <c r="F16" s="668">
        <v>0</v>
      </c>
      <c r="G16" s="668">
        <v>1177946.42</v>
      </c>
      <c r="H16" s="669">
        <f t="shared" si="0"/>
        <v>61465479.796384379</v>
      </c>
    </row>
    <row r="17" spans="1:18">
      <c r="A17" s="342">
        <v>11</v>
      </c>
      <c r="B17" s="328" t="s">
        <v>60</v>
      </c>
      <c r="C17" s="668">
        <v>0</v>
      </c>
      <c r="D17" s="668">
        <v>0</v>
      </c>
      <c r="E17" s="668">
        <v>0</v>
      </c>
      <c r="F17" s="668">
        <v>0</v>
      </c>
      <c r="G17" s="668">
        <v>0</v>
      </c>
      <c r="H17" s="669">
        <f t="shared" si="0"/>
        <v>0</v>
      </c>
    </row>
    <row r="18" spans="1:18">
      <c r="A18" s="342">
        <v>12</v>
      </c>
      <c r="B18" s="328" t="s">
        <v>61</v>
      </c>
      <c r="C18" s="668">
        <v>0</v>
      </c>
      <c r="D18" s="668">
        <v>0</v>
      </c>
      <c r="E18" s="668">
        <v>0</v>
      </c>
      <c r="F18" s="668">
        <v>0</v>
      </c>
      <c r="G18" s="668">
        <v>0</v>
      </c>
      <c r="H18" s="669">
        <f t="shared" si="0"/>
        <v>0</v>
      </c>
    </row>
    <row r="19" spans="1:18">
      <c r="A19" s="343">
        <v>13</v>
      </c>
      <c r="B19" s="330" t="s">
        <v>144</v>
      </c>
      <c r="C19" s="668">
        <v>0</v>
      </c>
      <c r="D19" s="668">
        <v>0</v>
      </c>
      <c r="E19" s="668">
        <v>0</v>
      </c>
      <c r="F19" s="668">
        <v>0</v>
      </c>
      <c r="G19" s="668">
        <v>0</v>
      </c>
      <c r="H19" s="669">
        <f t="shared" si="0"/>
        <v>0</v>
      </c>
    </row>
    <row r="20" spans="1:18">
      <c r="A20" s="342">
        <v>14</v>
      </c>
      <c r="B20" s="328" t="s">
        <v>63</v>
      </c>
      <c r="C20" s="668">
        <v>3038831.1992071602</v>
      </c>
      <c r="D20" s="668">
        <v>185089032.91020533</v>
      </c>
      <c r="E20" s="668">
        <v>1502347.6234154205</v>
      </c>
      <c r="F20" s="668">
        <v>0</v>
      </c>
      <c r="G20" s="668">
        <v>27526.710000000003</v>
      </c>
      <c r="H20" s="669">
        <f t="shared" si="0"/>
        <v>186625516.48599708</v>
      </c>
    </row>
    <row r="21" spans="1:18" s="339" customFormat="1">
      <c r="A21" s="341">
        <v>15</v>
      </c>
      <c r="B21" s="340" t="s">
        <v>64</v>
      </c>
      <c r="C21" s="670">
        <f t="shared" ref="C21:H21" si="1">SUM(C7:C15)+SUM(C17:C20)</f>
        <v>125826768.1795288</v>
      </c>
      <c r="D21" s="670">
        <f t="shared" si="1"/>
        <v>1753774818.5143883</v>
      </c>
      <c r="E21" s="670">
        <f t="shared" si="1"/>
        <v>57561465.374829568</v>
      </c>
      <c r="F21" s="670">
        <f t="shared" si="1"/>
        <v>0</v>
      </c>
      <c r="G21" s="670">
        <f t="shared" si="1"/>
        <v>1204467</v>
      </c>
      <c r="H21" s="671">
        <f t="shared" si="1"/>
        <v>1822040121.3190875</v>
      </c>
      <c r="K21" s="665"/>
      <c r="L21" s="665"/>
      <c r="M21" s="665"/>
      <c r="N21" s="665"/>
      <c r="O21" s="665"/>
      <c r="P21" s="665"/>
      <c r="Q21" s="270"/>
      <c r="R21" s="270"/>
    </row>
    <row r="22" spans="1:18">
      <c r="A22" s="338">
        <v>16</v>
      </c>
      <c r="B22" s="337" t="s">
        <v>396</v>
      </c>
      <c r="C22" s="668">
        <v>125570375.5850289</v>
      </c>
      <c r="D22" s="668">
        <v>970656706.81172335</v>
      </c>
      <c r="E22" s="668">
        <v>56793257.405083552</v>
      </c>
      <c r="F22" s="668">
        <v>0</v>
      </c>
      <c r="G22" s="668">
        <v>1177946.42</v>
      </c>
      <c r="H22" s="669">
        <f>C22+D22-E22-F22</f>
        <v>1039433824.9916688</v>
      </c>
    </row>
    <row r="23" spans="1:18">
      <c r="A23" s="338">
        <v>17</v>
      </c>
      <c r="B23" s="337" t="s">
        <v>397</v>
      </c>
      <c r="C23" s="668">
        <v>0</v>
      </c>
      <c r="D23" s="668">
        <v>68064682.288405567</v>
      </c>
      <c r="E23" s="668">
        <v>495854.14415922126</v>
      </c>
      <c r="F23" s="668">
        <v>0</v>
      </c>
      <c r="G23" s="668">
        <v>0</v>
      </c>
      <c r="H23" s="669">
        <f>C23+D23-E23-F23</f>
        <v>67568828.14424634</v>
      </c>
    </row>
    <row r="26" spans="1:18" ht="42.6" customHeight="1">
      <c r="B26" s="273" t="s">
        <v>482</v>
      </c>
    </row>
    <row r="28" spans="1:18">
      <c r="C28" s="672"/>
      <c r="D28" s="672"/>
      <c r="E28" s="672"/>
      <c r="F28" s="672"/>
      <c r="G28" s="672"/>
      <c r="H28" s="672"/>
    </row>
    <row r="29" spans="1:18">
      <c r="C29" s="672"/>
      <c r="D29" s="672"/>
      <c r="E29" s="672"/>
      <c r="F29" s="672"/>
      <c r="G29" s="672"/>
      <c r="H29" s="672"/>
    </row>
    <row r="30" spans="1:18">
      <c r="C30" s="672"/>
      <c r="D30" s="672"/>
      <c r="E30" s="672"/>
      <c r="F30" s="672"/>
      <c r="G30" s="672"/>
      <c r="H30" s="672"/>
    </row>
    <row r="31" spans="1:18">
      <c r="C31" s="672"/>
      <c r="D31" s="672"/>
      <c r="E31" s="672"/>
      <c r="F31" s="672"/>
      <c r="G31" s="672"/>
      <c r="H31" s="672"/>
    </row>
    <row r="32" spans="1:18">
      <c r="C32" s="672"/>
      <c r="D32" s="672"/>
      <c r="E32" s="672"/>
      <c r="F32" s="672"/>
      <c r="G32" s="672"/>
      <c r="H32" s="672"/>
    </row>
    <row r="33" spans="3:8">
      <c r="C33" s="672"/>
      <c r="D33" s="672"/>
      <c r="E33" s="672"/>
      <c r="F33" s="672"/>
      <c r="G33" s="672"/>
      <c r="H33" s="672"/>
    </row>
    <row r="34" spans="3:8">
      <c r="C34" s="672"/>
      <c r="D34" s="672"/>
      <c r="E34" s="672"/>
      <c r="F34" s="672"/>
      <c r="G34" s="672"/>
      <c r="H34" s="672"/>
    </row>
    <row r="35" spans="3:8">
      <c r="C35" s="672"/>
      <c r="D35" s="672"/>
      <c r="E35" s="672"/>
      <c r="F35" s="672"/>
      <c r="G35" s="672"/>
      <c r="H35" s="672"/>
    </row>
    <row r="36" spans="3:8">
      <c r="C36" s="672"/>
      <c r="D36" s="672"/>
      <c r="E36" s="672"/>
      <c r="F36" s="672"/>
      <c r="G36" s="672"/>
      <c r="H36" s="672"/>
    </row>
    <row r="37" spans="3:8">
      <c r="C37" s="672"/>
      <c r="D37" s="672"/>
      <c r="E37" s="672"/>
      <c r="F37" s="672"/>
      <c r="G37" s="672"/>
      <c r="H37" s="672"/>
    </row>
    <row r="38" spans="3:8">
      <c r="C38" s="672"/>
      <c r="D38" s="672"/>
      <c r="E38" s="672"/>
      <c r="F38" s="672"/>
      <c r="G38" s="672"/>
      <c r="H38" s="672"/>
    </row>
    <row r="39" spans="3:8">
      <c r="C39" s="672"/>
      <c r="D39" s="672"/>
      <c r="E39" s="672"/>
      <c r="F39" s="672"/>
      <c r="G39" s="672"/>
      <c r="H39" s="672"/>
    </row>
    <row r="40" spans="3:8">
      <c r="C40" s="672"/>
      <c r="D40" s="672"/>
      <c r="E40" s="672"/>
      <c r="F40" s="672"/>
      <c r="G40" s="672"/>
      <c r="H40" s="672"/>
    </row>
    <row r="41" spans="3:8">
      <c r="C41" s="672"/>
      <c r="D41" s="672"/>
      <c r="E41" s="672"/>
      <c r="F41" s="672"/>
      <c r="G41" s="672"/>
      <c r="H41" s="672"/>
    </row>
    <row r="42" spans="3:8">
      <c r="C42" s="672"/>
      <c r="D42" s="672"/>
      <c r="E42" s="672"/>
      <c r="F42" s="672"/>
      <c r="G42" s="672"/>
      <c r="H42" s="672"/>
    </row>
    <row r="43" spans="3:8">
      <c r="C43" s="672"/>
      <c r="D43" s="672"/>
      <c r="E43" s="672"/>
      <c r="F43" s="672"/>
      <c r="G43" s="672"/>
      <c r="H43" s="672"/>
    </row>
    <row r="44" spans="3:8">
      <c r="C44" s="672"/>
      <c r="D44" s="672"/>
      <c r="E44" s="672"/>
      <c r="F44" s="672"/>
      <c r="G44" s="672"/>
      <c r="H44" s="672"/>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O65"/>
  <sheetViews>
    <sheetView showGridLines="0" zoomScale="80" zoomScaleNormal="80" workbookViewId="0"/>
  </sheetViews>
  <sheetFormatPr defaultColWidth="9.140625" defaultRowHeight="12.75"/>
  <cols>
    <col min="1" max="1" width="11" style="270" bestFit="1" customWidth="1"/>
    <col min="2" max="2" width="93.42578125" style="270" customWidth="1"/>
    <col min="3" max="4" width="35" style="270" customWidth="1"/>
    <col min="5" max="5" width="15.140625" style="270" bestFit="1" customWidth="1"/>
    <col min="6" max="6" width="11.85546875" style="270" bestFit="1" customWidth="1"/>
    <col min="7" max="7" width="22" style="270" customWidth="1"/>
    <col min="8" max="8" width="19.85546875" style="270" customWidth="1"/>
    <col min="9" max="16384" width="9.140625" style="270"/>
  </cols>
  <sheetData>
    <row r="1" spans="1:15" ht="13.5">
      <c r="A1" s="268" t="s">
        <v>30</v>
      </c>
      <c r="B1" s="334" t="str">
        <f>'Info '!C2</f>
        <v>JSC Cartu Bank</v>
      </c>
      <c r="C1" s="347"/>
      <c r="D1" s="347"/>
      <c r="E1" s="347"/>
      <c r="F1" s="347"/>
      <c r="G1" s="347"/>
      <c r="H1" s="347"/>
    </row>
    <row r="2" spans="1:15">
      <c r="A2" s="268" t="s">
        <v>31</v>
      </c>
      <c r="B2" s="534">
        <f>'1. key ratios '!B2</f>
        <v>45747</v>
      </c>
      <c r="C2" s="347"/>
      <c r="D2" s="347"/>
      <c r="E2" s="347"/>
      <c r="F2" s="347"/>
      <c r="G2" s="347"/>
      <c r="H2" s="347"/>
    </row>
    <row r="3" spans="1:15">
      <c r="A3" s="269" t="s">
        <v>398</v>
      </c>
      <c r="B3" s="347"/>
      <c r="C3" s="347"/>
      <c r="D3" s="347"/>
      <c r="E3" s="347"/>
      <c r="F3" s="347"/>
      <c r="G3" s="347"/>
      <c r="H3" s="347"/>
    </row>
    <row r="4" spans="1:15">
      <c r="A4" s="348"/>
      <c r="B4" s="347"/>
      <c r="C4" s="346" t="s">
        <v>0</v>
      </c>
      <c r="D4" s="346" t="s">
        <v>1</v>
      </c>
      <c r="E4" s="346" t="s">
        <v>2</v>
      </c>
      <c r="F4" s="346" t="s">
        <v>3</v>
      </c>
      <c r="G4" s="346" t="s">
        <v>4</v>
      </c>
      <c r="H4" s="346" t="s">
        <v>5</v>
      </c>
    </row>
    <row r="5" spans="1:15" ht="41.45" customHeight="1">
      <c r="A5" s="775" t="s">
        <v>389</v>
      </c>
      <c r="B5" s="776"/>
      <c r="C5" s="789" t="s">
        <v>390</v>
      </c>
      <c r="D5" s="789"/>
      <c r="E5" s="789" t="s">
        <v>627</v>
      </c>
      <c r="F5" s="787" t="s">
        <v>391</v>
      </c>
      <c r="G5" s="787" t="s">
        <v>392</v>
      </c>
      <c r="H5" s="344" t="s">
        <v>626</v>
      </c>
    </row>
    <row r="6" spans="1:15" ht="25.5">
      <c r="A6" s="779"/>
      <c r="B6" s="780"/>
      <c r="C6" s="345" t="s">
        <v>393</v>
      </c>
      <c r="D6" s="345" t="s">
        <v>394</v>
      </c>
      <c r="E6" s="789"/>
      <c r="F6" s="788"/>
      <c r="G6" s="788"/>
      <c r="H6" s="344" t="s">
        <v>625</v>
      </c>
    </row>
    <row r="7" spans="1:15">
      <c r="A7" s="336">
        <v>1</v>
      </c>
      <c r="B7" s="351" t="s">
        <v>486</v>
      </c>
      <c r="C7" s="668">
        <v>745813.37747069262</v>
      </c>
      <c r="D7" s="668">
        <v>321115147.37136388</v>
      </c>
      <c r="E7" s="668">
        <v>413743.23935102043</v>
      </c>
      <c r="F7" s="668">
        <v>0</v>
      </c>
      <c r="G7" s="668">
        <v>0</v>
      </c>
      <c r="H7" s="669">
        <f t="shared" ref="H7:H34" si="0">C7+D7-E7-F7</f>
        <v>321447217.50948352</v>
      </c>
      <c r="J7" s="672"/>
      <c r="K7" s="672"/>
      <c r="L7" s="672"/>
      <c r="M7" s="672"/>
      <c r="N7" s="672"/>
      <c r="O7" s="672"/>
    </row>
    <row r="8" spans="1:15">
      <c r="A8" s="336">
        <v>2</v>
      </c>
      <c r="B8" s="351" t="s">
        <v>399</v>
      </c>
      <c r="C8" s="668">
        <v>164188.83331408165</v>
      </c>
      <c r="D8" s="668">
        <v>329589445.24625254</v>
      </c>
      <c r="E8" s="668">
        <v>308993.13746435451</v>
      </c>
      <c r="F8" s="668">
        <v>0</v>
      </c>
      <c r="G8" s="668">
        <v>0</v>
      </c>
      <c r="H8" s="669">
        <f t="shared" si="0"/>
        <v>329444640.94210225</v>
      </c>
      <c r="J8" s="672"/>
      <c r="K8" s="672"/>
      <c r="L8" s="672"/>
      <c r="M8" s="672"/>
      <c r="N8" s="672"/>
      <c r="O8" s="672"/>
    </row>
    <row r="9" spans="1:15">
      <c r="A9" s="336">
        <v>3</v>
      </c>
      <c r="B9" s="351" t="s">
        <v>400</v>
      </c>
      <c r="C9" s="668">
        <v>0</v>
      </c>
      <c r="D9" s="668">
        <v>0</v>
      </c>
      <c r="E9" s="668">
        <v>0</v>
      </c>
      <c r="F9" s="668">
        <v>0</v>
      </c>
      <c r="G9" s="668">
        <v>0</v>
      </c>
      <c r="H9" s="669">
        <f t="shared" si="0"/>
        <v>0</v>
      </c>
      <c r="J9" s="672"/>
      <c r="K9" s="672"/>
      <c r="L9" s="672"/>
      <c r="M9" s="672"/>
      <c r="N9" s="672"/>
      <c r="O9" s="672"/>
    </row>
    <row r="10" spans="1:15">
      <c r="A10" s="336">
        <v>4</v>
      </c>
      <c r="B10" s="351" t="s">
        <v>487</v>
      </c>
      <c r="C10" s="668">
        <v>24558526.159622185</v>
      </c>
      <c r="D10" s="668">
        <v>81148903.67783536</v>
      </c>
      <c r="E10" s="668">
        <v>503167.78347747482</v>
      </c>
      <c r="F10" s="668">
        <v>0</v>
      </c>
      <c r="G10" s="668">
        <v>0</v>
      </c>
      <c r="H10" s="669">
        <f t="shared" si="0"/>
        <v>105204262.05398007</v>
      </c>
      <c r="J10" s="672"/>
      <c r="K10" s="672"/>
      <c r="L10" s="672"/>
      <c r="M10" s="672"/>
      <c r="N10" s="672"/>
      <c r="O10" s="672"/>
    </row>
    <row r="11" spans="1:15">
      <c r="A11" s="336">
        <v>5</v>
      </c>
      <c r="B11" s="351" t="s">
        <v>401</v>
      </c>
      <c r="C11" s="668">
        <v>2930084.1655830001</v>
      </c>
      <c r="D11" s="668">
        <v>107160583.85921147</v>
      </c>
      <c r="E11" s="668">
        <v>1132924.482715474</v>
      </c>
      <c r="F11" s="668">
        <v>0</v>
      </c>
      <c r="G11" s="668">
        <v>0.03</v>
      </c>
      <c r="H11" s="669">
        <f t="shared" si="0"/>
        <v>108957743.542079</v>
      </c>
      <c r="J11" s="672"/>
      <c r="K11" s="672"/>
      <c r="L11" s="672"/>
      <c r="M11" s="672"/>
      <c r="N11" s="672"/>
      <c r="O11" s="672"/>
    </row>
    <row r="12" spans="1:15">
      <c r="A12" s="336">
        <v>6</v>
      </c>
      <c r="B12" s="351" t="s">
        <v>402</v>
      </c>
      <c r="C12" s="668">
        <v>867.63</v>
      </c>
      <c r="D12" s="668">
        <v>21869069.685159706</v>
      </c>
      <c r="E12" s="668">
        <v>29358.836453223663</v>
      </c>
      <c r="F12" s="668">
        <v>0</v>
      </c>
      <c r="G12" s="668">
        <v>0</v>
      </c>
      <c r="H12" s="669">
        <f t="shared" si="0"/>
        <v>21840578.478706479</v>
      </c>
      <c r="J12" s="672"/>
      <c r="K12" s="672"/>
      <c r="L12" s="672"/>
      <c r="M12" s="672"/>
      <c r="N12" s="672"/>
      <c r="O12" s="672"/>
    </row>
    <row r="13" spans="1:15">
      <c r="A13" s="336">
        <v>7</v>
      </c>
      <c r="B13" s="351" t="s">
        <v>403</v>
      </c>
      <c r="C13" s="668">
        <v>5962255.5941569954</v>
      </c>
      <c r="D13" s="668">
        <v>14127573.354418648</v>
      </c>
      <c r="E13" s="668">
        <v>89929.403753157647</v>
      </c>
      <c r="F13" s="668">
        <v>0</v>
      </c>
      <c r="G13" s="668">
        <v>0</v>
      </c>
      <c r="H13" s="669">
        <f t="shared" si="0"/>
        <v>19999899.544822488</v>
      </c>
      <c r="J13" s="672"/>
      <c r="K13" s="672"/>
      <c r="L13" s="672"/>
      <c r="M13" s="672"/>
      <c r="N13" s="672"/>
      <c r="O13" s="672"/>
    </row>
    <row r="14" spans="1:15">
      <c r="A14" s="336">
        <v>8</v>
      </c>
      <c r="B14" s="351" t="s">
        <v>404</v>
      </c>
      <c r="C14" s="668">
        <v>267657.15481966588</v>
      </c>
      <c r="D14" s="668">
        <v>13711124.482605727</v>
      </c>
      <c r="E14" s="668">
        <v>271465.90838990698</v>
      </c>
      <c r="F14" s="668">
        <v>0</v>
      </c>
      <c r="G14" s="668">
        <v>0</v>
      </c>
      <c r="H14" s="669">
        <f t="shared" si="0"/>
        <v>13707315.729035486</v>
      </c>
      <c r="J14" s="672"/>
      <c r="K14" s="672"/>
      <c r="L14" s="672"/>
      <c r="M14" s="672"/>
      <c r="N14" s="672"/>
      <c r="O14" s="672"/>
    </row>
    <row r="15" spans="1:15">
      <c r="A15" s="336">
        <v>9</v>
      </c>
      <c r="B15" s="351" t="s">
        <v>405</v>
      </c>
      <c r="C15" s="668">
        <v>3651004.8963455758</v>
      </c>
      <c r="D15" s="668">
        <v>184741876.83448902</v>
      </c>
      <c r="E15" s="668">
        <v>2710021.0947242058</v>
      </c>
      <c r="F15" s="668">
        <v>0</v>
      </c>
      <c r="G15" s="668">
        <v>1092469</v>
      </c>
      <c r="H15" s="669">
        <f t="shared" si="0"/>
        <v>185682860.6361104</v>
      </c>
      <c r="J15" s="672"/>
      <c r="K15" s="672"/>
      <c r="L15" s="672"/>
      <c r="M15" s="672"/>
      <c r="N15" s="672"/>
      <c r="O15" s="672"/>
    </row>
    <row r="16" spans="1:15">
      <c r="A16" s="336">
        <v>10</v>
      </c>
      <c r="B16" s="351" t="s">
        <v>406</v>
      </c>
      <c r="C16" s="668">
        <v>0</v>
      </c>
      <c r="D16" s="668">
        <v>5464043.1119266488</v>
      </c>
      <c r="E16" s="668">
        <v>1232.0164819051765</v>
      </c>
      <c r="F16" s="668">
        <v>0</v>
      </c>
      <c r="G16" s="668">
        <v>0</v>
      </c>
      <c r="H16" s="669">
        <f t="shared" si="0"/>
        <v>5462811.0954447435</v>
      </c>
      <c r="J16" s="672"/>
      <c r="K16" s="672"/>
      <c r="L16" s="672"/>
      <c r="M16" s="672"/>
      <c r="N16" s="672"/>
      <c r="O16" s="672"/>
    </row>
    <row r="17" spans="1:15">
      <c r="A17" s="336">
        <v>11</v>
      </c>
      <c r="B17" s="351" t="s">
        <v>407</v>
      </c>
      <c r="C17" s="668">
        <v>0</v>
      </c>
      <c r="D17" s="668">
        <v>327769.47886000003</v>
      </c>
      <c r="E17" s="668">
        <v>85.082729881587483</v>
      </c>
      <c r="F17" s="668">
        <v>0</v>
      </c>
      <c r="G17" s="668">
        <v>0</v>
      </c>
      <c r="H17" s="669">
        <f t="shared" si="0"/>
        <v>327684.39613011846</v>
      </c>
      <c r="J17" s="672"/>
      <c r="K17" s="672"/>
      <c r="L17" s="672"/>
      <c r="M17" s="672"/>
      <c r="N17" s="672"/>
      <c r="O17" s="672"/>
    </row>
    <row r="18" spans="1:15">
      <c r="A18" s="336">
        <v>12</v>
      </c>
      <c r="B18" s="351" t="s">
        <v>408</v>
      </c>
      <c r="C18" s="668">
        <v>25811794.756724223</v>
      </c>
      <c r="D18" s="668">
        <v>28117835.463943109</v>
      </c>
      <c r="E18" s="668">
        <v>12265060.864765335</v>
      </c>
      <c r="F18" s="668">
        <v>0</v>
      </c>
      <c r="G18" s="668">
        <v>0</v>
      </c>
      <c r="H18" s="669">
        <f t="shared" si="0"/>
        <v>41664569.355902001</v>
      </c>
      <c r="J18" s="672"/>
      <c r="K18" s="672"/>
      <c r="L18" s="672"/>
      <c r="M18" s="672"/>
      <c r="N18" s="672"/>
      <c r="O18" s="672"/>
    </row>
    <row r="19" spans="1:15">
      <c r="A19" s="336">
        <v>13</v>
      </c>
      <c r="B19" s="351" t="s">
        <v>409</v>
      </c>
      <c r="C19" s="668">
        <v>2988727.8283034316</v>
      </c>
      <c r="D19" s="668">
        <v>15560904.501959218</v>
      </c>
      <c r="E19" s="668">
        <v>1154212.713696481</v>
      </c>
      <c r="F19" s="668">
        <v>0</v>
      </c>
      <c r="G19" s="668">
        <v>0</v>
      </c>
      <c r="H19" s="669">
        <f t="shared" si="0"/>
        <v>17395419.61656617</v>
      </c>
      <c r="J19" s="672"/>
      <c r="K19" s="672"/>
      <c r="L19" s="672"/>
      <c r="M19" s="672"/>
      <c r="N19" s="672"/>
      <c r="O19" s="672"/>
    </row>
    <row r="20" spans="1:15">
      <c r="A20" s="336">
        <v>14</v>
      </c>
      <c r="B20" s="351" t="s">
        <v>410</v>
      </c>
      <c r="C20" s="668">
        <v>19814010.849371005</v>
      </c>
      <c r="D20" s="668">
        <v>26111881.172476064</v>
      </c>
      <c r="E20" s="668">
        <v>1028596.6643798586</v>
      </c>
      <c r="F20" s="668">
        <v>0</v>
      </c>
      <c r="G20" s="668">
        <v>0</v>
      </c>
      <c r="H20" s="669">
        <f t="shared" si="0"/>
        <v>44897295.357467212</v>
      </c>
      <c r="J20" s="672"/>
      <c r="K20" s="672"/>
      <c r="L20" s="672"/>
      <c r="M20" s="672"/>
      <c r="N20" s="672"/>
      <c r="O20" s="672"/>
    </row>
    <row r="21" spans="1:15">
      <c r="A21" s="336">
        <v>15</v>
      </c>
      <c r="B21" s="351" t="s">
        <v>411</v>
      </c>
      <c r="C21" s="668">
        <v>447394.06417299999</v>
      </c>
      <c r="D21" s="668">
        <v>1674306.4500000002</v>
      </c>
      <c r="E21" s="668">
        <v>88962.258468005632</v>
      </c>
      <c r="F21" s="668">
        <v>0</v>
      </c>
      <c r="G21" s="668">
        <v>0</v>
      </c>
      <c r="H21" s="669">
        <f t="shared" si="0"/>
        <v>2032738.2557049945</v>
      </c>
      <c r="J21" s="672"/>
      <c r="K21" s="672"/>
      <c r="L21" s="672"/>
      <c r="M21" s="672"/>
      <c r="N21" s="672"/>
      <c r="O21" s="672"/>
    </row>
    <row r="22" spans="1:15">
      <c r="A22" s="336">
        <v>16</v>
      </c>
      <c r="B22" s="351" t="s">
        <v>412</v>
      </c>
      <c r="C22" s="668">
        <v>0</v>
      </c>
      <c r="D22" s="668">
        <v>82266206.095714688</v>
      </c>
      <c r="E22" s="668">
        <v>10783343.43572</v>
      </c>
      <c r="F22" s="668">
        <v>0</v>
      </c>
      <c r="G22" s="668">
        <v>0</v>
      </c>
      <c r="H22" s="669">
        <f t="shared" si="0"/>
        <v>71482862.659994692</v>
      </c>
      <c r="J22" s="672"/>
      <c r="K22" s="672"/>
      <c r="L22" s="672"/>
      <c r="M22" s="672"/>
      <c r="N22" s="672"/>
      <c r="O22" s="672"/>
    </row>
    <row r="23" spans="1:15">
      <c r="A23" s="336">
        <v>17</v>
      </c>
      <c r="B23" s="351" t="s">
        <v>490</v>
      </c>
      <c r="C23" s="668">
        <v>0</v>
      </c>
      <c r="D23" s="668">
        <v>87111839.251115158</v>
      </c>
      <c r="E23" s="668">
        <v>984951.55786569428</v>
      </c>
      <c r="F23" s="668">
        <v>0</v>
      </c>
      <c r="G23" s="668">
        <v>0</v>
      </c>
      <c r="H23" s="669">
        <f t="shared" si="0"/>
        <v>86126887.693249464</v>
      </c>
      <c r="J23" s="672"/>
      <c r="K23" s="672"/>
      <c r="L23" s="672"/>
      <c r="M23" s="672"/>
      <c r="N23" s="672"/>
      <c r="O23" s="672"/>
    </row>
    <row r="24" spans="1:15">
      <c r="A24" s="336">
        <v>18</v>
      </c>
      <c r="B24" s="351" t="s">
        <v>413</v>
      </c>
      <c r="C24" s="668">
        <v>0</v>
      </c>
      <c r="D24" s="668">
        <v>89773.610122813945</v>
      </c>
      <c r="E24" s="668">
        <v>14.813405767647419</v>
      </c>
      <c r="F24" s="668">
        <v>0</v>
      </c>
      <c r="G24" s="668">
        <v>0</v>
      </c>
      <c r="H24" s="669">
        <f t="shared" si="0"/>
        <v>89758.796717046294</v>
      </c>
      <c r="J24" s="672"/>
      <c r="K24" s="672"/>
      <c r="L24" s="672"/>
      <c r="M24" s="672"/>
      <c r="N24" s="672"/>
      <c r="O24" s="672"/>
    </row>
    <row r="25" spans="1:15">
      <c r="A25" s="336">
        <v>19</v>
      </c>
      <c r="B25" s="351" t="s">
        <v>414</v>
      </c>
      <c r="C25" s="668">
        <v>0</v>
      </c>
      <c r="D25" s="668">
        <v>17431946.416191306</v>
      </c>
      <c r="E25" s="668">
        <v>247332.22986601331</v>
      </c>
      <c r="F25" s="668">
        <v>0</v>
      </c>
      <c r="G25" s="668">
        <v>0</v>
      </c>
      <c r="H25" s="669">
        <f t="shared" si="0"/>
        <v>17184614.186325293</v>
      </c>
      <c r="J25" s="672"/>
      <c r="K25" s="672"/>
      <c r="L25" s="672"/>
      <c r="M25" s="672"/>
      <c r="N25" s="672"/>
      <c r="O25" s="672"/>
    </row>
    <row r="26" spans="1:15">
      <c r="A26" s="336">
        <v>20</v>
      </c>
      <c r="B26" s="351" t="s">
        <v>489</v>
      </c>
      <c r="C26" s="668">
        <v>0</v>
      </c>
      <c r="D26" s="668">
        <v>47830467.058650702</v>
      </c>
      <c r="E26" s="668">
        <v>2250190.4160638065</v>
      </c>
      <c r="F26" s="668">
        <v>0</v>
      </c>
      <c r="G26" s="668">
        <v>0</v>
      </c>
      <c r="H26" s="669">
        <f t="shared" si="0"/>
        <v>45580276.642586894</v>
      </c>
      <c r="J26" s="672"/>
      <c r="K26" s="672"/>
      <c r="L26" s="672"/>
      <c r="M26" s="672"/>
      <c r="N26" s="672"/>
      <c r="O26" s="672"/>
    </row>
    <row r="27" spans="1:15">
      <c r="A27" s="336">
        <v>21</v>
      </c>
      <c r="B27" s="351" t="s">
        <v>415</v>
      </c>
      <c r="C27" s="668">
        <v>2.9817999999999998</v>
      </c>
      <c r="D27" s="668">
        <v>5057457.3887869511</v>
      </c>
      <c r="E27" s="668">
        <v>5078.6188134400309</v>
      </c>
      <c r="F27" s="668">
        <v>0</v>
      </c>
      <c r="G27" s="668">
        <v>0</v>
      </c>
      <c r="H27" s="669">
        <f t="shared" si="0"/>
        <v>5052381.7517735111</v>
      </c>
      <c r="J27" s="672"/>
      <c r="K27" s="672"/>
      <c r="L27" s="672"/>
      <c r="M27" s="672"/>
      <c r="N27" s="672"/>
      <c r="O27" s="672"/>
    </row>
    <row r="28" spans="1:15">
      <c r="A28" s="336">
        <v>22</v>
      </c>
      <c r="B28" s="351" t="s">
        <v>416</v>
      </c>
      <c r="C28" s="668">
        <v>21615792.105849005</v>
      </c>
      <c r="D28" s="668">
        <v>38142235.657123625</v>
      </c>
      <c r="E28" s="668">
        <v>18263279.449474402</v>
      </c>
      <c r="F28" s="668">
        <v>0</v>
      </c>
      <c r="G28" s="668">
        <v>0</v>
      </c>
      <c r="H28" s="669">
        <f t="shared" si="0"/>
        <v>41494748.313498229</v>
      </c>
      <c r="J28" s="672"/>
      <c r="K28" s="672"/>
      <c r="L28" s="672"/>
      <c r="M28" s="672"/>
      <c r="N28" s="672"/>
      <c r="O28" s="672"/>
    </row>
    <row r="29" spans="1:15">
      <c r="A29" s="336">
        <v>23</v>
      </c>
      <c r="B29" s="351" t="s">
        <v>417</v>
      </c>
      <c r="C29" s="668">
        <v>6274241.8397979615</v>
      </c>
      <c r="D29" s="668">
        <v>77228097.966139212</v>
      </c>
      <c r="E29" s="668">
        <v>638964.8798592597</v>
      </c>
      <c r="F29" s="668">
        <v>0</v>
      </c>
      <c r="G29" s="668">
        <v>0</v>
      </c>
      <c r="H29" s="669">
        <f t="shared" si="0"/>
        <v>82863374.926077917</v>
      </c>
      <c r="J29" s="672"/>
      <c r="K29" s="672"/>
      <c r="L29" s="672"/>
      <c r="M29" s="672"/>
      <c r="N29" s="672"/>
      <c r="O29" s="672"/>
    </row>
    <row r="30" spans="1:15">
      <c r="A30" s="336">
        <v>24</v>
      </c>
      <c r="B30" s="351" t="s">
        <v>488</v>
      </c>
      <c r="C30" s="668">
        <v>3701643.9823449999</v>
      </c>
      <c r="D30" s="668">
        <v>41517395.713207893</v>
      </c>
      <c r="E30" s="668">
        <v>1134025.2349528538</v>
      </c>
      <c r="F30" s="668">
        <v>0</v>
      </c>
      <c r="G30" s="668">
        <v>0</v>
      </c>
      <c r="H30" s="669">
        <f t="shared" si="0"/>
        <v>44085014.460600041</v>
      </c>
      <c r="J30" s="672"/>
      <c r="K30" s="672"/>
      <c r="L30" s="672"/>
      <c r="M30" s="672"/>
      <c r="N30" s="672"/>
      <c r="O30" s="672"/>
    </row>
    <row r="31" spans="1:15">
      <c r="A31" s="336">
        <v>25</v>
      </c>
      <c r="B31" s="351" t="s">
        <v>418</v>
      </c>
      <c r="C31" s="668">
        <v>6521891.0460530072</v>
      </c>
      <c r="D31" s="668">
        <v>59802540.840198301</v>
      </c>
      <c r="E31" s="668">
        <v>2989102.5869622794</v>
      </c>
      <c r="F31" s="668">
        <v>0</v>
      </c>
      <c r="G31" s="668">
        <v>85477.389999999985</v>
      </c>
      <c r="H31" s="669">
        <f t="shared" si="0"/>
        <v>63335329.299289025</v>
      </c>
      <c r="J31" s="672"/>
      <c r="K31" s="672"/>
      <c r="L31" s="672"/>
      <c r="M31" s="672"/>
      <c r="N31" s="672"/>
      <c r="O31" s="672"/>
    </row>
    <row r="32" spans="1:15">
      <c r="A32" s="336">
        <v>26</v>
      </c>
      <c r="B32" s="351" t="s">
        <v>485</v>
      </c>
      <c r="C32" s="668">
        <v>114478.31929999993</v>
      </c>
      <c r="D32" s="668">
        <v>236260.86367400005</v>
      </c>
      <c r="E32" s="668">
        <v>119880.80377347993</v>
      </c>
      <c r="F32" s="668">
        <v>0</v>
      </c>
      <c r="G32" s="668">
        <v>0</v>
      </c>
      <c r="H32" s="669">
        <f t="shared" si="0"/>
        <v>230858.37920052005</v>
      </c>
      <c r="J32" s="672"/>
      <c r="K32" s="672"/>
      <c r="L32" s="672"/>
      <c r="M32" s="672"/>
      <c r="N32" s="672"/>
      <c r="O32" s="672"/>
    </row>
    <row r="33" spans="1:15">
      <c r="A33" s="336">
        <v>27</v>
      </c>
      <c r="B33" s="336" t="s">
        <v>419</v>
      </c>
      <c r="C33" s="668">
        <v>256392.59449999995</v>
      </c>
      <c r="D33" s="668">
        <v>146340132.96296093</v>
      </c>
      <c r="E33" s="668">
        <v>147547.86122232888</v>
      </c>
      <c r="F33" s="668">
        <v>0</v>
      </c>
      <c r="G33" s="668">
        <v>26520.58</v>
      </c>
      <c r="H33" s="669">
        <f t="shared" si="0"/>
        <v>146448977.69623861</v>
      </c>
      <c r="J33" s="672"/>
      <c r="K33" s="672"/>
      <c r="L33" s="672"/>
      <c r="M33" s="672"/>
      <c r="N33" s="672"/>
      <c r="O33" s="672"/>
    </row>
    <row r="34" spans="1:15">
      <c r="A34" s="336">
        <v>28</v>
      </c>
      <c r="B34" s="340" t="s">
        <v>64</v>
      </c>
      <c r="C34" s="670">
        <f>SUM(C7:C33)</f>
        <v>125826768.17952885</v>
      </c>
      <c r="D34" s="670">
        <f>SUM(D7:D33)</f>
        <v>1753774818.5143869</v>
      </c>
      <c r="E34" s="670">
        <f>SUM(E7:E33)</f>
        <v>57561465.374829605</v>
      </c>
      <c r="F34" s="670">
        <f>SUM(F7:F33)</f>
        <v>0</v>
      </c>
      <c r="G34" s="670">
        <f>SUM(G7:G33)</f>
        <v>1204467</v>
      </c>
      <c r="H34" s="669">
        <f t="shared" si="0"/>
        <v>1822040121.3190863</v>
      </c>
      <c r="J34" s="672"/>
      <c r="K34" s="672"/>
      <c r="L34" s="672"/>
      <c r="M34" s="672"/>
      <c r="N34" s="672"/>
      <c r="O34" s="672"/>
    </row>
    <row r="36" spans="1:15">
      <c r="B36" s="350"/>
    </row>
    <row r="38" spans="1:15">
      <c r="C38" s="672"/>
      <c r="D38" s="672"/>
      <c r="E38" s="672"/>
      <c r="F38" s="672"/>
      <c r="G38" s="672"/>
      <c r="H38" s="672"/>
    </row>
    <row r="39" spans="1:15">
      <c r="C39" s="672"/>
      <c r="D39" s="672"/>
      <c r="E39" s="672"/>
      <c r="F39" s="672"/>
      <c r="G39" s="672"/>
      <c r="H39" s="672"/>
    </row>
    <row r="40" spans="1:15">
      <c r="C40" s="672"/>
      <c r="D40" s="672"/>
      <c r="E40" s="672"/>
      <c r="F40" s="672"/>
      <c r="G40" s="672"/>
      <c r="H40" s="672"/>
    </row>
    <row r="41" spans="1:15">
      <c r="C41" s="672"/>
      <c r="D41" s="672"/>
      <c r="E41" s="672"/>
      <c r="F41" s="672"/>
      <c r="G41" s="672"/>
      <c r="H41" s="672"/>
    </row>
    <row r="42" spans="1:15">
      <c r="C42" s="672"/>
      <c r="D42" s="672"/>
      <c r="E42" s="672"/>
      <c r="F42" s="672"/>
      <c r="G42" s="672"/>
      <c r="H42" s="672"/>
    </row>
    <row r="43" spans="1:15">
      <c r="C43" s="672"/>
      <c r="D43" s="672"/>
      <c r="E43" s="672"/>
      <c r="F43" s="672"/>
      <c r="G43" s="672"/>
      <c r="H43" s="672"/>
    </row>
    <row r="44" spans="1:15">
      <c r="C44" s="672"/>
      <c r="D44" s="672"/>
      <c r="E44" s="672"/>
      <c r="F44" s="672"/>
      <c r="G44" s="672"/>
      <c r="H44" s="672"/>
    </row>
    <row r="45" spans="1:15">
      <c r="C45" s="672"/>
      <c r="D45" s="672"/>
      <c r="E45" s="672"/>
      <c r="F45" s="672"/>
      <c r="G45" s="672"/>
      <c r="H45" s="672"/>
    </row>
    <row r="46" spans="1:15">
      <c r="C46" s="672"/>
      <c r="D46" s="672"/>
      <c r="E46" s="672"/>
      <c r="F46" s="672"/>
      <c r="G46" s="672"/>
      <c r="H46" s="672"/>
    </row>
    <row r="47" spans="1:15">
      <c r="C47" s="672"/>
      <c r="D47" s="672"/>
      <c r="E47" s="672"/>
      <c r="F47" s="672"/>
      <c r="G47" s="672"/>
      <c r="H47" s="672"/>
    </row>
    <row r="48" spans="1:15">
      <c r="C48" s="672"/>
      <c r="D48" s="672"/>
      <c r="E48" s="672"/>
      <c r="F48" s="672"/>
      <c r="G48" s="672"/>
      <c r="H48" s="672"/>
    </row>
    <row r="49" spans="3:8">
      <c r="C49" s="672"/>
      <c r="D49" s="672"/>
      <c r="E49" s="672"/>
      <c r="F49" s="672"/>
      <c r="G49" s="672"/>
      <c r="H49" s="672"/>
    </row>
    <row r="50" spans="3:8">
      <c r="C50" s="672"/>
      <c r="D50" s="672"/>
      <c r="E50" s="672"/>
      <c r="F50" s="672"/>
      <c r="G50" s="672"/>
      <c r="H50" s="672"/>
    </row>
    <row r="51" spans="3:8">
      <c r="C51" s="672"/>
      <c r="D51" s="672"/>
      <c r="E51" s="672"/>
      <c r="F51" s="672"/>
      <c r="G51" s="672"/>
      <c r="H51" s="672"/>
    </row>
    <row r="52" spans="3:8">
      <c r="C52" s="672"/>
      <c r="D52" s="672"/>
      <c r="E52" s="672"/>
      <c r="F52" s="672"/>
      <c r="G52" s="672"/>
      <c r="H52" s="672"/>
    </row>
    <row r="53" spans="3:8">
      <c r="C53" s="672"/>
      <c r="D53" s="672"/>
      <c r="E53" s="672"/>
      <c r="F53" s="672"/>
      <c r="G53" s="672"/>
      <c r="H53" s="672"/>
    </row>
    <row r="54" spans="3:8">
      <c r="C54" s="672"/>
      <c r="D54" s="672"/>
      <c r="E54" s="672"/>
      <c r="F54" s="672"/>
      <c r="G54" s="672"/>
      <c r="H54" s="672"/>
    </row>
    <row r="55" spans="3:8">
      <c r="C55" s="672"/>
      <c r="D55" s="672"/>
      <c r="E55" s="672"/>
      <c r="F55" s="672"/>
      <c r="G55" s="672"/>
      <c r="H55" s="672"/>
    </row>
    <row r="56" spans="3:8">
      <c r="C56" s="672"/>
      <c r="D56" s="672"/>
      <c r="E56" s="672"/>
      <c r="F56" s="672"/>
      <c r="G56" s="672"/>
      <c r="H56" s="672"/>
    </row>
    <row r="57" spans="3:8">
      <c r="C57" s="672"/>
      <c r="D57" s="672"/>
      <c r="E57" s="672"/>
      <c r="F57" s="672"/>
      <c r="G57" s="672"/>
      <c r="H57" s="672"/>
    </row>
    <row r="58" spans="3:8">
      <c r="C58" s="672"/>
      <c r="D58" s="672"/>
      <c r="E58" s="672"/>
      <c r="F58" s="672"/>
      <c r="G58" s="672"/>
      <c r="H58" s="672"/>
    </row>
    <row r="59" spans="3:8">
      <c r="C59" s="672"/>
      <c r="D59" s="672"/>
      <c r="E59" s="672"/>
      <c r="F59" s="672"/>
      <c r="G59" s="672"/>
      <c r="H59" s="672"/>
    </row>
    <row r="60" spans="3:8">
      <c r="C60" s="672"/>
      <c r="D60" s="672"/>
      <c r="E60" s="672"/>
      <c r="F60" s="672"/>
      <c r="G60" s="672"/>
      <c r="H60" s="672"/>
    </row>
    <row r="61" spans="3:8">
      <c r="C61" s="672"/>
      <c r="D61" s="672"/>
      <c r="E61" s="672"/>
      <c r="F61" s="672"/>
      <c r="G61" s="672"/>
      <c r="H61" s="672"/>
    </row>
    <row r="62" spans="3:8">
      <c r="C62" s="672"/>
      <c r="D62" s="672"/>
      <c r="E62" s="672"/>
      <c r="F62" s="672"/>
      <c r="G62" s="672"/>
      <c r="H62" s="672"/>
    </row>
    <row r="63" spans="3:8">
      <c r="C63" s="672"/>
      <c r="D63" s="672"/>
      <c r="E63" s="672"/>
      <c r="F63" s="672"/>
      <c r="G63" s="672"/>
      <c r="H63" s="672"/>
    </row>
    <row r="64" spans="3:8">
      <c r="C64" s="672"/>
      <c r="D64" s="672"/>
      <c r="E64" s="672"/>
      <c r="F64" s="672"/>
      <c r="G64" s="672"/>
      <c r="H64" s="672"/>
    </row>
    <row r="65" spans="3:8">
      <c r="C65" s="672"/>
      <c r="D65" s="672"/>
      <c r="E65" s="672"/>
      <c r="F65" s="672"/>
      <c r="G65" s="672"/>
      <c r="H65" s="672"/>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G32"/>
  <sheetViews>
    <sheetView showGridLines="0" zoomScale="80" zoomScaleNormal="80" workbookViewId="0"/>
  </sheetViews>
  <sheetFormatPr defaultColWidth="9.140625" defaultRowHeight="12.75"/>
  <cols>
    <col min="1" max="1" width="11.85546875" style="270" bestFit="1" customWidth="1"/>
    <col min="2" max="2" width="108" style="270" bestFit="1" customWidth="1"/>
    <col min="3" max="3" width="35.5703125" style="270" customWidth="1"/>
    <col min="4" max="4" width="38.42578125" style="270" customWidth="1"/>
    <col min="5" max="5" width="9.140625" style="270"/>
    <col min="6" max="6" width="15.28515625" style="270" bestFit="1" customWidth="1"/>
    <col min="7" max="7" width="12.42578125" style="270" bestFit="1" customWidth="1"/>
    <col min="8" max="16384" width="9.140625" style="270"/>
  </cols>
  <sheetData>
    <row r="1" spans="1:7" ht="13.5">
      <c r="A1" s="268" t="s">
        <v>30</v>
      </c>
      <c r="B1" s="334" t="str">
        <f>'Info '!C2</f>
        <v>JSC Cartu Bank</v>
      </c>
    </row>
    <row r="2" spans="1:7">
      <c r="A2" s="268" t="s">
        <v>31</v>
      </c>
      <c r="B2" s="534">
        <f>'1. key ratios '!B2</f>
        <v>45747</v>
      </c>
    </row>
    <row r="3" spans="1:7">
      <c r="A3" s="269" t="s">
        <v>420</v>
      </c>
    </row>
    <row r="5" spans="1:7">
      <c r="A5" s="790" t="s">
        <v>634</v>
      </c>
      <c r="B5" s="790"/>
      <c r="C5" s="333" t="s">
        <v>437</v>
      </c>
      <c r="D5" s="333" t="s">
        <v>478</v>
      </c>
    </row>
    <row r="6" spans="1:7">
      <c r="A6" s="359">
        <v>1</v>
      </c>
      <c r="B6" s="352" t="s">
        <v>633</v>
      </c>
      <c r="C6" s="667">
        <v>57472863.338918895</v>
      </c>
      <c r="D6" s="667">
        <v>484184.43239890097</v>
      </c>
      <c r="F6" s="665"/>
      <c r="G6" s="665"/>
    </row>
    <row r="7" spans="1:7">
      <c r="A7" s="356">
        <v>2</v>
      </c>
      <c r="B7" s="352" t="s">
        <v>632</v>
      </c>
      <c r="C7" s="666">
        <f>SUM(C8:C9)</f>
        <v>7512407.1278025899</v>
      </c>
      <c r="D7" s="666">
        <f>SUM(D8:D9)</f>
        <v>2912.9268193945609</v>
      </c>
      <c r="F7" s="665"/>
      <c r="G7" s="665"/>
    </row>
    <row r="8" spans="1:7">
      <c r="A8" s="358">
        <v>2.1</v>
      </c>
      <c r="B8" s="357" t="s">
        <v>493</v>
      </c>
      <c r="C8" s="666">
        <v>3262657.348651222</v>
      </c>
      <c r="D8" s="666">
        <v>2912.9268193945609</v>
      </c>
      <c r="F8" s="665"/>
      <c r="G8" s="665"/>
    </row>
    <row r="9" spans="1:7">
      <c r="A9" s="358">
        <v>2.2000000000000002</v>
      </c>
      <c r="B9" s="357" t="s">
        <v>491</v>
      </c>
      <c r="C9" s="666">
        <v>4249749.779151368</v>
      </c>
      <c r="D9" s="666">
        <v>0</v>
      </c>
      <c r="F9" s="665"/>
      <c r="G9" s="665"/>
    </row>
    <row r="10" spans="1:7">
      <c r="A10" s="359">
        <v>3</v>
      </c>
      <c r="B10" s="352" t="s">
        <v>631</v>
      </c>
      <c r="C10" s="666">
        <f>SUM(C11:C13)</f>
        <v>7827425.3513881005</v>
      </c>
      <c r="D10" s="666">
        <f>SUM(D11:D13)</f>
        <v>47460.104611613249</v>
      </c>
      <c r="F10" s="665"/>
      <c r="G10" s="665"/>
    </row>
    <row r="11" spans="1:7">
      <c r="A11" s="358">
        <v>3.1</v>
      </c>
      <c r="B11" s="357" t="s">
        <v>422</v>
      </c>
      <c r="C11" s="666">
        <v>1177946.42</v>
      </c>
      <c r="D11" s="666">
        <v>0</v>
      </c>
      <c r="F11" s="665"/>
      <c r="G11" s="665"/>
    </row>
    <row r="12" spans="1:7">
      <c r="A12" s="358">
        <v>3.2</v>
      </c>
      <c r="B12" s="357" t="s">
        <v>630</v>
      </c>
      <c r="C12" s="666">
        <v>3474639.2490042485</v>
      </c>
      <c r="D12" s="666">
        <v>0.63579720600271483</v>
      </c>
      <c r="F12" s="665"/>
      <c r="G12" s="665"/>
    </row>
    <row r="13" spans="1:7">
      <c r="A13" s="358">
        <v>3.3</v>
      </c>
      <c r="B13" s="357" t="s">
        <v>492</v>
      </c>
      <c r="C13" s="666">
        <v>3174839.6823838521</v>
      </c>
      <c r="D13" s="666">
        <v>47459.46881440725</v>
      </c>
      <c r="F13" s="665"/>
      <c r="G13" s="665"/>
    </row>
    <row r="14" spans="1:7">
      <c r="A14" s="356">
        <v>4</v>
      </c>
      <c r="B14" s="355" t="s">
        <v>629</v>
      </c>
      <c r="C14" s="666">
        <v>-364587.71024940442</v>
      </c>
      <c r="D14" s="666">
        <v>-4.2803094402188435E-11</v>
      </c>
      <c r="F14" s="665"/>
      <c r="G14" s="665"/>
    </row>
    <row r="15" spans="1:7">
      <c r="A15" s="353">
        <v>5</v>
      </c>
      <c r="B15" s="352" t="s">
        <v>628</v>
      </c>
      <c r="C15" s="667">
        <f>C6+C7-C10+C14</f>
        <v>56793257.405083977</v>
      </c>
      <c r="D15" s="667">
        <f>D6+D7-D10+D14</f>
        <v>439637.25460668223</v>
      </c>
      <c r="F15" s="665"/>
      <c r="G15" s="665"/>
    </row>
    <row r="20" spans="3:4">
      <c r="C20" s="672"/>
      <c r="D20" s="672"/>
    </row>
    <row r="21" spans="3:4">
      <c r="C21" s="672"/>
      <c r="D21" s="672"/>
    </row>
    <row r="22" spans="3:4">
      <c r="C22" s="672"/>
      <c r="D22" s="672"/>
    </row>
    <row r="23" spans="3:4">
      <c r="C23" s="672"/>
      <c r="D23" s="672"/>
    </row>
    <row r="24" spans="3:4">
      <c r="C24" s="672"/>
      <c r="D24" s="672"/>
    </row>
    <row r="25" spans="3:4">
      <c r="C25" s="672"/>
      <c r="D25" s="672"/>
    </row>
    <row r="26" spans="3:4">
      <c r="C26" s="672"/>
      <c r="D26" s="672"/>
    </row>
    <row r="27" spans="3:4">
      <c r="C27" s="672"/>
      <c r="D27" s="672"/>
    </row>
    <row r="28" spans="3:4">
      <c r="C28" s="672"/>
      <c r="D28" s="672"/>
    </row>
    <row r="29" spans="3:4">
      <c r="C29" s="672"/>
      <c r="D29" s="672"/>
    </row>
    <row r="30" spans="3:4">
      <c r="C30" s="672"/>
      <c r="D30" s="672"/>
    </row>
    <row r="31" spans="3:4">
      <c r="C31" s="672"/>
      <c r="D31" s="672"/>
    </row>
    <row r="32" spans="3:4">
      <c r="C32" s="672"/>
      <c r="D32" s="672"/>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36"/>
  <sheetViews>
    <sheetView showGridLines="0" zoomScale="80" zoomScaleNormal="80" workbookViewId="0"/>
  </sheetViews>
  <sheetFormatPr defaultColWidth="9.140625" defaultRowHeight="12.75"/>
  <cols>
    <col min="1" max="1" width="11.85546875" style="270" bestFit="1" customWidth="1"/>
    <col min="2" max="2" width="128.85546875" style="270" bestFit="1" customWidth="1"/>
    <col min="3" max="3" width="37" style="270" customWidth="1"/>
    <col min="4" max="4" width="50.5703125" style="270" customWidth="1"/>
    <col min="5" max="16384" width="9.140625" style="270"/>
  </cols>
  <sheetData>
    <row r="1" spans="1:4" ht="13.5">
      <c r="A1" s="268" t="s">
        <v>30</v>
      </c>
      <c r="B1" s="334" t="str">
        <f>'Info '!C2</f>
        <v>JSC Cartu Bank</v>
      </c>
    </row>
    <row r="2" spans="1:4">
      <c r="A2" s="268" t="s">
        <v>31</v>
      </c>
      <c r="B2" s="534">
        <f>'1. key ratios '!B2</f>
        <v>45747</v>
      </c>
    </row>
    <row r="3" spans="1:4">
      <c r="A3" s="269" t="s">
        <v>424</v>
      </c>
    </row>
    <row r="4" spans="1:4">
      <c r="A4" s="269"/>
    </row>
    <row r="5" spans="1:4" ht="15" customHeight="1">
      <c r="A5" s="791" t="s">
        <v>494</v>
      </c>
      <c r="B5" s="792"/>
      <c r="C5" s="795" t="s">
        <v>425</v>
      </c>
      <c r="D5" s="795" t="s">
        <v>426</v>
      </c>
    </row>
    <row r="6" spans="1:4">
      <c r="A6" s="793"/>
      <c r="B6" s="794"/>
      <c r="C6" s="795"/>
      <c r="D6" s="795"/>
    </row>
    <row r="7" spans="1:4" s="665" customFormat="1">
      <c r="A7" s="326">
        <v>1</v>
      </c>
      <c r="B7" s="326" t="s">
        <v>421</v>
      </c>
      <c r="C7" s="667">
        <v>142688833.51327622</v>
      </c>
      <c r="D7" s="673"/>
    </row>
    <row r="8" spans="1:4" s="665" customFormat="1">
      <c r="A8" s="354">
        <v>2</v>
      </c>
      <c r="B8" s="354" t="s">
        <v>427</v>
      </c>
      <c r="C8" s="666">
        <v>2432994.4899213617</v>
      </c>
      <c r="D8" s="673"/>
    </row>
    <row r="9" spans="1:4" s="665" customFormat="1">
      <c r="A9" s="354">
        <v>3</v>
      </c>
      <c r="B9" s="362" t="s">
        <v>637</v>
      </c>
      <c r="C9" s="666">
        <v>52.031487231283371</v>
      </c>
      <c r="D9" s="673"/>
    </row>
    <row r="10" spans="1:4" s="665" customFormat="1">
      <c r="A10" s="354">
        <v>4</v>
      </c>
      <c r="B10" s="354" t="s">
        <v>428</v>
      </c>
      <c r="C10" s="666">
        <f>SUM(C11:C17)</f>
        <v>19551504.539655939</v>
      </c>
      <c r="D10" s="673"/>
    </row>
    <row r="11" spans="1:4" s="665" customFormat="1">
      <c r="A11" s="354">
        <v>5</v>
      </c>
      <c r="B11" s="361" t="s">
        <v>636</v>
      </c>
      <c r="C11" s="666">
        <v>0</v>
      </c>
      <c r="D11" s="673"/>
    </row>
    <row r="12" spans="1:4" s="665" customFormat="1">
      <c r="A12" s="354">
        <v>6</v>
      </c>
      <c r="B12" s="361" t="s">
        <v>429</v>
      </c>
      <c r="C12" s="666">
        <v>17092897.131807312</v>
      </c>
      <c r="D12" s="673"/>
    </row>
    <row r="13" spans="1:4" s="665" customFormat="1">
      <c r="A13" s="354">
        <v>7</v>
      </c>
      <c r="B13" s="361" t="s">
        <v>432</v>
      </c>
      <c r="C13" s="666">
        <v>1177946.42</v>
      </c>
      <c r="D13" s="673"/>
    </row>
    <row r="14" spans="1:4" s="665" customFormat="1">
      <c r="A14" s="354">
        <v>8</v>
      </c>
      <c r="B14" s="361" t="s">
        <v>430</v>
      </c>
      <c r="C14" s="666">
        <v>37961.03</v>
      </c>
      <c r="D14" s="666">
        <v>39821.86</v>
      </c>
    </row>
    <row r="15" spans="1:4" s="665" customFormat="1">
      <c r="A15" s="354">
        <v>9</v>
      </c>
      <c r="B15" s="361" t="s">
        <v>431</v>
      </c>
      <c r="C15" s="666">
        <v>0</v>
      </c>
      <c r="D15" s="666">
        <v>0</v>
      </c>
    </row>
    <row r="16" spans="1:4" s="665" customFormat="1">
      <c r="A16" s="354">
        <v>10</v>
      </c>
      <c r="B16" s="361" t="s">
        <v>433</v>
      </c>
      <c r="C16" s="666">
        <v>0</v>
      </c>
      <c r="D16" s="666">
        <v>0</v>
      </c>
    </row>
    <row r="17" spans="1:4" s="665" customFormat="1">
      <c r="A17" s="354">
        <v>11</v>
      </c>
      <c r="B17" s="361" t="s">
        <v>635</v>
      </c>
      <c r="C17" s="666">
        <v>1242699.9578486232</v>
      </c>
      <c r="D17" s="673"/>
    </row>
    <row r="18" spans="1:4" s="665" customFormat="1">
      <c r="A18" s="326">
        <v>12</v>
      </c>
      <c r="B18" s="360" t="s">
        <v>423</v>
      </c>
      <c r="C18" s="667">
        <f>C7+C8+C9-C10</f>
        <v>125570375.49502887</v>
      </c>
      <c r="D18" s="673"/>
    </row>
    <row r="21" spans="1:4">
      <c r="B21" s="268"/>
    </row>
    <row r="22" spans="1:4">
      <c r="B22" s="268"/>
      <c r="C22" s="672"/>
      <c r="D22" s="672"/>
    </row>
    <row r="23" spans="1:4">
      <c r="B23" s="269"/>
      <c r="C23" s="672"/>
      <c r="D23" s="672"/>
    </row>
    <row r="24" spans="1:4">
      <c r="C24" s="672"/>
      <c r="D24" s="672"/>
    </row>
    <row r="25" spans="1:4">
      <c r="C25" s="672"/>
      <c r="D25" s="672"/>
    </row>
    <row r="26" spans="1:4">
      <c r="C26" s="672"/>
      <c r="D26" s="672"/>
    </row>
    <row r="27" spans="1:4">
      <c r="C27" s="672"/>
      <c r="D27" s="672"/>
    </row>
    <row r="28" spans="1:4">
      <c r="C28" s="672"/>
      <c r="D28" s="672"/>
    </row>
    <row r="29" spans="1:4">
      <c r="C29" s="672"/>
      <c r="D29" s="672"/>
    </row>
    <row r="30" spans="1:4">
      <c r="C30" s="672"/>
      <c r="D30" s="672"/>
    </row>
    <row r="31" spans="1:4">
      <c r="C31" s="672"/>
      <c r="D31" s="672"/>
    </row>
    <row r="32" spans="1:4">
      <c r="C32" s="672"/>
      <c r="D32" s="672"/>
    </row>
    <row r="33" spans="3:4">
      <c r="C33" s="672"/>
      <c r="D33" s="672"/>
    </row>
    <row r="34" spans="3:4">
      <c r="C34" s="672"/>
      <c r="D34" s="672"/>
    </row>
    <row r="35" spans="3:4">
      <c r="C35" s="672"/>
      <c r="D35" s="672"/>
    </row>
    <row r="36" spans="3:4">
      <c r="C36" s="664"/>
      <c r="D36" s="664"/>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56"/>
  <sheetViews>
    <sheetView showGridLines="0" zoomScale="80" zoomScaleNormal="80" workbookViewId="0"/>
  </sheetViews>
  <sheetFormatPr defaultColWidth="9.140625" defaultRowHeight="12.75"/>
  <cols>
    <col min="1" max="1" width="11.85546875" style="347" bestFit="1" customWidth="1"/>
    <col min="2" max="2" width="63.85546875" style="347" customWidth="1"/>
    <col min="3" max="3" width="17.42578125" style="347" bestFit="1" customWidth="1"/>
    <col min="4" max="18" width="22.140625" style="347" customWidth="1"/>
    <col min="19" max="19" width="23.140625" style="347" bestFit="1" customWidth="1"/>
    <col min="20" max="26" width="22.140625" style="347" customWidth="1"/>
    <col min="27" max="27" width="23.140625" style="347" bestFit="1" customWidth="1"/>
    <col min="28" max="28" width="20" style="347" customWidth="1"/>
    <col min="29" max="16384" width="9.140625" style="347"/>
  </cols>
  <sheetData>
    <row r="1" spans="1:28" ht="13.5">
      <c r="A1" s="268" t="s">
        <v>30</v>
      </c>
      <c r="B1" s="334" t="str">
        <f>'Info '!C2</f>
        <v>JSC Cartu Bank</v>
      </c>
    </row>
    <row r="2" spans="1:28">
      <c r="A2" s="268" t="s">
        <v>31</v>
      </c>
      <c r="B2" s="534">
        <f>'1. key ratios '!B2</f>
        <v>45747</v>
      </c>
      <c r="C2" s="348"/>
    </row>
    <row r="3" spans="1:28">
      <c r="A3" s="269" t="s">
        <v>434</v>
      </c>
    </row>
    <row r="5" spans="1:28" ht="15" customHeight="1">
      <c r="A5" s="797" t="s">
        <v>649</v>
      </c>
      <c r="B5" s="798"/>
      <c r="C5" s="803" t="s">
        <v>435</v>
      </c>
      <c r="D5" s="804"/>
      <c r="E5" s="804"/>
      <c r="F5" s="804"/>
      <c r="G5" s="804"/>
      <c r="H5" s="804"/>
      <c r="I5" s="804"/>
      <c r="J5" s="804"/>
      <c r="K5" s="804"/>
      <c r="L5" s="804"/>
      <c r="M5" s="804"/>
      <c r="N5" s="804"/>
      <c r="O5" s="804"/>
      <c r="P5" s="804"/>
      <c r="Q5" s="804"/>
      <c r="R5" s="804"/>
      <c r="S5" s="804"/>
      <c r="T5" s="371"/>
      <c r="U5" s="371"/>
      <c r="V5" s="371"/>
      <c r="W5" s="371"/>
      <c r="X5" s="371"/>
      <c r="Y5" s="371"/>
      <c r="Z5" s="371"/>
      <c r="AA5" s="370"/>
      <c r="AB5" s="365"/>
    </row>
    <row r="6" spans="1:28" ht="12" customHeight="1">
      <c r="A6" s="799"/>
      <c r="B6" s="800"/>
      <c r="C6" s="805" t="s">
        <v>64</v>
      </c>
      <c r="D6" s="807" t="s">
        <v>648</v>
      </c>
      <c r="E6" s="807"/>
      <c r="F6" s="807"/>
      <c r="G6" s="807"/>
      <c r="H6" s="807" t="s">
        <v>647</v>
      </c>
      <c r="I6" s="807"/>
      <c r="J6" s="807"/>
      <c r="K6" s="807"/>
      <c r="L6" s="368"/>
      <c r="M6" s="808" t="s">
        <v>646</v>
      </c>
      <c r="N6" s="808"/>
      <c r="O6" s="808"/>
      <c r="P6" s="808"/>
      <c r="Q6" s="808"/>
      <c r="R6" s="808"/>
      <c r="S6" s="788"/>
      <c r="T6" s="369"/>
      <c r="U6" s="796" t="s">
        <v>645</v>
      </c>
      <c r="V6" s="796"/>
      <c r="W6" s="796"/>
      <c r="X6" s="796"/>
      <c r="Y6" s="796"/>
      <c r="Z6" s="796"/>
      <c r="AA6" s="789"/>
      <c r="AB6" s="368"/>
    </row>
    <row r="7" spans="1:28" ht="25.5">
      <c r="A7" s="801"/>
      <c r="B7" s="802"/>
      <c r="C7" s="806"/>
      <c r="D7" s="367"/>
      <c r="E7" s="344" t="s">
        <v>436</v>
      </c>
      <c r="F7" s="344" t="s">
        <v>643</v>
      </c>
      <c r="G7" s="346" t="s">
        <v>644</v>
      </c>
      <c r="H7" s="348"/>
      <c r="I7" s="344" t="s">
        <v>436</v>
      </c>
      <c r="J7" s="344" t="s">
        <v>643</v>
      </c>
      <c r="K7" s="346" t="s">
        <v>644</v>
      </c>
      <c r="L7" s="366"/>
      <c r="M7" s="344" t="s">
        <v>436</v>
      </c>
      <c r="N7" s="344" t="s">
        <v>643</v>
      </c>
      <c r="O7" s="344" t="s">
        <v>642</v>
      </c>
      <c r="P7" s="344" t="s">
        <v>641</v>
      </c>
      <c r="Q7" s="344" t="s">
        <v>640</v>
      </c>
      <c r="R7" s="344" t="s">
        <v>639</v>
      </c>
      <c r="S7" s="344" t="s">
        <v>638</v>
      </c>
      <c r="T7" s="366"/>
      <c r="U7" s="344" t="s">
        <v>436</v>
      </c>
      <c r="V7" s="344" t="s">
        <v>643</v>
      </c>
      <c r="W7" s="344" t="s">
        <v>642</v>
      </c>
      <c r="X7" s="344" t="s">
        <v>641</v>
      </c>
      <c r="Y7" s="344" t="s">
        <v>640</v>
      </c>
      <c r="Z7" s="344" t="s">
        <v>639</v>
      </c>
      <c r="AA7" s="344" t="s">
        <v>638</v>
      </c>
      <c r="AB7" s="365"/>
    </row>
    <row r="8" spans="1:28">
      <c r="A8" s="364">
        <v>1</v>
      </c>
      <c r="B8" s="340" t="s">
        <v>437</v>
      </c>
      <c r="C8" s="670">
        <v>1096227082.3967495</v>
      </c>
      <c r="D8" s="668">
        <v>820325999.38240421</v>
      </c>
      <c r="E8" s="668">
        <v>12946174.872863133</v>
      </c>
      <c r="F8" s="668">
        <v>0</v>
      </c>
      <c r="G8" s="668">
        <v>0</v>
      </c>
      <c r="H8" s="668">
        <v>150330707.429317</v>
      </c>
      <c r="I8" s="668">
        <v>7159339.7124537267</v>
      </c>
      <c r="J8" s="668">
        <v>68784.760389013347</v>
      </c>
      <c r="K8" s="668">
        <v>0</v>
      </c>
      <c r="L8" s="668">
        <v>124362595.3261978</v>
      </c>
      <c r="M8" s="668">
        <v>732035.50529600005</v>
      </c>
      <c r="N8" s="668">
        <v>2406721.4658933571</v>
      </c>
      <c r="O8" s="668">
        <v>4700443.9494498847</v>
      </c>
      <c r="P8" s="668">
        <v>16016862.09484347</v>
      </c>
      <c r="Q8" s="668">
        <v>9150581.1079937536</v>
      </c>
      <c r="R8" s="668">
        <v>33554082.99183828</v>
      </c>
      <c r="S8" s="668">
        <v>10004608.212193003</v>
      </c>
      <c r="T8" s="668">
        <v>1207780.258831</v>
      </c>
      <c r="U8" s="668">
        <v>547132.12867800007</v>
      </c>
      <c r="V8" s="668">
        <v>0</v>
      </c>
      <c r="W8" s="668">
        <v>0</v>
      </c>
      <c r="X8" s="668">
        <v>0</v>
      </c>
      <c r="Y8" s="668">
        <v>0</v>
      </c>
      <c r="Z8" s="668">
        <v>0</v>
      </c>
      <c r="AA8" s="668">
        <v>0</v>
      </c>
    </row>
    <row r="9" spans="1:28">
      <c r="A9" s="336">
        <v>1.1000000000000001</v>
      </c>
      <c r="B9" s="356" t="s">
        <v>438</v>
      </c>
      <c r="C9" s="675">
        <v>0</v>
      </c>
      <c r="D9" s="668">
        <v>0</v>
      </c>
      <c r="E9" s="668">
        <v>0</v>
      </c>
      <c r="F9" s="668">
        <v>0</v>
      </c>
      <c r="G9" s="668">
        <v>0</v>
      </c>
      <c r="H9" s="668">
        <v>0</v>
      </c>
      <c r="I9" s="668">
        <v>0</v>
      </c>
      <c r="J9" s="668">
        <v>0</v>
      </c>
      <c r="K9" s="668">
        <v>0</v>
      </c>
      <c r="L9" s="668">
        <v>0</v>
      </c>
      <c r="M9" s="668">
        <v>0</v>
      </c>
      <c r="N9" s="668">
        <v>0</v>
      </c>
      <c r="O9" s="668">
        <v>0</v>
      </c>
      <c r="P9" s="668">
        <v>0</v>
      </c>
      <c r="Q9" s="668">
        <v>0</v>
      </c>
      <c r="R9" s="668">
        <v>0</v>
      </c>
      <c r="S9" s="668">
        <v>0</v>
      </c>
      <c r="T9" s="668">
        <v>0</v>
      </c>
      <c r="U9" s="668">
        <v>0</v>
      </c>
      <c r="V9" s="668">
        <v>0</v>
      </c>
      <c r="W9" s="668">
        <v>0</v>
      </c>
      <c r="X9" s="668">
        <v>0</v>
      </c>
      <c r="Y9" s="668">
        <v>0</v>
      </c>
      <c r="Z9" s="668">
        <v>0</v>
      </c>
      <c r="AA9" s="668">
        <v>0</v>
      </c>
    </row>
    <row r="10" spans="1:28">
      <c r="A10" s="336">
        <v>1.2</v>
      </c>
      <c r="B10" s="356" t="s">
        <v>439</v>
      </c>
      <c r="C10" s="675">
        <v>0</v>
      </c>
      <c r="D10" s="668">
        <v>0</v>
      </c>
      <c r="E10" s="668">
        <v>0</v>
      </c>
      <c r="F10" s="668">
        <v>0</v>
      </c>
      <c r="G10" s="668">
        <v>0</v>
      </c>
      <c r="H10" s="668">
        <v>0</v>
      </c>
      <c r="I10" s="668">
        <v>0</v>
      </c>
      <c r="J10" s="668">
        <v>0</v>
      </c>
      <c r="K10" s="668">
        <v>0</v>
      </c>
      <c r="L10" s="668">
        <v>0</v>
      </c>
      <c r="M10" s="668">
        <v>0</v>
      </c>
      <c r="N10" s="668">
        <v>0</v>
      </c>
      <c r="O10" s="668">
        <v>0</v>
      </c>
      <c r="P10" s="668">
        <v>0</v>
      </c>
      <c r="Q10" s="668">
        <v>0</v>
      </c>
      <c r="R10" s="668">
        <v>0</v>
      </c>
      <c r="S10" s="668">
        <v>0</v>
      </c>
      <c r="T10" s="668">
        <v>0</v>
      </c>
      <c r="U10" s="668">
        <v>0</v>
      </c>
      <c r="V10" s="668">
        <v>0</v>
      </c>
      <c r="W10" s="668">
        <v>0</v>
      </c>
      <c r="X10" s="668">
        <v>0</v>
      </c>
      <c r="Y10" s="668">
        <v>0</v>
      </c>
      <c r="Z10" s="668">
        <v>0</v>
      </c>
      <c r="AA10" s="668">
        <v>0</v>
      </c>
    </row>
    <row r="11" spans="1:28">
      <c r="A11" s="336">
        <v>1.3</v>
      </c>
      <c r="B11" s="356" t="s">
        <v>440</v>
      </c>
      <c r="C11" s="675">
        <v>0</v>
      </c>
      <c r="D11" s="668">
        <v>0</v>
      </c>
      <c r="E11" s="668">
        <v>0</v>
      </c>
      <c r="F11" s="668">
        <v>0</v>
      </c>
      <c r="G11" s="668">
        <v>0</v>
      </c>
      <c r="H11" s="668">
        <v>0</v>
      </c>
      <c r="I11" s="668">
        <v>0</v>
      </c>
      <c r="J11" s="668">
        <v>0</v>
      </c>
      <c r="K11" s="668">
        <v>0</v>
      </c>
      <c r="L11" s="668">
        <v>0</v>
      </c>
      <c r="M11" s="668">
        <v>0</v>
      </c>
      <c r="N11" s="668">
        <v>0</v>
      </c>
      <c r="O11" s="668">
        <v>0</v>
      </c>
      <c r="P11" s="668">
        <v>0</v>
      </c>
      <c r="Q11" s="668">
        <v>0</v>
      </c>
      <c r="R11" s="668">
        <v>0</v>
      </c>
      <c r="S11" s="668">
        <v>0</v>
      </c>
      <c r="T11" s="668">
        <v>0</v>
      </c>
      <c r="U11" s="668">
        <v>0</v>
      </c>
      <c r="V11" s="668">
        <v>0</v>
      </c>
      <c r="W11" s="668">
        <v>0</v>
      </c>
      <c r="X11" s="668">
        <v>0</v>
      </c>
      <c r="Y11" s="668">
        <v>0</v>
      </c>
      <c r="Z11" s="668">
        <v>0</v>
      </c>
      <c r="AA11" s="668">
        <v>0</v>
      </c>
    </row>
    <row r="12" spans="1:28">
      <c r="A12" s="336">
        <v>1.4</v>
      </c>
      <c r="B12" s="356" t="s">
        <v>441</v>
      </c>
      <c r="C12" s="675">
        <v>20075616.440000001</v>
      </c>
      <c r="D12" s="668">
        <v>20075616.440000001</v>
      </c>
      <c r="E12" s="668">
        <v>0</v>
      </c>
      <c r="F12" s="668">
        <v>0</v>
      </c>
      <c r="G12" s="668">
        <v>0</v>
      </c>
      <c r="H12" s="668">
        <v>0</v>
      </c>
      <c r="I12" s="668">
        <v>0</v>
      </c>
      <c r="J12" s="668">
        <v>0</v>
      </c>
      <c r="K12" s="668">
        <v>0</v>
      </c>
      <c r="L12" s="668">
        <v>0</v>
      </c>
      <c r="M12" s="668">
        <v>0</v>
      </c>
      <c r="N12" s="668">
        <v>0</v>
      </c>
      <c r="O12" s="668">
        <v>0</v>
      </c>
      <c r="P12" s="668">
        <v>0</v>
      </c>
      <c r="Q12" s="668">
        <v>0</v>
      </c>
      <c r="R12" s="668">
        <v>0</v>
      </c>
      <c r="S12" s="668">
        <v>0</v>
      </c>
      <c r="T12" s="668">
        <v>0</v>
      </c>
      <c r="U12" s="668">
        <v>0</v>
      </c>
      <c r="V12" s="668">
        <v>0</v>
      </c>
      <c r="W12" s="668">
        <v>0</v>
      </c>
      <c r="X12" s="668">
        <v>0</v>
      </c>
      <c r="Y12" s="668">
        <v>0</v>
      </c>
      <c r="Z12" s="668">
        <v>0</v>
      </c>
      <c r="AA12" s="668">
        <v>0</v>
      </c>
    </row>
    <row r="13" spans="1:28">
      <c r="A13" s="336">
        <v>1.5</v>
      </c>
      <c r="B13" s="356" t="s">
        <v>442</v>
      </c>
      <c r="C13" s="675">
        <v>982845242.59036493</v>
      </c>
      <c r="D13" s="668">
        <v>733337843.2213372</v>
      </c>
      <c r="E13" s="668">
        <v>8473821.5236891322</v>
      </c>
      <c r="F13" s="668">
        <v>0</v>
      </c>
      <c r="G13" s="668">
        <v>0</v>
      </c>
      <c r="H13" s="668">
        <v>133958333.4133006</v>
      </c>
      <c r="I13" s="668">
        <v>7159339.7124537267</v>
      </c>
      <c r="J13" s="668">
        <v>68784.760389013347</v>
      </c>
      <c r="K13" s="668">
        <v>0</v>
      </c>
      <c r="L13" s="668">
        <v>114341285.69689679</v>
      </c>
      <c r="M13" s="668">
        <v>271098.958491</v>
      </c>
      <c r="N13" s="668">
        <v>2235071.1405784343</v>
      </c>
      <c r="O13" s="668">
        <v>4602659.1948498851</v>
      </c>
      <c r="P13" s="668">
        <v>16016569.17484347</v>
      </c>
      <c r="Q13" s="668">
        <v>8782457.2018407546</v>
      </c>
      <c r="R13" s="668">
        <v>32804869.301962964</v>
      </c>
      <c r="S13" s="668">
        <v>4901335.9540600078</v>
      </c>
      <c r="T13" s="668">
        <v>1207780.258831</v>
      </c>
      <c r="U13" s="668">
        <v>547132.12867800007</v>
      </c>
      <c r="V13" s="668">
        <v>0</v>
      </c>
      <c r="W13" s="668">
        <v>0</v>
      </c>
      <c r="X13" s="668">
        <v>0</v>
      </c>
      <c r="Y13" s="668">
        <v>0</v>
      </c>
      <c r="Z13" s="668">
        <v>0</v>
      </c>
      <c r="AA13" s="668">
        <v>0</v>
      </c>
    </row>
    <row r="14" spans="1:28">
      <c r="A14" s="336">
        <v>1.6</v>
      </c>
      <c r="B14" s="356" t="s">
        <v>443</v>
      </c>
      <c r="C14" s="675">
        <v>93306223.366384417</v>
      </c>
      <c r="D14" s="668">
        <v>66912539.7210669</v>
      </c>
      <c r="E14" s="668">
        <v>4472353.3491739994</v>
      </c>
      <c r="F14" s="668">
        <v>0</v>
      </c>
      <c r="G14" s="668">
        <v>0</v>
      </c>
      <c r="H14" s="668">
        <v>16372374.016016379</v>
      </c>
      <c r="I14" s="668">
        <v>0</v>
      </c>
      <c r="J14" s="668">
        <v>0</v>
      </c>
      <c r="K14" s="668">
        <v>0</v>
      </c>
      <c r="L14" s="668">
        <v>10021309.629301008</v>
      </c>
      <c r="M14" s="668">
        <v>460936.54680499999</v>
      </c>
      <c r="N14" s="668">
        <v>171650.32531492249</v>
      </c>
      <c r="O14" s="668">
        <v>97784.7546</v>
      </c>
      <c r="P14" s="668">
        <v>292.91999999999979</v>
      </c>
      <c r="Q14" s="668">
        <v>368123.90615299979</v>
      </c>
      <c r="R14" s="668">
        <v>749213.68987531634</v>
      </c>
      <c r="S14" s="668">
        <v>5103272.2581329951</v>
      </c>
      <c r="T14" s="668">
        <v>0</v>
      </c>
      <c r="U14" s="668">
        <v>0</v>
      </c>
      <c r="V14" s="668">
        <v>0</v>
      </c>
      <c r="W14" s="668">
        <v>0</v>
      </c>
      <c r="X14" s="668">
        <v>0</v>
      </c>
      <c r="Y14" s="668">
        <v>0</v>
      </c>
      <c r="Z14" s="668">
        <v>0</v>
      </c>
      <c r="AA14" s="668">
        <v>0</v>
      </c>
    </row>
    <row r="15" spans="1:28">
      <c r="A15" s="364">
        <v>2</v>
      </c>
      <c r="B15" s="340" t="s">
        <v>444</v>
      </c>
      <c r="C15" s="670">
        <v>68064682.288405567</v>
      </c>
      <c r="D15" s="668">
        <v>68064682.288405567</v>
      </c>
      <c r="E15" s="668">
        <v>0</v>
      </c>
      <c r="F15" s="668">
        <v>0</v>
      </c>
      <c r="G15" s="668">
        <v>0</v>
      </c>
      <c r="H15" s="668">
        <v>0</v>
      </c>
      <c r="I15" s="668">
        <v>0</v>
      </c>
      <c r="J15" s="668">
        <v>0</v>
      </c>
      <c r="K15" s="668">
        <v>0</v>
      </c>
      <c r="L15" s="668">
        <v>0</v>
      </c>
      <c r="M15" s="668">
        <v>0</v>
      </c>
      <c r="N15" s="668">
        <v>0</v>
      </c>
      <c r="O15" s="668">
        <v>0</v>
      </c>
      <c r="P15" s="668">
        <v>0</v>
      </c>
      <c r="Q15" s="668">
        <v>0</v>
      </c>
      <c r="R15" s="668">
        <v>0</v>
      </c>
      <c r="S15" s="668">
        <v>0</v>
      </c>
      <c r="T15" s="668">
        <v>0</v>
      </c>
      <c r="U15" s="668">
        <v>0</v>
      </c>
      <c r="V15" s="668">
        <v>0</v>
      </c>
      <c r="W15" s="668">
        <v>0</v>
      </c>
      <c r="X15" s="668">
        <v>0</v>
      </c>
      <c r="Y15" s="668">
        <v>0</v>
      </c>
      <c r="Z15" s="668">
        <v>0</v>
      </c>
      <c r="AA15" s="668">
        <v>0</v>
      </c>
    </row>
    <row r="16" spans="1:28">
      <c r="A16" s="336">
        <v>2.1</v>
      </c>
      <c r="B16" s="356" t="s">
        <v>438</v>
      </c>
      <c r="C16" s="675">
        <v>0</v>
      </c>
      <c r="D16" s="668">
        <v>0</v>
      </c>
      <c r="E16" s="668">
        <v>0</v>
      </c>
      <c r="F16" s="668">
        <v>0</v>
      </c>
      <c r="G16" s="668">
        <v>0</v>
      </c>
      <c r="H16" s="668">
        <v>0</v>
      </c>
      <c r="I16" s="668">
        <v>0</v>
      </c>
      <c r="J16" s="668">
        <v>0</v>
      </c>
      <c r="K16" s="668">
        <v>0</v>
      </c>
      <c r="L16" s="668">
        <v>0</v>
      </c>
      <c r="M16" s="668">
        <v>0</v>
      </c>
      <c r="N16" s="668">
        <v>0</v>
      </c>
      <c r="O16" s="668">
        <v>0</v>
      </c>
      <c r="P16" s="668">
        <v>0</v>
      </c>
      <c r="Q16" s="668">
        <v>0</v>
      </c>
      <c r="R16" s="668">
        <v>0</v>
      </c>
      <c r="S16" s="668">
        <v>0</v>
      </c>
      <c r="T16" s="668">
        <v>0</v>
      </c>
      <c r="U16" s="668">
        <v>0</v>
      </c>
      <c r="V16" s="668">
        <v>0</v>
      </c>
      <c r="W16" s="668">
        <v>0</v>
      </c>
      <c r="X16" s="668">
        <v>0</v>
      </c>
      <c r="Y16" s="668">
        <v>0</v>
      </c>
      <c r="Z16" s="668">
        <v>0</v>
      </c>
      <c r="AA16" s="668">
        <v>0</v>
      </c>
    </row>
    <row r="17" spans="1:27">
      <c r="A17" s="336">
        <v>2.2000000000000002</v>
      </c>
      <c r="B17" s="356" t="s">
        <v>439</v>
      </c>
      <c r="C17" s="675">
        <v>28674570.118405569</v>
      </c>
      <c r="D17" s="668">
        <v>28674570.118405569</v>
      </c>
      <c r="E17" s="668">
        <v>0</v>
      </c>
      <c r="F17" s="668">
        <v>0</v>
      </c>
      <c r="G17" s="668">
        <v>0</v>
      </c>
      <c r="H17" s="668">
        <v>0</v>
      </c>
      <c r="I17" s="668">
        <v>0</v>
      </c>
      <c r="J17" s="668">
        <v>0</v>
      </c>
      <c r="K17" s="668">
        <v>0</v>
      </c>
      <c r="L17" s="668">
        <v>0</v>
      </c>
      <c r="M17" s="668">
        <v>0</v>
      </c>
      <c r="N17" s="668">
        <v>0</v>
      </c>
      <c r="O17" s="668">
        <v>0</v>
      </c>
      <c r="P17" s="668">
        <v>0</v>
      </c>
      <c r="Q17" s="668">
        <v>0</v>
      </c>
      <c r="R17" s="668">
        <v>0</v>
      </c>
      <c r="S17" s="668">
        <v>0</v>
      </c>
      <c r="T17" s="668">
        <v>0</v>
      </c>
      <c r="U17" s="668">
        <v>0</v>
      </c>
      <c r="V17" s="668">
        <v>0</v>
      </c>
      <c r="W17" s="668">
        <v>0</v>
      </c>
      <c r="X17" s="668">
        <v>0</v>
      </c>
      <c r="Y17" s="668">
        <v>0</v>
      </c>
      <c r="Z17" s="668">
        <v>0</v>
      </c>
      <c r="AA17" s="668">
        <v>0</v>
      </c>
    </row>
    <row r="18" spans="1:27">
      <c r="A18" s="336">
        <v>2.2999999999999998</v>
      </c>
      <c r="B18" s="356" t="s">
        <v>440</v>
      </c>
      <c r="C18" s="675">
        <v>0</v>
      </c>
      <c r="D18" s="668">
        <v>0</v>
      </c>
      <c r="E18" s="668">
        <v>0</v>
      </c>
      <c r="F18" s="668">
        <v>0</v>
      </c>
      <c r="G18" s="668">
        <v>0</v>
      </c>
      <c r="H18" s="668">
        <v>0</v>
      </c>
      <c r="I18" s="668">
        <v>0</v>
      </c>
      <c r="J18" s="668">
        <v>0</v>
      </c>
      <c r="K18" s="668">
        <v>0</v>
      </c>
      <c r="L18" s="668">
        <v>0</v>
      </c>
      <c r="M18" s="668">
        <v>0</v>
      </c>
      <c r="N18" s="668">
        <v>0</v>
      </c>
      <c r="O18" s="668">
        <v>0</v>
      </c>
      <c r="P18" s="668">
        <v>0</v>
      </c>
      <c r="Q18" s="668">
        <v>0</v>
      </c>
      <c r="R18" s="668">
        <v>0</v>
      </c>
      <c r="S18" s="668">
        <v>0</v>
      </c>
      <c r="T18" s="668">
        <v>0</v>
      </c>
      <c r="U18" s="668">
        <v>0</v>
      </c>
      <c r="V18" s="668">
        <v>0</v>
      </c>
      <c r="W18" s="668">
        <v>0</v>
      </c>
      <c r="X18" s="668">
        <v>0</v>
      </c>
      <c r="Y18" s="668">
        <v>0</v>
      </c>
      <c r="Z18" s="668">
        <v>0</v>
      </c>
      <c r="AA18" s="668">
        <v>0</v>
      </c>
    </row>
    <row r="19" spans="1:27">
      <c r="A19" s="336">
        <v>2.4</v>
      </c>
      <c r="B19" s="356" t="s">
        <v>441</v>
      </c>
      <c r="C19" s="675">
        <v>21063927.239999998</v>
      </c>
      <c r="D19" s="668">
        <v>21063927.239999998</v>
      </c>
      <c r="E19" s="668">
        <v>0</v>
      </c>
      <c r="F19" s="668">
        <v>0</v>
      </c>
      <c r="G19" s="668">
        <v>0</v>
      </c>
      <c r="H19" s="668">
        <v>0</v>
      </c>
      <c r="I19" s="668">
        <v>0</v>
      </c>
      <c r="J19" s="668">
        <v>0</v>
      </c>
      <c r="K19" s="668">
        <v>0</v>
      </c>
      <c r="L19" s="668">
        <v>0</v>
      </c>
      <c r="M19" s="668">
        <v>0</v>
      </c>
      <c r="N19" s="668">
        <v>0</v>
      </c>
      <c r="O19" s="668">
        <v>0</v>
      </c>
      <c r="P19" s="668">
        <v>0</v>
      </c>
      <c r="Q19" s="668">
        <v>0</v>
      </c>
      <c r="R19" s="668">
        <v>0</v>
      </c>
      <c r="S19" s="668">
        <v>0</v>
      </c>
      <c r="T19" s="668">
        <v>0</v>
      </c>
      <c r="U19" s="668">
        <v>0</v>
      </c>
      <c r="V19" s="668">
        <v>0</v>
      </c>
      <c r="W19" s="668">
        <v>0</v>
      </c>
      <c r="X19" s="668">
        <v>0</v>
      </c>
      <c r="Y19" s="668">
        <v>0</v>
      </c>
      <c r="Z19" s="668">
        <v>0</v>
      </c>
      <c r="AA19" s="668">
        <v>0</v>
      </c>
    </row>
    <row r="20" spans="1:27">
      <c r="A20" s="336">
        <v>2.5</v>
      </c>
      <c r="B20" s="356" t="s">
        <v>442</v>
      </c>
      <c r="C20" s="675">
        <v>18326184.93</v>
      </c>
      <c r="D20" s="668">
        <v>18326184.93</v>
      </c>
      <c r="E20" s="668">
        <v>0</v>
      </c>
      <c r="F20" s="668">
        <v>0</v>
      </c>
      <c r="G20" s="668">
        <v>0</v>
      </c>
      <c r="H20" s="668">
        <v>0</v>
      </c>
      <c r="I20" s="668">
        <v>0</v>
      </c>
      <c r="J20" s="668">
        <v>0</v>
      </c>
      <c r="K20" s="668">
        <v>0</v>
      </c>
      <c r="L20" s="668">
        <v>0</v>
      </c>
      <c r="M20" s="668">
        <v>0</v>
      </c>
      <c r="N20" s="668">
        <v>0</v>
      </c>
      <c r="O20" s="668">
        <v>0</v>
      </c>
      <c r="P20" s="668">
        <v>0</v>
      </c>
      <c r="Q20" s="668">
        <v>0</v>
      </c>
      <c r="R20" s="668">
        <v>0</v>
      </c>
      <c r="S20" s="668">
        <v>0</v>
      </c>
      <c r="T20" s="668">
        <v>0</v>
      </c>
      <c r="U20" s="668">
        <v>0</v>
      </c>
      <c r="V20" s="668">
        <v>0</v>
      </c>
      <c r="W20" s="668">
        <v>0</v>
      </c>
      <c r="X20" s="668">
        <v>0</v>
      </c>
      <c r="Y20" s="668">
        <v>0</v>
      </c>
      <c r="Z20" s="668">
        <v>0</v>
      </c>
      <c r="AA20" s="668">
        <v>0</v>
      </c>
    </row>
    <row r="21" spans="1:27">
      <c r="A21" s="336">
        <v>2.6</v>
      </c>
      <c r="B21" s="356" t="s">
        <v>443</v>
      </c>
      <c r="C21" s="675">
        <v>0</v>
      </c>
      <c r="D21" s="668">
        <v>0</v>
      </c>
      <c r="E21" s="668">
        <v>0</v>
      </c>
      <c r="F21" s="668">
        <v>0</v>
      </c>
      <c r="G21" s="668">
        <v>0</v>
      </c>
      <c r="H21" s="668">
        <v>0</v>
      </c>
      <c r="I21" s="668">
        <v>0</v>
      </c>
      <c r="J21" s="668">
        <v>0</v>
      </c>
      <c r="K21" s="668">
        <v>0</v>
      </c>
      <c r="L21" s="668">
        <v>0</v>
      </c>
      <c r="M21" s="668">
        <v>0</v>
      </c>
      <c r="N21" s="668">
        <v>0</v>
      </c>
      <c r="O21" s="668">
        <v>0</v>
      </c>
      <c r="P21" s="668">
        <v>0</v>
      </c>
      <c r="Q21" s="668">
        <v>0</v>
      </c>
      <c r="R21" s="668">
        <v>0</v>
      </c>
      <c r="S21" s="668">
        <v>0</v>
      </c>
      <c r="T21" s="668">
        <v>0</v>
      </c>
      <c r="U21" s="668">
        <v>0</v>
      </c>
      <c r="V21" s="668">
        <v>0</v>
      </c>
      <c r="W21" s="668">
        <v>0</v>
      </c>
      <c r="X21" s="668">
        <v>0</v>
      </c>
      <c r="Y21" s="668">
        <v>0</v>
      </c>
      <c r="Z21" s="668">
        <v>0</v>
      </c>
      <c r="AA21" s="668">
        <v>0</v>
      </c>
    </row>
    <row r="22" spans="1:27">
      <c r="A22" s="364">
        <v>3</v>
      </c>
      <c r="B22" s="340" t="s">
        <v>484</v>
      </c>
      <c r="C22" s="670">
        <v>203585294.91449997</v>
      </c>
      <c r="D22" s="668">
        <v>200542673.56449997</v>
      </c>
      <c r="E22" s="363"/>
      <c r="F22" s="363"/>
      <c r="G22" s="363"/>
      <c r="H22" s="668">
        <v>180391.22</v>
      </c>
      <c r="I22" s="363"/>
      <c r="J22" s="363"/>
      <c r="K22" s="363"/>
      <c r="L22" s="668">
        <v>2862230.13</v>
      </c>
      <c r="M22" s="363"/>
      <c r="N22" s="363"/>
      <c r="O22" s="363"/>
      <c r="P22" s="363"/>
      <c r="Q22" s="363"/>
      <c r="R22" s="363"/>
      <c r="S22" s="363"/>
      <c r="T22" s="668">
        <v>0</v>
      </c>
      <c r="U22" s="363"/>
      <c r="V22" s="363"/>
      <c r="W22" s="363"/>
      <c r="X22" s="363"/>
      <c r="Y22" s="363"/>
      <c r="Z22" s="363"/>
      <c r="AA22" s="363"/>
    </row>
    <row r="23" spans="1:27">
      <c r="A23" s="336">
        <v>3.1</v>
      </c>
      <c r="B23" s="356" t="s">
        <v>438</v>
      </c>
      <c r="C23" s="675">
        <v>0</v>
      </c>
      <c r="D23" s="668">
        <v>0</v>
      </c>
      <c r="E23" s="363"/>
      <c r="F23" s="363"/>
      <c r="G23" s="363"/>
      <c r="H23" s="668">
        <v>0</v>
      </c>
      <c r="I23" s="363"/>
      <c r="J23" s="363"/>
      <c r="K23" s="363"/>
      <c r="L23" s="668">
        <v>0</v>
      </c>
      <c r="M23" s="363"/>
      <c r="N23" s="363"/>
      <c r="O23" s="363"/>
      <c r="P23" s="363"/>
      <c r="Q23" s="363"/>
      <c r="R23" s="363"/>
      <c r="S23" s="363"/>
      <c r="T23" s="668">
        <v>0</v>
      </c>
      <c r="U23" s="363"/>
      <c r="V23" s="363"/>
      <c r="W23" s="363"/>
      <c r="X23" s="363"/>
      <c r="Y23" s="363"/>
      <c r="Z23" s="363"/>
      <c r="AA23" s="363"/>
    </row>
    <row r="24" spans="1:27">
      <c r="A24" s="336">
        <v>3.2</v>
      </c>
      <c r="B24" s="356" t="s">
        <v>439</v>
      </c>
      <c r="C24" s="675">
        <v>0</v>
      </c>
      <c r="D24" s="668">
        <v>0</v>
      </c>
      <c r="E24" s="363"/>
      <c r="F24" s="363"/>
      <c r="G24" s="363"/>
      <c r="H24" s="668">
        <v>0</v>
      </c>
      <c r="I24" s="363"/>
      <c r="J24" s="363"/>
      <c r="K24" s="363"/>
      <c r="L24" s="668">
        <v>0</v>
      </c>
      <c r="M24" s="363"/>
      <c r="N24" s="363"/>
      <c r="O24" s="363"/>
      <c r="P24" s="363"/>
      <c r="Q24" s="363"/>
      <c r="R24" s="363"/>
      <c r="S24" s="363"/>
      <c r="T24" s="668">
        <v>0</v>
      </c>
      <c r="U24" s="363"/>
      <c r="V24" s="363"/>
      <c r="W24" s="363"/>
      <c r="X24" s="363"/>
      <c r="Y24" s="363"/>
      <c r="Z24" s="363"/>
      <c r="AA24" s="363"/>
    </row>
    <row r="25" spans="1:27">
      <c r="A25" s="336">
        <v>3.3</v>
      </c>
      <c r="B25" s="356" t="s">
        <v>440</v>
      </c>
      <c r="C25" s="675">
        <v>0</v>
      </c>
      <c r="D25" s="668">
        <v>0</v>
      </c>
      <c r="E25" s="363"/>
      <c r="F25" s="363"/>
      <c r="G25" s="363"/>
      <c r="H25" s="668">
        <v>0</v>
      </c>
      <c r="I25" s="363"/>
      <c r="J25" s="363"/>
      <c r="K25" s="363"/>
      <c r="L25" s="668">
        <v>0</v>
      </c>
      <c r="M25" s="363"/>
      <c r="N25" s="363"/>
      <c r="O25" s="363"/>
      <c r="P25" s="363"/>
      <c r="Q25" s="363"/>
      <c r="R25" s="363"/>
      <c r="S25" s="363"/>
      <c r="T25" s="668">
        <v>0</v>
      </c>
      <c r="U25" s="363"/>
      <c r="V25" s="363"/>
      <c r="W25" s="363"/>
      <c r="X25" s="363"/>
      <c r="Y25" s="363"/>
      <c r="Z25" s="363"/>
      <c r="AA25" s="363"/>
    </row>
    <row r="26" spans="1:27">
      <c r="A26" s="336">
        <v>3.4</v>
      </c>
      <c r="B26" s="356" t="s">
        <v>441</v>
      </c>
      <c r="C26" s="675">
        <v>554669</v>
      </c>
      <c r="D26" s="668">
        <v>554669</v>
      </c>
      <c r="E26" s="363"/>
      <c r="F26" s="363"/>
      <c r="G26" s="363"/>
      <c r="H26" s="668">
        <v>0</v>
      </c>
      <c r="I26" s="363"/>
      <c r="J26" s="363"/>
      <c r="K26" s="363"/>
      <c r="L26" s="668">
        <v>0</v>
      </c>
      <c r="M26" s="363"/>
      <c r="N26" s="363"/>
      <c r="O26" s="363"/>
      <c r="P26" s="363"/>
      <c r="Q26" s="363"/>
      <c r="R26" s="363"/>
      <c r="S26" s="363"/>
      <c r="T26" s="668">
        <v>0</v>
      </c>
      <c r="U26" s="363"/>
      <c r="V26" s="363"/>
      <c r="W26" s="363"/>
      <c r="X26" s="363"/>
      <c r="Y26" s="363"/>
      <c r="Z26" s="363"/>
      <c r="AA26" s="363"/>
    </row>
    <row r="27" spans="1:27">
      <c r="A27" s="336">
        <v>3.5</v>
      </c>
      <c r="B27" s="356" t="s">
        <v>442</v>
      </c>
      <c r="C27" s="675">
        <v>197713087.34209996</v>
      </c>
      <c r="D27" s="668">
        <v>194671131.03209996</v>
      </c>
      <c r="E27" s="363"/>
      <c r="F27" s="363"/>
      <c r="G27" s="363"/>
      <c r="H27" s="668">
        <v>180228.33</v>
      </c>
      <c r="I27" s="363"/>
      <c r="J27" s="363"/>
      <c r="K27" s="363"/>
      <c r="L27" s="668">
        <v>2861727.98</v>
      </c>
      <c r="M27" s="363"/>
      <c r="N27" s="363"/>
      <c r="O27" s="363"/>
      <c r="P27" s="363"/>
      <c r="Q27" s="363"/>
      <c r="R27" s="363"/>
      <c r="S27" s="363"/>
      <c r="T27" s="668">
        <v>0</v>
      </c>
      <c r="U27" s="363"/>
      <c r="V27" s="363"/>
      <c r="W27" s="363"/>
      <c r="X27" s="363"/>
      <c r="Y27" s="363"/>
      <c r="Z27" s="363"/>
      <c r="AA27" s="363"/>
    </row>
    <row r="28" spans="1:27">
      <c r="A28" s="336">
        <v>3.6</v>
      </c>
      <c r="B28" s="356" t="s">
        <v>443</v>
      </c>
      <c r="C28" s="675">
        <v>5317538.5723999999</v>
      </c>
      <c r="D28" s="668">
        <v>5316873.5323999999</v>
      </c>
      <c r="E28" s="363"/>
      <c r="F28" s="363"/>
      <c r="G28" s="363"/>
      <c r="H28" s="668">
        <v>162.89000000000124</v>
      </c>
      <c r="I28" s="363"/>
      <c r="J28" s="363"/>
      <c r="K28" s="363"/>
      <c r="L28" s="668">
        <v>502.15</v>
      </c>
      <c r="M28" s="363"/>
      <c r="N28" s="363"/>
      <c r="O28" s="363"/>
      <c r="P28" s="363"/>
      <c r="Q28" s="363"/>
      <c r="R28" s="363"/>
      <c r="S28" s="363"/>
      <c r="T28" s="668">
        <v>0</v>
      </c>
      <c r="U28" s="363"/>
      <c r="V28" s="363"/>
      <c r="W28" s="363"/>
      <c r="X28" s="363"/>
      <c r="Y28" s="363"/>
      <c r="Z28" s="363"/>
      <c r="AA28" s="363"/>
    </row>
    <row r="32" spans="1:27">
      <c r="C32" s="696"/>
      <c r="D32" s="696"/>
      <c r="E32" s="696"/>
      <c r="F32" s="696"/>
      <c r="G32" s="696"/>
      <c r="H32" s="696"/>
      <c r="I32" s="696"/>
      <c r="J32" s="696"/>
      <c r="K32" s="696"/>
      <c r="L32" s="696"/>
      <c r="M32" s="696"/>
      <c r="N32" s="696"/>
      <c r="O32" s="696"/>
      <c r="P32" s="696"/>
      <c r="Q32" s="696"/>
      <c r="R32" s="696"/>
      <c r="S32" s="696"/>
      <c r="T32" s="696"/>
      <c r="U32" s="696"/>
      <c r="V32" s="696"/>
      <c r="W32" s="696"/>
      <c r="X32" s="696"/>
      <c r="Y32" s="696"/>
      <c r="Z32" s="696"/>
      <c r="AA32" s="696"/>
    </row>
    <row r="33" spans="3:27">
      <c r="C33" s="696"/>
      <c r="D33" s="696"/>
      <c r="E33" s="696"/>
      <c r="F33" s="696"/>
      <c r="G33" s="696"/>
      <c r="H33" s="696"/>
      <c r="I33" s="696"/>
      <c r="J33" s="696"/>
      <c r="K33" s="696"/>
      <c r="L33" s="696"/>
      <c r="M33" s="696"/>
      <c r="N33" s="696"/>
      <c r="O33" s="696"/>
      <c r="P33" s="696"/>
      <c r="Q33" s="696"/>
      <c r="R33" s="696"/>
      <c r="S33" s="696"/>
      <c r="T33" s="696"/>
      <c r="U33" s="696"/>
      <c r="V33" s="696"/>
      <c r="W33" s="696"/>
      <c r="X33" s="696"/>
      <c r="Y33" s="696"/>
      <c r="Z33" s="696"/>
      <c r="AA33" s="696"/>
    </row>
    <row r="34" spans="3:27">
      <c r="C34" s="696"/>
      <c r="D34" s="696"/>
      <c r="E34" s="696"/>
      <c r="F34" s="696"/>
      <c r="G34" s="696"/>
      <c r="H34" s="696"/>
      <c r="I34" s="696"/>
      <c r="J34" s="696"/>
      <c r="K34" s="696"/>
      <c r="L34" s="696"/>
      <c r="M34" s="696"/>
      <c r="N34" s="696"/>
      <c r="O34" s="696"/>
      <c r="P34" s="696"/>
      <c r="Q34" s="696"/>
      <c r="R34" s="696"/>
      <c r="S34" s="696"/>
      <c r="T34" s="696"/>
      <c r="U34" s="696"/>
      <c r="V34" s="696"/>
      <c r="W34" s="696"/>
      <c r="X34" s="696"/>
      <c r="Y34" s="696"/>
      <c r="Z34" s="696"/>
      <c r="AA34" s="696"/>
    </row>
    <row r="35" spans="3:27">
      <c r="C35" s="696"/>
      <c r="D35" s="696"/>
      <c r="E35" s="696"/>
      <c r="F35" s="696"/>
      <c r="G35" s="696"/>
      <c r="H35" s="696"/>
      <c r="I35" s="696"/>
      <c r="J35" s="696"/>
      <c r="K35" s="696"/>
      <c r="L35" s="696"/>
      <c r="M35" s="696"/>
      <c r="N35" s="696"/>
      <c r="O35" s="696"/>
      <c r="P35" s="696"/>
      <c r="Q35" s="696"/>
      <c r="R35" s="696"/>
      <c r="S35" s="696"/>
      <c r="T35" s="696"/>
      <c r="U35" s="696"/>
      <c r="V35" s="696"/>
      <c r="W35" s="696"/>
      <c r="X35" s="696"/>
      <c r="Y35" s="696"/>
      <c r="Z35" s="696"/>
      <c r="AA35" s="696"/>
    </row>
    <row r="36" spans="3:27">
      <c r="C36" s="696"/>
      <c r="D36" s="696"/>
      <c r="E36" s="696"/>
      <c r="F36" s="696"/>
      <c r="G36" s="696"/>
      <c r="H36" s="696"/>
      <c r="I36" s="696"/>
      <c r="J36" s="696"/>
      <c r="K36" s="696"/>
      <c r="L36" s="696"/>
      <c r="M36" s="696"/>
      <c r="N36" s="696"/>
      <c r="O36" s="696"/>
      <c r="P36" s="696"/>
      <c r="Q36" s="696"/>
      <c r="R36" s="696"/>
      <c r="S36" s="696"/>
      <c r="T36" s="696"/>
      <c r="U36" s="696"/>
      <c r="V36" s="696"/>
      <c r="W36" s="696"/>
      <c r="X36" s="696"/>
      <c r="Y36" s="696"/>
      <c r="Z36" s="696"/>
      <c r="AA36" s="696"/>
    </row>
    <row r="37" spans="3:27">
      <c r="C37" s="696"/>
      <c r="D37" s="696"/>
      <c r="E37" s="696"/>
      <c r="F37" s="696"/>
      <c r="G37" s="696"/>
      <c r="H37" s="696"/>
      <c r="I37" s="696"/>
      <c r="J37" s="696"/>
      <c r="K37" s="696"/>
      <c r="L37" s="696"/>
      <c r="M37" s="696"/>
      <c r="N37" s="696"/>
      <c r="O37" s="696"/>
      <c r="P37" s="696"/>
      <c r="Q37" s="696"/>
      <c r="R37" s="696"/>
      <c r="S37" s="696"/>
      <c r="T37" s="696"/>
      <c r="U37" s="696"/>
      <c r="V37" s="696"/>
      <c r="W37" s="696"/>
      <c r="X37" s="696"/>
      <c r="Y37" s="696"/>
      <c r="Z37" s="696"/>
      <c r="AA37" s="696"/>
    </row>
    <row r="38" spans="3:27">
      <c r="C38" s="696"/>
      <c r="D38" s="696"/>
      <c r="E38" s="696"/>
      <c r="F38" s="696"/>
      <c r="G38" s="696"/>
      <c r="H38" s="696"/>
      <c r="I38" s="696"/>
      <c r="J38" s="696"/>
      <c r="K38" s="696"/>
      <c r="L38" s="696"/>
      <c r="M38" s="696"/>
      <c r="N38" s="696"/>
      <c r="O38" s="696"/>
      <c r="P38" s="696"/>
      <c r="Q38" s="696"/>
      <c r="R38" s="696"/>
      <c r="S38" s="696"/>
      <c r="T38" s="696"/>
      <c r="U38" s="696"/>
      <c r="V38" s="696"/>
      <c r="W38" s="696"/>
      <c r="X38" s="696"/>
      <c r="Y38" s="696"/>
      <c r="Z38" s="696"/>
      <c r="AA38" s="696"/>
    </row>
    <row r="39" spans="3:27">
      <c r="C39" s="696"/>
      <c r="D39" s="696"/>
      <c r="E39" s="696"/>
      <c r="F39" s="696"/>
      <c r="G39" s="696"/>
      <c r="H39" s="696"/>
      <c r="I39" s="696"/>
      <c r="J39" s="696"/>
      <c r="K39" s="696"/>
      <c r="L39" s="696"/>
      <c r="M39" s="696"/>
      <c r="N39" s="696"/>
      <c r="O39" s="696"/>
      <c r="P39" s="696"/>
      <c r="Q39" s="696"/>
      <c r="R39" s="696"/>
      <c r="S39" s="696"/>
      <c r="T39" s="696"/>
      <c r="U39" s="696"/>
      <c r="V39" s="696"/>
      <c r="W39" s="696"/>
      <c r="X39" s="696"/>
      <c r="Y39" s="696"/>
      <c r="Z39" s="696"/>
      <c r="AA39" s="696"/>
    </row>
    <row r="40" spans="3:27">
      <c r="C40" s="696"/>
      <c r="D40" s="696"/>
      <c r="E40" s="696"/>
      <c r="F40" s="696"/>
      <c r="G40" s="696"/>
      <c r="H40" s="696"/>
      <c r="I40" s="696"/>
      <c r="J40" s="696"/>
      <c r="K40" s="696"/>
      <c r="L40" s="696"/>
      <c r="M40" s="696"/>
      <c r="N40" s="696"/>
      <c r="O40" s="696"/>
      <c r="P40" s="696"/>
      <c r="Q40" s="696"/>
      <c r="R40" s="696"/>
      <c r="S40" s="696"/>
      <c r="T40" s="696"/>
      <c r="U40" s="696"/>
      <c r="V40" s="696"/>
      <c r="W40" s="696"/>
      <c r="X40" s="696"/>
      <c r="Y40" s="696"/>
      <c r="Z40" s="696"/>
      <c r="AA40" s="696"/>
    </row>
    <row r="41" spans="3:27">
      <c r="C41" s="696"/>
      <c r="D41" s="696"/>
      <c r="E41" s="696"/>
      <c r="F41" s="696"/>
      <c r="G41" s="696"/>
      <c r="H41" s="696"/>
      <c r="I41" s="696"/>
      <c r="J41" s="696"/>
      <c r="K41" s="696"/>
      <c r="L41" s="696"/>
      <c r="M41" s="696"/>
      <c r="N41" s="696"/>
      <c r="O41" s="696"/>
      <c r="P41" s="696"/>
      <c r="Q41" s="696"/>
      <c r="R41" s="696"/>
      <c r="S41" s="696"/>
      <c r="T41" s="696"/>
      <c r="U41" s="696"/>
      <c r="V41" s="696"/>
      <c r="W41" s="696"/>
      <c r="X41" s="696"/>
      <c r="Y41" s="696"/>
      <c r="Z41" s="696"/>
      <c r="AA41" s="696"/>
    </row>
    <row r="42" spans="3:27">
      <c r="C42" s="696"/>
      <c r="D42" s="696"/>
      <c r="E42" s="696"/>
      <c r="F42" s="696"/>
      <c r="G42" s="696"/>
      <c r="H42" s="696"/>
      <c r="I42" s="696"/>
      <c r="J42" s="696"/>
      <c r="K42" s="696"/>
      <c r="L42" s="696"/>
      <c r="M42" s="696"/>
      <c r="N42" s="696"/>
      <c r="O42" s="696"/>
      <c r="P42" s="696"/>
      <c r="Q42" s="696"/>
      <c r="R42" s="696"/>
      <c r="S42" s="696"/>
      <c r="T42" s="696"/>
      <c r="U42" s="696"/>
      <c r="V42" s="696"/>
      <c r="W42" s="696"/>
      <c r="X42" s="696"/>
      <c r="Y42" s="696"/>
      <c r="Z42" s="696"/>
      <c r="AA42" s="696"/>
    </row>
    <row r="43" spans="3:27">
      <c r="C43" s="696"/>
      <c r="D43" s="696"/>
      <c r="E43" s="696"/>
      <c r="F43" s="696"/>
      <c r="G43" s="696"/>
      <c r="H43" s="696"/>
      <c r="I43" s="696"/>
      <c r="J43" s="696"/>
      <c r="K43" s="696"/>
      <c r="L43" s="696"/>
      <c r="M43" s="696"/>
      <c r="N43" s="696"/>
      <c r="O43" s="696"/>
      <c r="P43" s="696"/>
      <c r="Q43" s="696"/>
      <c r="R43" s="696"/>
      <c r="S43" s="696"/>
      <c r="T43" s="696"/>
      <c r="U43" s="696"/>
      <c r="V43" s="696"/>
      <c r="W43" s="696"/>
      <c r="X43" s="696"/>
      <c r="Y43" s="696"/>
      <c r="Z43" s="696"/>
      <c r="AA43" s="696"/>
    </row>
    <row r="44" spans="3:27">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row>
    <row r="45" spans="3:27">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row>
    <row r="46" spans="3:27">
      <c r="C46" s="696"/>
      <c r="D46" s="696"/>
      <c r="E46" s="696"/>
      <c r="F46" s="696"/>
      <c r="G46" s="696"/>
      <c r="H46" s="696"/>
      <c r="I46" s="696"/>
      <c r="J46" s="696"/>
      <c r="K46" s="696"/>
      <c r="L46" s="696"/>
      <c r="M46" s="696"/>
      <c r="N46" s="696"/>
      <c r="O46" s="696"/>
      <c r="P46" s="696"/>
      <c r="Q46" s="696"/>
      <c r="R46" s="696"/>
      <c r="S46" s="696"/>
      <c r="T46" s="696"/>
      <c r="U46" s="696"/>
      <c r="V46" s="696"/>
      <c r="W46" s="696"/>
      <c r="X46" s="696"/>
      <c r="Y46" s="696"/>
      <c r="Z46" s="696"/>
      <c r="AA46" s="696"/>
    </row>
    <row r="47" spans="3:27">
      <c r="C47" s="696"/>
      <c r="D47" s="696"/>
      <c r="E47" s="696"/>
      <c r="F47" s="696"/>
      <c r="G47" s="696"/>
      <c r="H47" s="696"/>
      <c r="I47" s="696"/>
      <c r="J47" s="696"/>
      <c r="K47" s="696"/>
      <c r="L47" s="696"/>
      <c r="M47" s="696"/>
      <c r="N47" s="696"/>
      <c r="O47" s="696"/>
      <c r="P47" s="696"/>
      <c r="Q47" s="696"/>
      <c r="R47" s="696"/>
      <c r="S47" s="696"/>
      <c r="T47" s="696"/>
      <c r="U47" s="696"/>
      <c r="V47" s="696"/>
      <c r="W47" s="696"/>
      <c r="X47" s="696"/>
      <c r="Y47" s="696"/>
      <c r="Z47" s="696"/>
      <c r="AA47" s="696"/>
    </row>
    <row r="48" spans="3:27">
      <c r="C48" s="696"/>
      <c r="D48" s="696"/>
      <c r="E48" s="696"/>
      <c r="F48" s="696"/>
      <c r="G48" s="696"/>
      <c r="H48" s="696"/>
      <c r="I48" s="696"/>
      <c r="J48" s="696"/>
      <c r="K48" s="696"/>
      <c r="L48" s="696"/>
      <c r="M48" s="696"/>
      <c r="N48" s="696"/>
      <c r="O48" s="696"/>
      <c r="P48" s="696"/>
      <c r="Q48" s="696"/>
      <c r="R48" s="696"/>
      <c r="S48" s="696"/>
      <c r="T48" s="696"/>
      <c r="U48" s="696"/>
      <c r="V48" s="696"/>
      <c r="W48" s="696"/>
      <c r="X48" s="696"/>
      <c r="Y48" s="696"/>
      <c r="Z48" s="696"/>
      <c r="AA48" s="696"/>
    </row>
    <row r="49" spans="3:27">
      <c r="C49" s="696"/>
      <c r="D49" s="696"/>
      <c r="E49" s="696"/>
      <c r="F49" s="696"/>
      <c r="G49" s="696"/>
      <c r="H49" s="696"/>
      <c r="I49" s="696"/>
      <c r="J49" s="696"/>
      <c r="K49" s="696"/>
      <c r="L49" s="696"/>
      <c r="M49" s="696"/>
      <c r="N49" s="696"/>
      <c r="O49" s="696"/>
      <c r="P49" s="696"/>
      <c r="Q49" s="696"/>
      <c r="R49" s="696"/>
      <c r="S49" s="696"/>
      <c r="T49" s="696"/>
      <c r="U49" s="696"/>
      <c r="V49" s="696"/>
      <c r="W49" s="696"/>
      <c r="X49" s="696"/>
      <c r="Y49" s="696"/>
      <c r="Z49" s="696"/>
      <c r="AA49" s="696"/>
    </row>
    <row r="50" spans="3:27">
      <c r="C50" s="696"/>
      <c r="D50" s="696"/>
      <c r="E50" s="696"/>
      <c r="F50" s="696"/>
      <c r="G50" s="696"/>
      <c r="H50" s="696"/>
      <c r="I50" s="696"/>
      <c r="J50" s="696"/>
      <c r="K50" s="696"/>
      <c r="L50" s="696"/>
      <c r="M50" s="696"/>
      <c r="N50" s="696"/>
      <c r="O50" s="696"/>
      <c r="P50" s="696"/>
      <c r="Q50" s="696"/>
      <c r="R50" s="696"/>
      <c r="S50" s="696"/>
      <c r="T50" s="696"/>
      <c r="U50" s="696"/>
      <c r="V50" s="696"/>
      <c r="W50" s="696"/>
      <c r="X50" s="696"/>
      <c r="Y50" s="696"/>
      <c r="Z50" s="696"/>
      <c r="AA50" s="696"/>
    </row>
    <row r="51" spans="3:27">
      <c r="C51" s="696"/>
      <c r="D51" s="696"/>
      <c r="E51" s="696"/>
      <c r="F51" s="696"/>
      <c r="G51" s="696"/>
      <c r="H51" s="696"/>
      <c r="I51" s="696"/>
      <c r="J51" s="696"/>
      <c r="K51" s="696"/>
      <c r="L51" s="696"/>
      <c r="M51" s="696"/>
      <c r="N51" s="696"/>
      <c r="O51" s="696"/>
      <c r="P51" s="696"/>
      <c r="Q51" s="696"/>
      <c r="R51" s="696"/>
      <c r="S51" s="696"/>
      <c r="T51" s="696"/>
      <c r="U51" s="696"/>
      <c r="V51" s="696"/>
      <c r="W51" s="696"/>
      <c r="X51" s="696"/>
      <c r="Y51" s="696"/>
      <c r="Z51" s="696"/>
      <c r="AA51" s="696"/>
    </row>
    <row r="52" spans="3:27">
      <c r="C52" s="696"/>
      <c r="D52" s="696"/>
      <c r="E52" s="696"/>
      <c r="F52" s="696"/>
      <c r="G52" s="696"/>
      <c r="H52" s="696"/>
      <c r="I52" s="696"/>
      <c r="J52" s="696"/>
      <c r="K52" s="696"/>
      <c r="L52" s="696"/>
      <c r="M52" s="696"/>
      <c r="N52" s="696"/>
      <c r="O52" s="696"/>
      <c r="P52" s="696"/>
      <c r="Q52" s="696"/>
      <c r="R52" s="696"/>
      <c r="S52" s="696"/>
      <c r="T52" s="696"/>
      <c r="U52" s="696"/>
      <c r="V52" s="696"/>
      <c r="W52" s="696"/>
      <c r="X52" s="696"/>
      <c r="Y52" s="696"/>
      <c r="Z52" s="696"/>
      <c r="AA52" s="696"/>
    </row>
    <row r="53" spans="3:27">
      <c r="C53" s="696"/>
      <c r="D53" s="674"/>
      <c r="E53" s="674"/>
      <c r="F53" s="674"/>
      <c r="G53" s="674"/>
      <c r="H53" s="674"/>
      <c r="I53" s="674"/>
      <c r="J53" s="674"/>
      <c r="K53" s="674"/>
      <c r="L53" s="674"/>
      <c r="M53" s="674"/>
      <c r="N53" s="674"/>
      <c r="O53" s="674"/>
      <c r="P53" s="674"/>
      <c r="Q53" s="674"/>
      <c r="R53" s="674"/>
      <c r="S53" s="674"/>
      <c r="T53" s="674"/>
      <c r="U53" s="674"/>
      <c r="V53" s="674"/>
      <c r="W53" s="674"/>
      <c r="X53" s="674"/>
      <c r="Y53" s="674"/>
      <c r="Z53" s="674"/>
      <c r="AA53" s="674"/>
    </row>
    <row r="54" spans="3:27">
      <c r="C54" s="696"/>
      <c r="D54" s="674"/>
      <c r="E54" s="674"/>
      <c r="F54" s="674"/>
      <c r="G54" s="674"/>
      <c r="H54" s="674"/>
      <c r="I54" s="674"/>
      <c r="J54" s="674"/>
      <c r="K54" s="674"/>
      <c r="L54" s="674"/>
      <c r="M54" s="674"/>
      <c r="N54" s="674"/>
      <c r="O54" s="674"/>
      <c r="P54" s="674"/>
      <c r="Q54" s="674"/>
      <c r="R54" s="674"/>
      <c r="S54" s="674"/>
      <c r="T54" s="674"/>
      <c r="U54" s="674"/>
      <c r="V54" s="674"/>
      <c r="W54" s="674"/>
      <c r="X54" s="674"/>
      <c r="Y54" s="674"/>
      <c r="Z54" s="674"/>
      <c r="AA54" s="674"/>
    </row>
    <row r="55" spans="3:27">
      <c r="C55" s="696"/>
      <c r="D55" s="674"/>
      <c r="E55" s="674"/>
      <c r="F55" s="674"/>
      <c r="G55" s="674"/>
      <c r="H55" s="674"/>
      <c r="I55" s="674"/>
      <c r="J55" s="674"/>
      <c r="K55" s="674"/>
      <c r="L55" s="674"/>
      <c r="M55" s="674"/>
      <c r="N55" s="674"/>
      <c r="O55" s="674"/>
      <c r="P55" s="674"/>
      <c r="Q55" s="674"/>
      <c r="R55" s="674"/>
      <c r="S55" s="674"/>
      <c r="T55" s="674"/>
      <c r="U55" s="674"/>
      <c r="V55" s="674"/>
      <c r="W55" s="674"/>
      <c r="X55" s="674"/>
      <c r="Y55" s="674"/>
      <c r="Z55" s="674"/>
      <c r="AA55" s="674"/>
    </row>
    <row r="56" spans="3:27">
      <c r="C56" s="696"/>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44"/>
  <sheetViews>
    <sheetView showGridLines="0" zoomScale="80" zoomScaleNormal="80" workbookViewId="0"/>
  </sheetViews>
  <sheetFormatPr defaultColWidth="9.140625" defaultRowHeight="12.75"/>
  <cols>
    <col min="1" max="1" width="11.85546875" style="347" bestFit="1" customWidth="1"/>
    <col min="2" max="2" width="90.140625" style="347" bestFit="1" customWidth="1"/>
    <col min="3" max="3" width="20.140625" style="347" customWidth="1"/>
    <col min="4" max="4" width="22.140625" style="347" customWidth="1"/>
    <col min="5" max="7" width="17.140625" style="347" customWidth="1"/>
    <col min="8" max="8" width="22.140625" style="347" customWidth="1"/>
    <col min="9" max="10" width="17.140625" style="347" customWidth="1"/>
    <col min="11" max="27" width="22.140625" style="347" customWidth="1"/>
    <col min="28" max="16384" width="9.140625" style="347"/>
  </cols>
  <sheetData>
    <row r="1" spans="1:27" ht="13.5">
      <c r="A1" s="268" t="s">
        <v>30</v>
      </c>
      <c r="B1" s="334" t="str">
        <f>'Info '!C2</f>
        <v>JSC Cartu Bank</v>
      </c>
    </row>
    <row r="2" spans="1:27">
      <c r="A2" s="268" t="s">
        <v>31</v>
      </c>
      <c r="B2" s="534">
        <f>'1. key ratios '!B2</f>
        <v>45747</v>
      </c>
    </row>
    <row r="3" spans="1:27">
      <c r="A3" s="269" t="s">
        <v>446</v>
      </c>
      <c r="C3" s="349"/>
    </row>
    <row r="4" spans="1:27" ht="13.5" thickBot="1">
      <c r="A4" s="269"/>
      <c r="B4" s="349"/>
      <c r="C4" s="349"/>
    </row>
    <row r="5" spans="1:27" ht="13.5" customHeight="1">
      <c r="A5" s="809" t="s">
        <v>652</v>
      </c>
      <c r="B5" s="810"/>
      <c r="C5" s="818" t="s">
        <v>651</v>
      </c>
      <c r="D5" s="819"/>
      <c r="E5" s="819"/>
      <c r="F5" s="819"/>
      <c r="G5" s="819"/>
      <c r="H5" s="819"/>
      <c r="I5" s="819"/>
      <c r="J5" s="819"/>
      <c r="K5" s="819"/>
      <c r="L5" s="819"/>
      <c r="M5" s="819"/>
      <c r="N5" s="819"/>
      <c r="O5" s="819"/>
      <c r="P5" s="819"/>
      <c r="Q5" s="819"/>
      <c r="R5" s="819"/>
      <c r="S5" s="820"/>
      <c r="T5" s="371"/>
      <c r="U5" s="371"/>
      <c r="V5" s="371"/>
      <c r="W5" s="371"/>
      <c r="X5" s="371"/>
      <c r="Y5" s="371"/>
      <c r="Z5" s="371"/>
      <c r="AA5" s="370"/>
    </row>
    <row r="6" spans="1:27" ht="12" customHeight="1">
      <c r="A6" s="811"/>
      <c r="B6" s="812"/>
      <c r="C6" s="815" t="s">
        <v>64</v>
      </c>
      <c r="D6" s="807" t="s">
        <v>648</v>
      </c>
      <c r="E6" s="807"/>
      <c r="F6" s="807"/>
      <c r="G6" s="807"/>
      <c r="H6" s="807" t="s">
        <v>647</v>
      </c>
      <c r="I6" s="807"/>
      <c r="J6" s="807"/>
      <c r="K6" s="807"/>
      <c r="L6" s="368"/>
      <c r="M6" s="808" t="s">
        <v>646</v>
      </c>
      <c r="N6" s="808"/>
      <c r="O6" s="808"/>
      <c r="P6" s="808"/>
      <c r="Q6" s="808"/>
      <c r="R6" s="808"/>
      <c r="S6" s="817"/>
      <c r="T6" s="371"/>
      <c r="U6" s="796" t="s">
        <v>645</v>
      </c>
      <c r="V6" s="796"/>
      <c r="W6" s="796"/>
      <c r="X6" s="796"/>
      <c r="Y6" s="796"/>
      <c r="Z6" s="796"/>
      <c r="AA6" s="789"/>
    </row>
    <row r="7" spans="1:27" ht="25.5">
      <c r="A7" s="813"/>
      <c r="B7" s="814"/>
      <c r="C7" s="816"/>
      <c r="D7" s="367"/>
      <c r="E7" s="344" t="s">
        <v>436</v>
      </c>
      <c r="F7" s="344" t="s">
        <v>643</v>
      </c>
      <c r="G7" s="346" t="s">
        <v>644</v>
      </c>
      <c r="H7" s="348"/>
      <c r="I7" s="344" t="s">
        <v>436</v>
      </c>
      <c r="J7" s="344" t="s">
        <v>643</v>
      </c>
      <c r="K7" s="346" t="s">
        <v>644</v>
      </c>
      <c r="L7" s="366"/>
      <c r="M7" s="344" t="s">
        <v>436</v>
      </c>
      <c r="N7" s="344" t="s">
        <v>643</v>
      </c>
      <c r="O7" s="344" t="s">
        <v>642</v>
      </c>
      <c r="P7" s="344" t="s">
        <v>641</v>
      </c>
      <c r="Q7" s="344" t="s">
        <v>640</v>
      </c>
      <c r="R7" s="344" t="s">
        <v>639</v>
      </c>
      <c r="S7" s="396" t="s">
        <v>638</v>
      </c>
      <c r="T7" s="395"/>
      <c r="U7" s="344" t="s">
        <v>436</v>
      </c>
      <c r="V7" s="344" t="s">
        <v>643</v>
      </c>
      <c r="W7" s="344" t="s">
        <v>642</v>
      </c>
      <c r="X7" s="344" t="s">
        <v>641</v>
      </c>
      <c r="Y7" s="344" t="s">
        <v>640</v>
      </c>
      <c r="Z7" s="344" t="s">
        <v>639</v>
      </c>
      <c r="AA7" s="344" t="s">
        <v>638</v>
      </c>
    </row>
    <row r="8" spans="1:27">
      <c r="A8" s="394">
        <v>1</v>
      </c>
      <c r="B8" s="393" t="s">
        <v>437</v>
      </c>
      <c r="C8" s="676">
        <v>1096227082.3967483</v>
      </c>
      <c r="D8" s="668">
        <v>820325999.38240612</v>
      </c>
      <c r="E8" s="668">
        <v>12946174.872863133</v>
      </c>
      <c r="F8" s="668">
        <v>0</v>
      </c>
      <c r="G8" s="668">
        <v>0</v>
      </c>
      <c r="H8" s="668">
        <v>150330707.42931691</v>
      </c>
      <c r="I8" s="668">
        <v>7159339.7124537267</v>
      </c>
      <c r="J8" s="668">
        <v>68784.760389013347</v>
      </c>
      <c r="K8" s="668">
        <v>0</v>
      </c>
      <c r="L8" s="668">
        <v>124362595.32619791</v>
      </c>
      <c r="M8" s="668">
        <v>732035.50529600005</v>
      </c>
      <c r="N8" s="668">
        <v>2406721.4658933575</v>
      </c>
      <c r="O8" s="668">
        <v>4700443.9494498875</v>
      </c>
      <c r="P8" s="668">
        <v>16016862.094843468</v>
      </c>
      <c r="Q8" s="668">
        <v>9150581.1079937574</v>
      </c>
      <c r="R8" s="668">
        <v>33554082.991838288</v>
      </c>
      <c r="S8" s="677">
        <v>10004608.212193001</v>
      </c>
      <c r="T8" s="678">
        <v>1207780.258831</v>
      </c>
      <c r="U8" s="668">
        <v>547132.12867800007</v>
      </c>
      <c r="V8" s="668">
        <v>0</v>
      </c>
      <c r="W8" s="668">
        <v>0</v>
      </c>
      <c r="X8" s="668">
        <v>0</v>
      </c>
      <c r="Y8" s="668">
        <v>0</v>
      </c>
      <c r="Z8" s="668">
        <v>0</v>
      </c>
      <c r="AA8" s="677">
        <v>0</v>
      </c>
    </row>
    <row r="9" spans="1:27">
      <c r="A9" s="386">
        <v>1.1000000000000001</v>
      </c>
      <c r="B9" s="392" t="s">
        <v>447</v>
      </c>
      <c r="C9" s="679">
        <v>1079475601.2574034</v>
      </c>
      <c r="D9" s="668">
        <v>818513489.3397845</v>
      </c>
      <c r="E9" s="668">
        <v>12946034.552863132</v>
      </c>
      <c r="F9" s="668">
        <v>0</v>
      </c>
      <c r="G9" s="668">
        <v>0</v>
      </c>
      <c r="H9" s="668">
        <v>144051134.01208732</v>
      </c>
      <c r="I9" s="668">
        <v>5936374.1572700813</v>
      </c>
      <c r="J9" s="668">
        <v>68784.760389013347</v>
      </c>
      <c r="K9" s="668">
        <v>0</v>
      </c>
      <c r="L9" s="668">
        <v>115703197.64670011</v>
      </c>
      <c r="M9" s="668">
        <v>732035.50529600005</v>
      </c>
      <c r="N9" s="668">
        <v>2389524.8733933568</v>
      </c>
      <c r="O9" s="668">
        <v>4661810.6785498857</v>
      </c>
      <c r="P9" s="668">
        <v>16016366.16484347</v>
      </c>
      <c r="Q9" s="668">
        <v>9142945.3185937554</v>
      </c>
      <c r="R9" s="668">
        <v>33489300.381438285</v>
      </c>
      <c r="S9" s="677">
        <v>9924001.8568929937</v>
      </c>
      <c r="T9" s="678">
        <v>1207780.258831</v>
      </c>
      <c r="U9" s="668">
        <v>547132.12867800007</v>
      </c>
      <c r="V9" s="668">
        <v>0</v>
      </c>
      <c r="W9" s="668">
        <v>0</v>
      </c>
      <c r="X9" s="668">
        <v>0</v>
      </c>
      <c r="Y9" s="668">
        <v>0</v>
      </c>
      <c r="Z9" s="668">
        <v>0</v>
      </c>
      <c r="AA9" s="677">
        <v>0</v>
      </c>
    </row>
    <row r="10" spans="1:27">
      <c r="A10" s="390" t="s">
        <v>14</v>
      </c>
      <c r="B10" s="391" t="s">
        <v>448</v>
      </c>
      <c r="C10" s="680">
        <v>970711838.49786937</v>
      </c>
      <c r="D10" s="668">
        <v>733685958.87737739</v>
      </c>
      <c r="E10" s="668">
        <v>12815186.852863133</v>
      </c>
      <c r="F10" s="668">
        <v>0</v>
      </c>
      <c r="G10" s="668">
        <v>0</v>
      </c>
      <c r="H10" s="668">
        <v>144048320.2420873</v>
      </c>
      <c r="I10" s="668">
        <v>5936374.1572700813</v>
      </c>
      <c r="J10" s="668">
        <v>68784.760389013347</v>
      </c>
      <c r="K10" s="668">
        <v>0</v>
      </c>
      <c r="L10" s="668">
        <v>91769779.119572863</v>
      </c>
      <c r="M10" s="668">
        <v>732035.50529600005</v>
      </c>
      <c r="N10" s="668">
        <v>2376385.4333933569</v>
      </c>
      <c r="O10" s="668">
        <v>4661810.6785498857</v>
      </c>
      <c r="P10" s="668">
        <v>14874024.748084471</v>
      </c>
      <c r="Q10" s="668">
        <v>8284417.3685937561</v>
      </c>
      <c r="R10" s="668">
        <v>33175458.231438287</v>
      </c>
      <c r="S10" s="677">
        <v>9924001.8568929937</v>
      </c>
      <c r="T10" s="678">
        <v>1207780.258831</v>
      </c>
      <c r="U10" s="668">
        <v>547132.12867800007</v>
      </c>
      <c r="V10" s="668">
        <v>0</v>
      </c>
      <c r="W10" s="668">
        <v>0</v>
      </c>
      <c r="X10" s="668">
        <v>0</v>
      </c>
      <c r="Y10" s="668">
        <v>0</v>
      </c>
      <c r="Z10" s="668">
        <v>0</v>
      </c>
      <c r="AA10" s="677">
        <v>0</v>
      </c>
    </row>
    <row r="11" spans="1:27">
      <c r="A11" s="388" t="s">
        <v>449</v>
      </c>
      <c r="B11" s="389" t="s">
        <v>450</v>
      </c>
      <c r="C11" s="681">
        <v>397789575.14432514</v>
      </c>
      <c r="D11" s="668">
        <v>313496700.39444929</v>
      </c>
      <c r="E11" s="668">
        <v>314549.68948299997</v>
      </c>
      <c r="F11" s="668">
        <v>0</v>
      </c>
      <c r="G11" s="668">
        <v>0</v>
      </c>
      <c r="H11" s="668">
        <v>25872829.183009177</v>
      </c>
      <c r="I11" s="668">
        <v>5936374.1572700813</v>
      </c>
      <c r="J11" s="668">
        <v>68784.760389013347</v>
      </c>
      <c r="K11" s="668">
        <v>0</v>
      </c>
      <c r="L11" s="668">
        <v>57212265.308035851</v>
      </c>
      <c r="M11" s="668">
        <v>271098.958491</v>
      </c>
      <c r="N11" s="668">
        <v>2376385.4333933569</v>
      </c>
      <c r="O11" s="668">
        <v>3960393.668821</v>
      </c>
      <c r="P11" s="668">
        <v>14874024.748084471</v>
      </c>
      <c r="Q11" s="668">
        <v>1075185.2340676056</v>
      </c>
      <c r="R11" s="668">
        <v>9318689.6440642811</v>
      </c>
      <c r="S11" s="677">
        <v>8161006.8337899949</v>
      </c>
      <c r="T11" s="678">
        <v>1207780.258831</v>
      </c>
      <c r="U11" s="668">
        <v>547132.12867800007</v>
      </c>
      <c r="V11" s="668">
        <v>0</v>
      </c>
      <c r="W11" s="668">
        <v>0</v>
      </c>
      <c r="X11" s="668">
        <v>0</v>
      </c>
      <c r="Y11" s="668">
        <v>0</v>
      </c>
      <c r="Z11" s="668">
        <v>0</v>
      </c>
      <c r="AA11" s="677">
        <v>0</v>
      </c>
    </row>
    <row r="12" spans="1:27">
      <c r="A12" s="388" t="s">
        <v>451</v>
      </c>
      <c r="B12" s="389" t="s">
        <v>452</v>
      </c>
      <c r="C12" s="681">
        <v>54220075.119337663</v>
      </c>
      <c r="D12" s="668">
        <v>48155382.499689907</v>
      </c>
      <c r="E12" s="668">
        <v>8510908.9785861336</v>
      </c>
      <c r="F12" s="668">
        <v>0</v>
      </c>
      <c r="G12" s="668">
        <v>0</v>
      </c>
      <c r="H12" s="668">
        <v>2633025.5726048802</v>
      </c>
      <c r="I12" s="668">
        <v>0</v>
      </c>
      <c r="J12" s="668">
        <v>0</v>
      </c>
      <c r="K12" s="668">
        <v>0</v>
      </c>
      <c r="L12" s="668">
        <v>3431667.0470428853</v>
      </c>
      <c r="M12" s="668">
        <v>460936.54680499999</v>
      </c>
      <c r="N12" s="668">
        <v>0</v>
      </c>
      <c r="O12" s="668">
        <v>701417.0097288856</v>
      </c>
      <c r="P12" s="668">
        <v>0</v>
      </c>
      <c r="Q12" s="668">
        <v>0</v>
      </c>
      <c r="R12" s="668">
        <v>446065.6</v>
      </c>
      <c r="S12" s="677">
        <v>1257083.380509</v>
      </c>
      <c r="T12" s="678">
        <v>0</v>
      </c>
      <c r="U12" s="668">
        <v>0</v>
      </c>
      <c r="V12" s="668">
        <v>0</v>
      </c>
      <c r="W12" s="668">
        <v>0</v>
      </c>
      <c r="X12" s="668">
        <v>0</v>
      </c>
      <c r="Y12" s="668">
        <v>0</v>
      </c>
      <c r="Z12" s="668">
        <v>0</v>
      </c>
      <c r="AA12" s="677">
        <v>0</v>
      </c>
    </row>
    <row r="13" spans="1:27">
      <c r="A13" s="388" t="s">
        <v>453</v>
      </c>
      <c r="B13" s="389" t="s">
        <v>454</v>
      </c>
      <c r="C13" s="681">
        <v>84505069.725988209</v>
      </c>
      <c r="D13" s="668">
        <v>84505069.725988209</v>
      </c>
      <c r="E13" s="668">
        <v>0</v>
      </c>
      <c r="F13" s="668">
        <v>0</v>
      </c>
      <c r="G13" s="668">
        <v>0</v>
      </c>
      <c r="H13" s="668">
        <v>0</v>
      </c>
      <c r="I13" s="668">
        <v>0</v>
      </c>
      <c r="J13" s="668">
        <v>0</v>
      </c>
      <c r="K13" s="668">
        <v>0</v>
      </c>
      <c r="L13" s="668">
        <v>0</v>
      </c>
      <c r="M13" s="668">
        <v>0</v>
      </c>
      <c r="N13" s="668">
        <v>0</v>
      </c>
      <c r="O13" s="668">
        <v>0</v>
      </c>
      <c r="P13" s="668">
        <v>0</v>
      </c>
      <c r="Q13" s="668">
        <v>0</v>
      </c>
      <c r="R13" s="668">
        <v>0</v>
      </c>
      <c r="S13" s="677">
        <v>0</v>
      </c>
      <c r="T13" s="678">
        <v>0</v>
      </c>
      <c r="U13" s="668">
        <v>0</v>
      </c>
      <c r="V13" s="668">
        <v>0</v>
      </c>
      <c r="W13" s="668">
        <v>0</v>
      </c>
      <c r="X13" s="668">
        <v>0</v>
      </c>
      <c r="Y13" s="668">
        <v>0</v>
      </c>
      <c r="Z13" s="668">
        <v>0</v>
      </c>
      <c r="AA13" s="677">
        <v>0</v>
      </c>
    </row>
    <row r="14" spans="1:27">
      <c r="A14" s="388" t="s">
        <v>455</v>
      </c>
      <c r="B14" s="389" t="s">
        <v>456</v>
      </c>
      <c r="C14" s="681">
        <v>434197118.50821489</v>
      </c>
      <c r="D14" s="668">
        <v>287528806.25724745</v>
      </c>
      <c r="E14" s="668">
        <v>3989728.1847939999</v>
      </c>
      <c r="F14" s="668">
        <v>0</v>
      </c>
      <c r="G14" s="668">
        <v>0</v>
      </c>
      <c r="H14" s="668">
        <v>115542465.48647329</v>
      </c>
      <c r="I14" s="668">
        <v>0</v>
      </c>
      <c r="J14" s="668">
        <v>0</v>
      </c>
      <c r="K14" s="668">
        <v>0</v>
      </c>
      <c r="L14" s="668">
        <v>31125846.764494158</v>
      </c>
      <c r="M14" s="668">
        <v>0</v>
      </c>
      <c r="N14" s="668">
        <v>0</v>
      </c>
      <c r="O14" s="668">
        <v>0</v>
      </c>
      <c r="P14" s="668">
        <v>0</v>
      </c>
      <c r="Q14" s="668">
        <v>7209232.1345261503</v>
      </c>
      <c r="R14" s="668">
        <v>23410702.987374004</v>
      </c>
      <c r="S14" s="677">
        <v>505911.64259399998</v>
      </c>
      <c r="T14" s="678">
        <v>0</v>
      </c>
      <c r="U14" s="668">
        <v>0</v>
      </c>
      <c r="V14" s="668">
        <v>0</v>
      </c>
      <c r="W14" s="668">
        <v>0</v>
      </c>
      <c r="X14" s="668">
        <v>0</v>
      </c>
      <c r="Y14" s="668">
        <v>0</v>
      </c>
      <c r="Z14" s="668">
        <v>0</v>
      </c>
      <c r="AA14" s="677">
        <v>0</v>
      </c>
    </row>
    <row r="15" spans="1:27">
      <c r="A15" s="387">
        <v>1.2</v>
      </c>
      <c r="B15" s="385" t="s">
        <v>650</v>
      </c>
      <c r="C15" s="679">
        <v>56485140.66560179</v>
      </c>
      <c r="D15" s="668">
        <v>5334439.3271369785</v>
      </c>
      <c r="E15" s="668">
        <v>218507.21822077385</v>
      </c>
      <c r="F15" s="668">
        <v>0</v>
      </c>
      <c r="G15" s="668">
        <v>0</v>
      </c>
      <c r="H15" s="668">
        <v>15814168.017228775</v>
      </c>
      <c r="I15" s="668">
        <v>19304.547106266178</v>
      </c>
      <c r="J15" s="668">
        <v>177.2174142677778</v>
      </c>
      <c r="K15" s="668">
        <v>0</v>
      </c>
      <c r="L15" s="668">
        <v>35332290.27814696</v>
      </c>
      <c r="M15" s="668">
        <v>60272.82475365643</v>
      </c>
      <c r="N15" s="668">
        <v>11947.624361566786</v>
      </c>
      <c r="O15" s="668">
        <v>256515.24953896599</v>
      </c>
      <c r="P15" s="668">
        <v>1127100.3899090879</v>
      </c>
      <c r="Q15" s="668">
        <v>4003499.6400636137</v>
      </c>
      <c r="R15" s="668">
        <v>10787637.67400871</v>
      </c>
      <c r="S15" s="677">
        <v>503918.10408066056</v>
      </c>
      <c r="T15" s="678">
        <v>4243.0430891342621</v>
      </c>
      <c r="U15" s="668">
        <v>2735.6606433900006</v>
      </c>
      <c r="V15" s="668">
        <v>0</v>
      </c>
      <c r="W15" s="668">
        <v>0</v>
      </c>
      <c r="X15" s="668">
        <v>0</v>
      </c>
      <c r="Y15" s="668">
        <v>0</v>
      </c>
      <c r="Z15" s="668">
        <v>0</v>
      </c>
      <c r="AA15" s="677">
        <v>0</v>
      </c>
    </row>
    <row r="16" spans="1:27">
      <c r="A16" s="386">
        <v>1.3</v>
      </c>
      <c r="B16" s="385" t="s">
        <v>495</v>
      </c>
      <c r="C16" s="384"/>
      <c r="D16" s="382"/>
      <c r="E16" s="382"/>
      <c r="F16" s="382"/>
      <c r="G16" s="382"/>
      <c r="H16" s="382"/>
      <c r="I16" s="382"/>
      <c r="J16" s="382"/>
      <c r="K16" s="382"/>
      <c r="L16" s="382"/>
      <c r="M16" s="382"/>
      <c r="N16" s="382"/>
      <c r="O16" s="382"/>
      <c r="P16" s="382"/>
      <c r="Q16" s="382"/>
      <c r="R16" s="382"/>
      <c r="S16" s="381"/>
      <c r="T16" s="383"/>
      <c r="U16" s="382"/>
      <c r="V16" s="382"/>
      <c r="W16" s="382"/>
      <c r="X16" s="382"/>
      <c r="Y16" s="382"/>
      <c r="Z16" s="382"/>
      <c r="AA16" s="381"/>
    </row>
    <row r="17" spans="1:27">
      <c r="A17" s="378" t="s">
        <v>457</v>
      </c>
      <c r="B17" s="380" t="s">
        <v>458</v>
      </c>
      <c r="C17" s="682">
        <v>1006907388.7346859</v>
      </c>
      <c r="D17" s="668">
        <v>758615634.33652413</v>
      </c>
      <c r="E17" s="668">
        <v>12117345.232430551</v>
      </c>
      <c r="F17" s="668">
        <v>0</v>
      </c>
      <c r="G17" s="668">
        <v>0</v>
      </c>
      <c r="H17" s="668">
        <v>143621734.20208734</v>
      </c>
      <c r="I17" s="668">
        <v>5936374.1572700813</v>
      </c>
      <c r="J17" s="668">
        <v>68784.760389013347</v>
      </c>
      <c r="K17" s="668">
        <v>0</v>
      </c>
      <c r="L17" s="668">
        <v>103462239.93724351</v>
      </c>
      <c r="M17" s="668">
        <v>732035.50529600005</v>
      </c>
      <c r="N17" s="668">
        <v>2389185.4333933569</v>
      </c>
      <c r="O17" s="668">
        <v>4661810.6785498857</v>
      </c>
      <c r="P17" s="668">
        <v>14949024.748084471</v>
      </c>
      <c r="Q17" s="668">
        <v>6237766.9471130203</v>
      </c>
      <c r="R17" s="668">
        <v>32934547.446793936</v>
      </c>
      <c r="S17" s="677">
        <v>9827650.6142989937</v>
      </c>
      <c r="T17" s="678">
        <v>1207780.258831</v>
      </c>
      <c r="U17" s="668">
        <v>547132.12867800007</v>
      </c>
      <c r="V17" s="668">
        <v>0</v>
      </c>
      <c r="W17" s="668">
        <v>0</v>
      </c>
      <c r="X17" s="668">
        <v>0</v>
      </c>
      <c r="Y17" s="668">
        <v>0</v>
      </c>
      <c r="Z17" s="668">
        <v>0</v>
      </c>
      <c r="AA17" s="677">
        <v>0</v>
      </c>
    </row>
    <row r="18" spans="1:27">
      <c r="A18" s="376" t="s">
        <v>459</v>
      </c>
      <c r="B18" s="377" t="s">
        <v>460</v>
      </c>
      <c r="C18" s="683">
        <v>838581363.14539897</v>
      </c>
      <c r="D18" s="668">
        <v>644918736.7080797</v>
      </c>
      <c r="E18" s="668">
        <v>11986497.532430552</v>
      </c>
      <c r="F18" s="668">
        <v>0</v>
      </c>
      <c r="G18" s="668">
        <v>0</v>
      </c>
      <c r="H18" s="668">
        <v>107918097.88417926</v>
      </c>
      <c r="I18" s="668">
        <v>5936374.1572700813</v>
      </c>
      <c r="J18" s="668">
        <v>68784.760389013347</v>
      </c>
      <c r="K18" s="668">
        <v>0</v>
      </c>
      <c r="L18" s="668">
        <v>84536748.29430829</v>
      </c>
      <c r="M18" s="668">
        <v>732035.50529600005</v>
      </c>
      <c r="N18" s="668">
        <v>2376385.4333933569</v>
      </c>
      <c r="O18" s="668">
        <v>4661810.6785498857</v>
      </c>
      <c r="P18" s="668">
        <v>14874024.748084471</v>
      </c>
      <c r="Q18" s="668">
        <v>4685992.0171504896</v>
      </c>
      <c r="R18" s="668">
        <v>29637204.000210918</v>
      </c>
      <c r="S18" s="677">
        <v>9827650.6142989937</v>
      </c>
      <c r="T18" s="678">
        <v>1207780.258831</v>
      </c>
      <c r="U18" s="668">
        <v>547132.12867800007</v>
      </c>
      <c r="V18" s="668">
        <v>0</v>
      </c>
      <c r="W18" s="668">
        <v>0</v>
      </c>
      <c r="X18" s="668">
        <v>0</v>
      </c>
      <c r="Y18" s="668">
        <v>0</v>
      </c>
      <c r="Z18" s="668">
        <v>0</v>
      </c>
      <c r="AA18" s="677">
        <v>0</v>
      </c>
    </row>
    <row r="19" spans="1:27">
      <c r="A19" s="378" t="s">
        <v>461</v>
      </c>
      <c r="B19" s="379" t="s">
        <v>462</v>
      </c>
      <c r="C19" s="684">
        <v>1157336663.4638426</v>
      </c>
      <c r="D19" s="668">
        <v>955164492.32446897</v>
      </c>
      <c r="E19" s="668">
        <v>9692532.546852814</v>
      </c>
      <c r="F19" s="668">
        <v>0</v>
      </c>
      <c r="G19" s="668">
        <v>0</v>
      </c>
      <c r="H19" s="668">
        <v>57376282.650359564</v>
      </c>
      <c r="I19" s="668">
        <v>5942766.1613749228</v>
      </c>
      <c r="J19" s="668">
        <v>974487.33961098676</v>
      </c>
      <c r="K19" s="668">
        <v>0</v>
      </c>
      <c r="L19" s="668">
        <v>133044402.84784336</v>
      </c>
      <c r="M19" s="668">
        <v>3830366.7566953329</v>
      </c>
      <c r="N19" s="668">
        <v>6256530.0083448328</v>
      </c>
      <c r="O19" s="668">
        <v>4389634.0919633042</v>
      </c>
      <c r="P19" s="668">
        <v>74283568.029342279</v>
      </c>
      <c r="Q19" s="668">
        <v>3235230.1205659229</v>
      </c>
      <c r="R19" s="668">
        <v>7365275.6567851938</v>
      </c>
      <c r="S19" s="677">
        <v>11021256.534088438</v>
      </c>
      <c r="T19" s="678">
        <v>11751485.641169</v>
      </c>
      <c r="U19" s="668">
        <v>1417650.8713219999</v>
      </c>
      <c r="V19" s="668">
        <v>0</v>
      </c>
      <c r="W19" s="668">
        <v>0</v>
      </c>
      <c r="X19" s="668">
        <v>0</v>
      </c>
      <c r="Y19" s="668">
        <v>0</v>
      </c>
      <c r="Z19" s="668">
        <v>0</v>
      </c>
      <c r="AA19" s="677">
        <v>0</v>
      </c>
    </row>
    <row r="20" spans="1:27">
      <c r="A20" s="376" t="s">
        <v>463</v>
      </c>
      <c r="B20" s="377" t="s">
        <v>460</v>
      </c>
      <c r="C20" s="683">
        <v>739247820.15082049</v>
      </c>
      <c r="D20" s="668">
        <v>568050792.12191856</v>
      </c>
      <c r="E20" s="668">
        <v>5411789.9580379017</v>
      </c>
      <c r="F20" s="668">
        <v>0</v>
      </c>
      <c r="G20" s="668">
        <v>0</v>
      </c>
      <c r="H20" s="668">
        <v>33129058.645685941</v>
      </c>
      <c r="I20" s="668">
        <v>4302711.5010260418</v>
      </c>
      <c r="J20" s="668">
        <v>974487.33961098676</v>
      </c>
      <c r="K20" s="668">
        <v>0</v>
      </c>
      <c r="L20" s="668">
        <v>126316483.74204732</v>
      </c>
      <c r="M20" s="668">
        <v>3779483.7675863849</v>
      </c>
      <c r="N20" s="668">
        <v>5697241.91884002</v>
      </c>
      <c r="O20" s="668">
        <v>3038162.7381606689</v>
      </c>
      <c r="P20" s="668">
        <v>73523040.071956038</v>
      </c>
      <c r="Q20" s="668">
        <v>2313871.1015780531</v>
      </c>
      <c r="R20" s="668">
        <v>6043451.8494771663</v>
      </c>
      <c r="S20" s="677">
        <v>10284423.38867975</v>
      </c>
      <c r="T20" s="678">
        <v>11751485.641169</v>
      </c>
      <c r="U20" s="668">
        <v>1417650.8713219999</v>
      </c>
      <c r="V20" s="668">
        <v>0</v>
      </c>
      <c r="W20" s="668">
        <v>0</v>
      </c>
      <c r="X20" s="668">
        <v>0</v>
      </c>
      <c r="Y20" s="668">
        <v>0</v>
      </c>
      <c r="Z20" s="668">
        <v>0</v>
      </c>
      <c r="AA20" s="677">
        <v>0</v>
      </c>
    </row>
    <row r="21" spans="1:27">
      <c r="A21" s="375">
        <v>1.4</v>
      </c>
      <c r="B21" s="374" t="s">
        <v>464</v>
      </c>
      <c r="C21" s="685">
        <v>4832491.1800000006</v>
      </c>
      <c r="D21" s="668">
        <v>2381050.15</v>
      </c>
      <c r="E21" s="668">
        <v>0</v>
      </c>
      <c r="F21" s="668">
        <v>0</v>
      </c>
      <c r="G21" s="668">
        <v>0</v>
      </c>
      <c r="H21" s="668">
        <v>2137598.88</v>
      </c>
      <c r="I21" s="668">
        <v>0</v>
      </c>
      <c r="J21" s="668">
        <v>0</v>
      </c>
      <c r="K21" s="668">
        <v>0</v>
      </c>
      <c r="L21" s="668">
        <v>313842.15000000002</v>
      </c>
      <c r="M21" s="668">
        <v>0</v>
      </c>
      <c r="N21" s="668">
        <v>0</v>
      </c>
      <c r="O21" s="668">
        <v>0</v>
      </c>
      <c r="P21" s="668">
        <v>0</v>
      </c>
      <c r="Q21" s="668">
        <v>0</v>
      </c>
      <c r="R21" s="668">
        <v>313842.15000000002</v>
      </c>
      <c r="S21" s="677">
        <v>0</v>
      </c>
      <c r="T21" s="678">
        <v>0</v>
      </c>
      <c r="U21" s="668">
        <v>0</v>
      </c>
      <c r="V21" s="668">
        <v>0</v>
      </c>
      <c r="W21" s="668">
        <v>0</v>
      </c>
      <c r="X21" s="668">
        <v>0</v>
      </c>
      <c r="Y21" s="668">
        <v>0</v>
      </c>
      <c r="Z21" s="668">
        <v>0</v>
      </c>
      <c r="AA21" s="677">
        <v>0</v>
      </c>
    </row>
    <row r="22" spans="1:27" ht="13.5" thickBot="1">
      <c r="A22" s="373">
        <v>1.5</v>
      </c>
      <c r="B22" s="372" t="s">
        <v>465</v>
      </c>
      <c r="C22" s="686">
        <v>0</v>
      </c>
      <c r="D22" s="687">
        <v>0</v>
      </c>
      <c r="E22" s="687">
        <v>0</v>
      </c>
      <c r="F22" s="687">
        <v>0</v>
      </c>
      <c r="G22" s="687">
        <v>0</v>
      </c>
      <c r="H22" s="687">
        <v>0</v>
      </c>
      <c r="I22" s="687">
        <v>0</v>
      </c>
      <c r="J22" s="687">
        <v>0</v>
      </c>
      <c r="K22" s="687">
        <v>0</v>
      </c>
      <c r="L22" s="687">
        <v>0</v>
      </c>
      <c r="M22" s="687">
        <v>0</v>
      </c>
      <c r="N22" s="687">
        <v>0</v>
      </c>
      <c r="O22" s="687">
        <v>0</v>
      </c>
      <c r="P22" s="687">
        <v>0</v>
      </c>
      <c r="Q22" s="687">
        <v>0</v>
      </c>
      <c r="R22" s="687">
        <v>0</v>
      </c>
      <c r="S22" s="688">
        <v>0</v>
      </c>
      <c r="T22" s="689">
        <v>0</v>
      </c>
      <c r="U22" s="687">
        <v>0</v>
      </c>
      <c r="V22" s="687">
        <v>0</v>
      </c>
      <c r="W22" s="687">
        <v>0</v>
      </c>
      <c r="X22" s="687">
        <v>0</v>
      </c>
      <c r="Y22" s="687">
        <v>0</v>
      </c>
      <c r="Z22" s="687">
        <v>0</v>
      </c>
      <c r="AA22" s="688">
        <v>0</v>
      </c>
    </row>
    <row r="28" spans="1:27">
      <c r="C28" s="674"/>
      <c r="D28" s="674"/>
      <c r="E28" s="674"/>
      <c r="F28" s="674"/>
      <c r="G28" s="674"/>
      <c r="H28" s="674"/>
      <c r="I28" s="674"/>
      <c r="J28" s="674"/>
      <c r="K28" s="674"/>
      <c r="L28" s="674"/>
      <c r="M28" s="674"/>
      <c r="N28" s="674"/>
      <c r="O28" s="674"/>
      <c r="P28" s="674"/>
      <c r="Q28" s="674"/>
      <c r="R28" s="674"/>
      <c r="S28" s="674"/>
      <c r="T28" s="674"/>
      <c r="U28" s="674"/>
      <c r="V28" s="674"/>
      <c r="W28" s="674"/>
      <c r="X28" s="674"/>
      <c r="Y28" s="674"/>
      <c r="Z28" s="674"/>
      <c r="AA28" s="674"/>
    </row>
    <row r="29" spans="1:27">
      <c r="C29" s="674"/>
      <c r="D29" s="674"/>
      <c r="E29" s="674"/>
      <c r="F29" s="674"/>
      <c r="G29" s="674"/>
      <c r="H29" s="674"/>
      <c r="I29" s="674"/>
      <c r="J29" s="674"/>
      <c r="K29" s="674"/>
      <c r="L29" s="674"/>
      <c r="M29" s="674"/>
      <c r="N29" s="674"/>
      <c r="O29" s="674"/>
      <c r="P29" s="674"/>
      <c r="Q29" s="674"/>
      <c r="R29" s="674"/>
      <c r="S29" s="674"/>
      <c r="T29" s="674"/>
      <c r="U29" s="674"/>
      <c r="V29" s="674"/>
      <c r="W29" s="674"/>
      <c r="X29" s="674"/>
      <c r="Y29" s="674"/>
      <c r="Z29" s="674"/>
      <c r="AA29" s="674"/>
    </row>
    <row r="30" spans="1:27">
      <c r="C30" s="674"/>
      <c r="D30" s="674"/>
      <c r="E30" s="674"/>
      <c r="F30" s="674"/>
      <c r="G30" s="674"/>
      <c r="H30" s="674"/>
      <c r="I30" s="674"/>
      <c r="J30" s="674"/>
      <c r="K30" s="674"/>
      <c r="L30" s="674"/>
      <c r="M30" s="674"/>
      <c r="N30" s="674"/>
      <c r="O30" s="674"/>
      <c r="P30" s="674"/>
      <c r="Q30" s="674"/>
      <c r="R30" s="674"/>
      <c r="S30" s="674"/>
      <c r="T30" s="674"/>
      <c r="U30" s="674"/>
      <c r="V30" s="674"/>
      <c r="W30" s="674"/>
      <c r="X30" s="674"/>
      <c r="Y30" s="674"/>
      <c r="Z30" s="674"/>
      <c r="AA30" s="674"/>
    </row>
    <row r="31" spans="1:27">
      <c r="C31" s="674"/>
      <c r="D31" s="674"/>
      <c r="E31" s="674"/>
      <c r="F31" s="674"/>
      <c r="G31" s="674"/>
      <c r="H31" s="674"/>
      <c r="I31" s="674"/>
      <c r="J31" s="674"/>
      <c r="K31" s="674"/>
      <c r="L31" s="674"/>
      <c r="M31" s="674"/>
      <c r="N31" s="674"/>
      <c r="O31" s="674"/>
      <c r="P31" s="674"/>
      <c r="Q31" s="674"/>
      <c r="R31" s="674"/>
      <c r="S31" s="674"/>
      <c r="T31" s="674"/>
      <c r="U31" s="674"/>
      <c r="V31" s="674"/>
      <c r="W31" s="674"/>
      <c r="X31" s="674"/>
      <c r="Y31" s="674"/>
      <c r="Z31" s="674"/>
      <c r="AA31" s="674"/>
    </row>
    <row r="32" spans="1:27">
      <c r="C32" s="674"/>
      <c r="D32" s="674"/>
      <c r="E32" s="674"/>
      <c r="F32" s="674"/>
      <c r="G32" s="674"/>
      <c r="H32" s="674"/>
      <c r="I32" s="674"/>
      <c r="J32" s="674"/>
      <c r="K32" s="674"/>
      <c r="L32" s="674"/>
      <c r="M32" s="674"/>
      <c r="N32" s="674"/>
      <c r="O32" s="674"/>
      <c r="P32" s="674"/>
      <c r="Q32" s="674"/>
      <c r="R32" s="674"/>
      <c r="S32" s="674"/>
      <c r="T32" s="674"/>
      <c r="U32" s="674"/>
      <c r="V32" s="674"/>
      <c r="W32" s="674"/>
      <c r="X32" s="674"/>
      <c r="Y32" s="674"/>
      <c r="Z32" s="674"/>
      <c r="AA32" s="674"/>
    </row>
    <row r="33" spans="3:27">
      <c r="C33" s="674"/>
      <c r="D33" s="674"/>
      <c r="E33" s="674"/>
      <c r="F33" s="674"/>
      <c r="G33" s="674"/>
      <c r="H33" s="674"/>
      <c r="I33" s="674"/>
      <c r="J33" s="674"/>
      <c r="K33" s="674"/>
      <c r="L33" s="674"/>
      <c r="M33" s="674"/>
      <c r="N33" s="674"/>
      <c r="O33" s="674"/>
      <c r="P33" s="674"/>
      <c r="Q33" s="674"/>
      <c r="R33" s="674"/>
      <c r="S33" s="674"/>
      <c r="T33" s="674"/>
      <c r="U33" s="674"/>
      <c r="V33" s="674"/>
      <c r="W33" s="674"/>
      <c r="X33" s="674"/>
      <c r="Y33" s="674"/>
      <c r="Z33" s="674"/>
      <c r="AA33" s="674"/>
    </row>
    <row r="34" spans="3:27">
      <c r="C34" s="674"/>
      <c r="D34" s="674"/>
      <c r="E34" s="674"/>
      <c r="F34" s="674"/>
      <c r="G34" s="674"/>
      <c r="H34" s="674"/>
      <c r="I34" s="674"/>
      <c r="J34" s="674"/>
      <c r="K34" s="674"/>
      <c r="L34" s="674"/>
      <c r="M34" s="674"/>
      <c r="N34" s="674"/>
      <c r="O34" s="674"/>
      <c r="P34" s="674"/>
      <c r="Q34" s="674"/>
      <c r="R34" s="674"/>
      <c r="S34" s="674"/>
      <c r="T34" s="674"/>
      <c r="U34" s="674"/>
      <c r="V34" s="674"/>
      <c r="W34" s="674"/>
      <c r="X34" s="674"/>
      <c r="Y34" s="674"/>
      <c r="Z34" s="674"/>
      <c r="AA34" s="674"/>
    </row>
    <row r="35" spans="3:27">
      <c r="C35" s="674"/>
      <c r="D35" s="674"/>
      <c r="E35" s="674"/>
      <c r="F35" s="674"/>
      <c r="G35" s="674"/>
      <c r="H35" s="674"/>
      <c r="I35" s="674"/>
      <c r="J35" s="674"/>
      <c r="K35" s="674"/>
      <c r="L35" s="674"/>
      <c r="M35" s="674"/>
      <c r="N35" s="674"/>
      <c r="O35" s="674"/>
      <c r="P35" s="674"/>
      <c r="Q35" s="674"/>
      <c r="R35" s="674"/>
      <c r="S35" s="674"/>
      <c r="T35" s="674"/>
      <c r="U35" s="674"/>
      <c r="V35" s="674"/>
      <c r="W35" s="674"/>
      <c r="X35" s="674"/>
      <c r="Y35" s="674"/>
      <c r="Z35" s="674"/>
      <c r="AA35" s="674"/>
    </row>
    <row r="36" spans="3:27">
      <c r="C36" s="674"/>
      <c r="D36" s="674"/>
      <c r="E36" s="674"/>
      <c r="F36" s="674"/>
      <c r="G36" s="674"/>
      <c r="H36" s="674"/>
      <c r="I36" s="674"/>
      <c r="J36" s="674"/>
      <c r="K36" s="674"/>
      <c r="L36" s="674"/>
      <c r="M36" s="674"/>
      <c r="N36" s="674"/>
      <c r="O36" s="674"/>
      <c r="P36" s="674"/>
      <c r="Q36" s="674"/>
      <c r="R36" s="674"/>
      <c r="S36" s="674"/>
      <c r="T36" s="674"/>
      <c r="U36" s="674"/>
      <c r="V36" s="674"/>
      <c r="W36" s="674"/>
      <c r="X36" s="674"/>
      <c r="Y36" s="674"/>
      <c r="Z36" s="674"/>
      <c r="AA36" s="674"/>
    </row>
    <row r="37" spans="3:27">
      <c r="C37" s="674"/>
      <c r="D37" s="674"/>
      <c r="E37" s="674"/>
      <c r="F37" s="674"/>
      <c r="G37" s="674"/>
      <c r="H37" s="674"/>
      <c r="I37" s="674"/>
      <c r="J37" s="674"/>
      <c r="K37" s="674"/>
      <c r="L37" s="674"/>
      <c r="M37" s="674"/>
      <c r="N37" s="674"/>
      <c r="O37" s="674"/>
      <c r="P37" s="674"/>
      <c r="Q37" s="674"/>
      <c r="R37" s="674"/>
      <c r="S37" s="674"/>
      <c r="T37" s="674"/>
      <c r="U37" s="674"/>
      <c r="V37" s="674"/>
      <c r="W37" s="674"/>
      <c r="X37" s="674"/>
      <c r="Y37" s="674"/>
      <c r="Z37" s="674"/>
      <c r="AA37" s="674"/>
    </row>
    <row r="38" spans="3:27">
      <c r="C38" s="674"/>
      <c r="D38" s="674"/>
      <c r="E38" s="674"/>
      <c r="F38" s="674"/>
      <c r="G38" s="674"/>
      <c r="H38" s="674"/>
      <c r="I38" s="674"/>
      <c r="J38" s="674"/>
      <c r="K38" s="674"/>
      <c r="L38" s="674"/>
      <c r="M38" s="674"/>
      <c r="N38" s="674"/>
      <c r="O38" s="674"/>
      <c r="P38" s="674"/>
      <c r="Q38" s="674"/>
      <c r="R38" s="674"/>
      <c r="S38" s="674"/>
      <c r="T38" s="674"/>
      <c r="U38" s="674"/>
      <c r="V38" s="674"/>
      <c r="W38" s="674"/>
      <c r="X38" s="674"/>
      <c r="Y38" s="674"/>
      <c r="Z38" s="674"/>
      <c r="AA38" s="674"/>
    </row>
    <row r="39" spans="3:27">
      <c r="C39" s="674"/>
      <c r="D39" s="674"/>
      <c r="E39" s="674"/>
      <c r="F39" s="674"/>
      <c r="G39" s="674"/>
      <c r="H39" s="674"/>
      <c r="I39" s="674"/>
      <c r="J39" s="674"/>
      <c r="K39" s="674"/>
      <c r="L39" s="674"/>
      <c r="M39" s="674"/>
      <c r="N39" s="674"/>
      <c r="O39" s="674"/>
      <c r="P39" s="674"/>
      <c r="Q39" s="674"/>
      <c r="R39" s="674"/>
      <c r="S39" s="674"/>
      <c r="T39" s="674"/>
      <c r="U39" s="674"/>
      <c r="V39" s="674"/>
      <c r="W39" s="674"/>
      <c r="X39" s="674"/>
      <c r="Y39" s="674"/>
      <c r="Z39" s="674"/>
      <c r="AA39" s="674"/>
    </row>
    <row r="40" spans="3:27">
      <c r="C40" s="674"/>
      <c r="D40" s="674"/>
      <c r="E40" s="674"/>
      <c r="F40" s="674"/>
      <c r="G40" s="674"/>
      <c r="H40" s="674"/>
      <c r="I40" s="674"/>
      <c r="J40" s="674"/>
      <c r="K40" s="674"/>
      <c r="L40" s="674"/>
      <c r="M40" s="674"/>
      <c r="N40" s="674"/>
      <c r="O40" s="674"/>
      <c r="P40" s="674"/>
      <c r="Q40" s="674"/>
      <c r="R40" s="674"/>
      <c r="S40" s="674"/>
      <c r="T40" s="674"/>
      <c r="U40" s="674"/>
      <c r="V40" s="674"/>
      <c r="W40" s="674"/>
      <c r="X40" s="674"/>
      <c r="Y40" s="674"/>
      <c r="Z40" s="674"/>
      <c r="AA40" s="674"/>
    </row>
    <row r="41" spans="3:27">
      <c r="C41" s="674"/>
      <c r="D41" s="674"/>
      <c r="E41" s="674"/>
      <c r="F41" s="674"/>
      <c r="G41" s="674"/>
      <c r="H41" s="674"/>
      <c r="I41" s="674"/>
      <c r="J41" s="674"/>
      <c r="K41" s="674"/>
      <c r="L41" s="674"/>
      <c r="M41" s="674"/>
      <c r="N41" s="674"/>
      <c r="O41" s="674"/>
      <c r="P41" s="674"/>
      <c r="Q41" s="674"/>
      <c r="R41" s="674"/>
      <c r="S41" s="674"/>
      <c r="T41" s="674"/>
      <c r="U41" s="674"/>
      <c r="V41" s="674"/>
      <c r="W41" s="674"/>
      <c r="X41" s="674"/>
      <c r="Y41" s="674"/>
      <c r="Z41" s="674"/>
      <c r="AA41" s="674"/>
    </row>
    <row r="42" spans="3:27">
      <c r="C42" s="674"/>
      <c r="D42" s="674"/>
      <c r="E42" s="674"/>
      <c r="F42" s="674"/>
      <c r="G42" s="674"/>
      <c r="H42" s="674"/>
      <c r="I42" s="674"/>
      <c r="J42" s="674"/>
      <c r="K42" s="674"/>
      <c r="L42" s="674"/>
      <c r="M42" s="674"/>
      <c r="N42" s="674"/>
      <c r="O42" s="674"/>
      <c r="P42" s="674"/>
      <c r="Q42" s="674"/>
      <c r="R42" s="674"/>
      <c r="S42" s="674"/>
      <c r="T42" s="674"/>
      <c r="U42" s="674"/>
      <c r="V42" s="674"/>
      <c r="W42" s="674"/>
      <c r="X42" s="674"/>
      <c r="Y42" s="674"/>
      <c r="Z42" s="674"/>
      <c r="AA42" s="674"/>
    </row>
    <row r="43" spans="3:27">
      <c r="C43" s="674"/>
      <c r="D43" s="674"/>
      <c r="E43" s="674"/>
      <c r="F43" s="674"/>
      <c r="G43" s="674"/>
      <c r="H43" s="674"/>
      <c r="I43" s="674"/>
      <c r="J43" s="674"/>
      <c r="K43" s="674"/>
      <c r="L43" s="674"/>
      <c r="M43" s="674"/>
      <c r="N43" s="674"/>
      <c r="O43" s="674"/>
      <c r="P43" s="674"/>
      <c r="Q43" s="674"/>
      <c r="R43" s="674"/>
      <c r="S43" s="674"/>
      <c r="T43" s="674"/>
      <c r="U43" s="674"/>
      <c r="V43" s="674"/>
      <c r="W43" s="674"/>
      <c r="X43" s="674"/>
      <c r="Y43" s="674"/>
      <c r="Z43" s="674"/>
      <c r="AA43" s="674"/>
    </row>
    <row r="44" spans="3:27">
      <c r="C44" s="674"/>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R69"/>
  <sheetViews>
    <sheetView showGridLines="0" zoomScale="80" zoomScaleNormal="80" workbookViewId="0"/>
  </sheetViews>
  <sheetFormatPr defaultColWidth="8.85546875" defaultRowHeight="15"/>
  <cols>
    <col min="1" max="1" width="8.85546875" style="481"/>
    <col min="2" max="2" width="69.140625" style="482" customWidth="1"/>
    <col min="3" max="3" width="13.42578125" style="552" bestFit="1" customWidth="1"/>
    <col min="4" max="5" width="15.140625" style="552" bestFit="1" customWidth="1"/>
    <col min="6" max="6" width="13.42578125" style="552" bestFit="1" customWidth="1"/>
    <col min="7" max="8" width="15.140625" style="552" bestFit="1" customWidth="1"/>
    <col min="9" max="9" width="8.85546875" style="452"/>
    <col min="10" max="10" width="15.85546875" style="452" bestFit="1" customWidth="1"/>
    <col min="11" max="15" width="17" style="452" bestFit="1" customWidth="1"/>
    <col min="16" max="16384" width="8.85546875" style="452"/>
  </cols>
  <sheetData>
    <row r="1" spans="1:18">
      <c r="A1" s="116" t="s">
        <v>30</v>
      </c>
      <c r="B1" s="451" t="str">
        <f>'Info '!C2</f>
        <v>JSC Cartu Bank</v>
      </c>
      <c r="C1" s="553"/>
    </row>
    <row r="2" spans="1:18">
      <c r="A2" s="116" t="s">
        <v>31</v>
      </c>
      <c r="B2" s="533">
        <f>'1. key ratios '!B2</f>
        <v>45747</v>
      </c>
      <c r="C2" s="553"/>
    </row>
    <row r="3" spans="1:18">
      <c r="A3" s="116"/>
      <c r="B3" s="451"/>
      <c r="C3" s="553"/>
    </row>
    <row r="4" spans="1:18" ht="21" customHeight="1">
      <c r="A4" s="713" t="s">
        <v>6</v>
      </c>
      <c r="B4" s="714" t="s">
        <v>521</v>
      </c>
      <c r="C4" s="716" t="s">
        <v>522</v>
      </c>
      <c r="D4" s="716"/>
      <c r="E4" s="716"/>
      <c r="F4" s="716" t="s">
        <v>523</v>
      </c>
      <c r="G4" s="716"/>
      <c r="H4" s="717"/>
    </row>
    <row r="5" spans="1:18" ht="21" customHeight="1">
      <c r="A5" s="713"/>
      <c r="B5" s="715"/>
      <c r="C5" s="554" t="s">
        <v>32</v>
      </c>
      <c r="D5" s="554" t="s">
        <v>33</v>
      </c>
      <c r="E5" s="554" t="s">
        <v>34</v>
      </c>
      <c r="F5" s="554" t="s">
        <v>32</v>
      </c>
      <c r="G5" s="554" t="s">
        <v>33</v>
      </c>
      <c r="H5" s="554" t="s">
        <v>34</v>
      </c>
    </row>
    <row r="6" spans="1:18" ht="26.45" customHeight="1">
      <c r="A6" s="713"/>
      <c r="B6" s="453" t="s">
        <v>524</v>
      </c>
      <c r="C6" s="718"/>
      <c r="D6" s="719"/>
      <c r="E6" s="719"/>
      <c r="F6" s="719"/>
      <c r="G6" s="719"/>
      <c r="H6" s="720"/>
    </row>
    <row r="7" spans="1:18" ht="23.1" customHeight="1">
      <c r="A7" s="454">
        <v>1</v>
      </c>
      <c r="B7" s="455" t="s">
        <v>525</v>
      </c>
      <c r="C7" s="555">
        <f>SUM(C8:C10)</f>
        <v>51863463.016558528</v>
      </c>
      <c r="D7" s="555">
        <f>SUM(D8:D10)</f>
        <v>563022059.79377699</v>
      </c>
      <c r="E7" s="556">
        <f>C7+D7</f>
        <v>614885522.81033552</v>
      </c>
      <c r="F7" s="555">
        <f>SUM(F8:F10)</f>
        <v>125148960.30480847</v>
      </c>
      <c r="G7" s="555">
        <f>SUM(G8:G10)</f>
        <v>762610149.3558563</v>
      </c>
      <c r="H7" s="556">
        <f>F7+G7</f>
        <v>887759109.6606648</v>
      </c>
      <c r="J7" s="552"/>
      <c r="K7" s="552"/>
      <c r="L7" s="552"/>
      <c r="M7" s="552"/>
      <c r="N7" s="552"/>
      <c r="O7" s="552"/>
      <c r="P7" s="552"/>
      <c r="Q7" s="552"/>
      <c r="R7" s="552"/>
    </row>
    <row r="8" spans="1:18">
      <c r="A8" s="454">
        <v>1.1000000000000001</v>
      </c>
      <c r="B8" s="456" t="s">
        <v>526</v>
      </c>
      <c r="C8" s="555">
        <v>9187744.8000000007</v>
      </c>
      <c r="D8" s="555">
        <v>37109287.526199996</v>
      </c>
      <c r="E8" s="556">
        <f t="shared" ref="E8:E36" si="0">C8+D8</f>
        <v>46297032.326199993</v>
      </c>
      <c r="F8" s="555">
        <v>10257713.35</v>
      </c>
      <c r="G8" s="555">
        <v>24516078.344999999</v>
      </c>
      <c r="H8" s="556">
        <f t="shared" ref="H8:H36" si="1">F8+G8</f>
        <v>34773791.695</v>
      </c>
      <c r="J8" s="552"/>
      <c r="K8" s="552"/>
      <c r="L8" s="552"/>
      <c r="M8" s="552"/>
      <c r="N8" s="552"/>
      <c r="O8" s="552"/>
    </row>
    <row r="9" spans="1:18">
      <c r="A9" s="454">
        <v>1.2</v>
      </c>
      <c r="B9" s="456" t="s">
        <v>527</v>
      </c>
      <c r="C9" s="555">
        <v>14712469.630000001</v>
      </c>
      <c r="D9" s="555">
        <v>270092167.60051972</v>
      </c>
      <c r="E9" s="556">
        <f t="shared" si="0"/>
        <v>284804637.23051971</v>
      </c>
      <c r="F9" s="555">
        <v>19889277.329999998</v>
      </c>
      <c r="G9" s="555">
        <v>239191371.07675207</v>
      </c>
      <c r="H9" s="556">
        <f t="shared" si="1"/>
        <v>259080648.40675205</v>
      </c>
      <c r="J9" s="552"/>
      <c r="K9" s="552"/>
      <c r="L9" s="552"/>
      <c r="M9" s="552"/>
      <c r="N9" s="552"/>
      <c r="O9" s="552"/>
    </row>
    <row r="10" spans="1:18">
      <c r="A10" s="454">
        <v>1.3</v>
      </c>
      <c r="B10" s="456" t="s">
        <v>528</v>
      </c>
      <c r="C10" s="555">
        <v>27963248.586558525</v>
      </c>
      <c r="D10" s="555">
        <v>255820604.66705734</v>
      </c>
      <c r="E10" s="556">
        <f t="shared" si="0"/>
        <v>283783853.25361586</v>
      </c>
      <c r="F10" s="555">
        <v>95001969.624808475</v>
      </c>
      <c r="G10" s="555">
        <v>498902699.93410426</v>
      </c>
      <c r="H10" s="556">
        <f t="shared" si="1"/>
        <v>593904669.55891275</v>
      </c>
      <c r="J10" s="552"/>
      <c r="K10" s="552"/>
      <c r="L10" s="552"/>
      <c r="M10" s="552"/>
      <c r="N10" s="552"/>
      <c r="O10" s="552"/>
    </row>
    <row r="11" spans="1:18">
      <c r="A11" s="454">
        <v>2</v>
      </c>
      <c r="B11" s="457" t="s">
        <v>529</v>
      </c>
      <c r="C11" s="555">
        <v>0</v>
      </c>
      <c r="D11" s="555">
        <v>0</v>
      </c>
      <c r="E11" s="556">
        <f t="shared" si="0"/>
        <v>0</v>
      </c>
      <c r="F11" s="555">
        <v>0</v>
      </c>
      <c r="G11" s="555">
        <v>0</v>
      </c>
      <c r="H11" s="556">
        <f t="shared" si="1"/>
        <v>0</v>
      </c>
      <c r="J11" s="552"/>
      <c r="K11" s="552"/>
      <c r="L11" s="552"/>
      <c r="M11" s="552"/>
      <c r="N11" s="552"/>
      <c r="O11" s="552"/>
    </row>
    <row r="12" spans="1:18">
      <c r="A12" s="454">
        <v>2.1</v>
      </c>
      <c r="B12" s="458" t="s">
        <v>530</v>
      </c>
      <c r="C12" s="555">
        <v>0</v>
      </c>
      <c r="D12" s="555">
        <v>0</v>
      </c>
      <c r="E12" s="556">
        <f t="shared" si="0"/>
        <v>0</v>
      </c>
      <c r="F12" s="555">
        <v>0</v>
      </c>
      <c r="G12" s="555">
        <v>0</v>
      </c>
      <c r="H12" s="556">
        <f t="shared" si="1"/>
        <v>0</v>
      </c>
      <c r="J12" s="552"/>
      <c r="K12" s="552"/>
      <c r="L12" s="552"/>
      <c r="M12" s="552"/>
      <c r="N12" s="552"/>
      <c r="O12" s="552"/>
    </row>
    <row r="13" spans="1:18" ht="26.45" customHeight="1">
      <c r="A13" s="454">
        <v>3</v>
      </c>
      <c r="B13" s="459" t="s">
        <v>531</v>
      </c>
      <c r="C13" s="555">
        <v>0</v>
      </c>
      <c r="D13" s="555">
        <v>0</v>
      </c>
      <c r="E13" s="556">
        <f t="shared" si="0"/>
        <v>0</v>
      </c>
      <c r="F13" s="555">
        <v>0</v>
      </c>
      <c r="G13" s="555">
        <v>0</v>
      </c>
      <c r="H13" s="556">
        <f t="shared" si="1"/>
        <v>0</v>
      </c>
      <c r="J13" s="552"/>
      <c r="K13" s="552"/>
      <c r="L13" s="552"/>
      <c r="M13" s="552"/>
      <c r="N13" s="552"/>
      <c r="O13" s="552"/>
    </row>
    <row r="14" spans="1:18" ht="26.45" customHeight="1">
      <c r="A14" s="454">
        <v>4</v>
      </c>
      <c r="B14" s="460" t="s">
        <v>532</v>
      </c>
      <c r="C14" s="555">
        <v>0</v>
      </c>
      <c r="D14" s="555">
        <v>0</v>
      </c>
      <c r="E14" s="556">
        <f t="shared" si="0"/>
        <v>0</v>
      </c>
      <c r="F14" s="555">
        <v>0</v>
      </c>
      <c r="G14" s="555">
        <v>0</v>
      </c>
      <c r="H14" s="556">
        <f t="shared" si="1"/>
        <v>0</v>
      </c>
      <c r="J14" s="552"/>
      <c r="K14" s="552"/>
      <c r="L14" s="552"/>
      <c r="M14" s="552"/>
      <c r="N14" s="552"/>
      <c r="O14" s="552"/>
    </row>
    <row r="15" spans="1:18" ht="24.6" customHeight="1">
      <c r="A15" s="454">
        <v>5</v>
      </c>
      <c r="B15" s="461" t="s">
        <v>533</v>
      </c>
      <c r="C15" s="557">
        <f>SUM(C16:C18)</f>
        <v>7408054.2999999998</v>
      </c>
      <c r="D15" s="557">
        <f>SUM(D16:D18)</f>
        <v>0</v>
      </c>
      <c r="E15" s="558">
        <f t="shared" si="0"/>
        <v>7408054.2999999998</v>
      </c>
      <c r="F15" s="557">
        <f>SUM(F16:F18)</f>
        <v>7430017.2699999996</v>
      </c>
      <c r="G15" s="557">
        <f>SUM(G16:G18)</f>
        <v>0</v>
      </c>
      <c r="H15" s="558">
        <f t="shared" si="1"/>
        <v>7430017.2699999996</v>
      </c>
      <c r="J15" s="552"/>
      <c r="K15" s="552"/>
      <c r="L15" s="552"/>
      <c r="M15" s="552"/>
      <c r="N15" s="552"/>
      <c r="O15" s="552"/>
    </row>
    <row r="16" spans="1:18">
      <c r="A16" s="454">
        <v>5.0999999999999996</v>
      </c>
      <c r="B16" s="462" t="s">
        <v>534</v>
      </c>
      <c r="C16" s="555">
        <v>175637.53</v>
      </c>
      <c r="D16" s="555">
        <v>0</v>
      </c>
      <c r="E16" s="556">
        <f t="shared" si="0"/>
        <v>175637.53</v>
      </c>
      <c r="F16" s="555">
        <v>168050</v>
      </c>
      <c r="G16" s="555">
        <v>0</v>
      </c>
      <c r="H16" s="556">
        <f t="shared" si="1"/>
        <v>168050</v>
      </c>
      <c r="J16" s="552"/>
      <c r="K16" s="552"/>
      <c r="L16" s="552"/>
      <c r="M16" s="552"/>
      <c r="N16" s="552"/>
      <c r="O16" s="552"/>
    </row>
    <row r="17" spans="1:15">
      <c r="A17" s="454">
        <v>5.2</v>
      </c>
      <c r="B17" s="462" t="s">
        <v>535</v>
      </c>
      <c r="C17" s="555">
        <v>7232416.7699999996</v>
      </c>
      <c r="D17" s="555">
        <v>0</v>
      </c>
      <c r="E17" s="556">
        <f t="shared" si="0"/>
        <v>7232416.7699999996</v>
      </c>
      <c r="F17" s="555">
        <v>7261967.2699999996</v>
      </c>
      <c r="G17" s="555">
        <v>0</v>
      </c>
      <c r="H17" s="556">
        <f t="shared" si="1"/>
        <v>7261967.2699999996</v>
      </c>
      <c r="J17" s="552"/>
      <c r="K17" s="552"/>
      <c r="L17" s="552"/>
      <c r="M17" s="552"/>
      <c r="N17" s="552"/>
      <c r="O17" s="552"/>
    </row>
    <row r="18" spans="1:15">
      <c r="A18" s="454">
        <v>5.3</v>
      </c>
      <c r="B18" s="463" t="s">
        <v>536</v>
      </c>
      <c r="C18" s="555">
        <v>0</v>
      </c>
      <c r="D18" s="555">
        <v>0</v>
      </c>
      <c r="E18" s="556">
        <f t="shared" si="0"/>
        <v>0</v>
      </c>
      <c r="F18" s="555">
        <v>0</v>
      </c>
      <c r="G18" s="555">
        <v>0</v>
      </c>
      <c r="H18" s="556">
        <f t="shared" si="1"/>
        <v>0</v>
      </c>
      <c r="J18" s="552"/>
      <c r="K18" s="552"/>
      <c r="L18" s="552"/>
      <c r="M18" s="552"/>
      <c r="N18" s="552"/>
      <c r="O18" s="552"/>
    </row>
    <row r="19" spans="1:15">
      <c r="A19" s="454">
        <v>6</v>
      </c>
      <c r="B19" s="459" t="s">
        <v>537</v>
      </c>
      <c r="C19" s="555">
        <f>SUM(C20:C21)</f>
        <v>491083040.81970608</v>
      </c>
      <c r="D19" s="555">
        <f>SUM(D20:D21)</f>
        <v>609331053.35363483</v>
      </c>
      <c r="E19" s="556">
        <f t="shared" si="0"/>
        <v>1100414094.1733408</v>
      </c>
      <c r="F19" s="555">
        <f>SUM(F20:F21)</f>
        <v>368378543.02481729</v>
      </c>
      <c r="G19" s="555">
        <f>SUM(G20:G21)</f>
        <v>495694188.52228892</v>
      </c>
      <c r="H19" s="556">
        <f t="shared" si="1"/>
        <v>864072731.54710627</v>
      </c>
      <c r="J19" s="552"/>
      <c r="K19" s="552"/>
      <c r="L19" s="552"/>
      <c r="M19" s="552"/>
      <c r="N19" s="552"/>
      <c r="O19" s="552"/>
    </row>
    <row r="20" spans="1:15">
      <c r="A20" s="454">
        <v>6.1</v>
      </c>
      <c r="B20" s="462" t="s">
        <v>535</v>
      </c>
      <c r="C20" s="555">
        <v>60336411.374246351</v>
      </c>
      <c r="D20" s="555">
        <v>0</v>
      </c>
      <c r="E20" s="556">
        <f t="shared" si="0"/>
        <v>60336411.374246351</v>
      </c>
      <c r="F20" s="555">
        <v>55307827.515800282</v>
      </c>
      <c r="G20" s="555">
        <v>0</v>
      </c>
      <c r="H20" s="556">
        <f t="shared" si="1"/>
        <v>55307827.515800282</v>
      </c>
      <c r="J20" s="552"/>
      <c r="K20" s="552"/>
      <c r="L20" s="552"/>
      <c r="M20" s="552"/>
      <c r="N20" s="552"/>
      <c r="O20" s="552"/>
    </row>
    <row r="21" spans="1:15">
      <c r="A21" s="454">
        <v>6.2</v>
      </c>
      <c r="B21" s="463" t="s">
        <v>536</v>
      </c>
      <c r="C21" s="555">
        <v>430746629.44545972</v>
      </c>
      <c r="D21" s="555">
        <v>609331053.35363483</v>
      </c>
      <c r="E21" s="556">
        <f t="shared" si="0"/>
        <v>1040077682.7990946</v>
      </c>
      <c r="F21" s="555">
        <v>313070715.50901699</v>
      </c>
      <c r="G21" s="555">
        <v>495694188.52228892</v>
      </c>
      <c r="H21" s="556">
        <f t="shared" si="1"/>
        <v>808764904.03130591</v>
      </c>
      <c r="J21" s="552"/>
      <c r="K21" s="552"/>
      <c r="L21" s="552"/>
      <c r="M21" s="552"/>
      <c r="N21" s="552"/>
      <c r="O21" s="552"/>
    </row>
    <row r="22" spans="1:15">
      <c r="A22" s="454">
        <v>7</v>
      </c>
      <c r="B22" s="457" t="s">
        <v>538</v>
      </c>
      <c r="C22" s="555">
        <v>9522300</v>
      </c>
      <c r="D22" s="555">
        <v>0</v>
      </c>
      <c r="E22" s="556">
        <f t="shared" si="0"/>
        <v>9522300</v>
      </c>
      <c r="F22" s="555">
        <v>9372300</v>
      </c>
      <c r="G22" s="555">
        <v>0</v>
      </c>
      <c r="H22" s="556">
        <f t="shared" si="1"/>
        <v>9372300</v>
      </c>
      <c r="J22" s="552"/>
      <c r="K22" s="552"/>
      <c r="L22" s="552"/>
      <c r="M22" s="552"/>
      <c r="N22" s="552"/>
      <c r="O22" s="552"/>
    </row>
    <row r="23" spans="1:15">
      <c r="A23" s="454">
        <v>8</v>
      </c>
      <c r="B23" s="464" t="s">
        <v>539</v>
      </c>
      <c r="C23" s="555">
        <v>0</v>
      </c>
      <c r="D23" s="555">
        <v>0</v>
      </c>
      <c r="E23" s="556">
        <f t="shared" si="0"/>
        <v>0</v>
      </c>
      <c r="F23" s="555">
        <v>0</v>
      </c>
      <c r="G23" s="555">
        <v>0</v>
      </c>
      <c r="H23" s="556">
        <f t="shared" si="1"/>
        <v>0</v>
      </c>
      <c r="J23" s="552"/>
      <c r="K23" s="552"/>
      <c r="L23" s="552"/>
      <c r="M23" s="552"/>
      <c r="N23" s="552"/>
      <c r="O23" s="552"/>
    </row>
    <row r="24" spans="1:15">
      <c r="A24" s="454">
        <v>9</v>
      </c>
      <c r="B24" s="460" t="s">
        <v>540</v>
      </c>
      <c r="C24" s="555">
        <f>SUM(C25:C26)</f>
        <v>22057337.192990594</v>
      </c>
      <c r="D24" s="555">
        <f>SUM(D25:D26)</f>
        <v>0</v>
      </c>
      <c r="E24" s="556">
        <f t="shared" si="0"/>
        <v>22057337.192990594</v>
      </c>
      <c r="F24" s="555">
        <f>SUM(F25:F26)</f>
        <v>19789476.290586315</v>
      </c>
      <c r="G24" s="555">
        <f>SUM(G25:G26)</f>
        <v>0</v>
      </c>
      <c r="H24" s="556">
        <f t="shared" si="1"/>
        <v>19789476.290586315</v>
      </c>
      <c r="J24" s="552"/>
      <c r="K24" s="552"/>
      <c r="L24" s="552"/>
      <c r="M24" s="552"/>
      <c r="N24" s="552"/>
      <c r="O24" s="552"/>
    </row>
    <row r="25" spans="1:15">
      <c r="A25" s="454">
        <v>9.1</v>
      </c>
      <c r="B25" s="462" t="s">
        <v>541</v>
      </c>
      <c r="C25" s="555">
        <v>22057337.192990594</v>
      </c>
      <c r="D25" s="555">
        <v>0</v>
      </c>
      <c r="E25" s="556">
        <f t="shared" si="0"/>
        <v>22057337.192990594</v>
      </c>
      <c r="F25" s="555">
        <v>19789476.290586315</v>
      </c>
      <c r="G25" s="555">
        <v>0</v>
      </c>
      <c r="H25" s="556">
        <f t="shared" si="1"/>
        <v>19789476.290586315</v>
      </c>
      <c r="J25" s="552"/>
      <c r="K25" s="552"/>
      <c r="L25" s="552"/>
      <c r="M25" s="552"/>
      <c r="N25" s="552"/>
      <c r="O25" s="552"/>
    </row>
    <row r="26" spans="1:15">
      <c r="A26" s="454">
        <v>9.1999999999999993</v>
      </c>
      <c r="B26" s="462" t="s">
        <v>542</v>
      </c>
      <c r="C26" s="555">
        <v>0</v>
      </c>
      <c r="D26" s="555">
        <v>0</v>
      </c>
      <c r="E26" s="556">
        <f t="shared" si="0"/>
        <v>0</v>
      </c>
      <c r="F26" s="555">
        <v>0</v>
      </c>
      <c r="G26" s="555">
        <v>0</v>
      </c>
      <c r="H26" s="556">
        <f t="shared" si="1"/>
        <v>0</v>
      </c>
      <c r="J26" s="552"/>
      <c r="K26" s="552"/>
      <c r="L26" s="552"/>
      <c r="M26" s="552"/>
      <c r="N26" s="552"/>
      <c r="O26" s="552"/>
    </row>
    <row r="27" spans="1:15">
      <c r="A27" s="454">
        <v>10</v>
      </c>
      <c r="B27" s="460" t="s">
        <v>543</v>
      </c>
      <c r="C27" s="555">
        <f>SUM(C28:C29)</f>
        <v>10633827.230000002</v>
      </c>
      <c r="D27" s="555">
        <f>SUM(D28:D29)</f>
        <v>1716587.12</v>
      </c>
      <c r="E27" s="556">
        <f t="shared" si="0"/>
        <v>12350414.350000001</v>
      </c>
      <c r="F27" s="555">
        <f>SUM(F28:F29)</f>
        <v>8818655.5500000026</v>
      </c>
      <c r="G27" s="555">
        <f>SUM(G28:G29)</f>
        <v>0</v>
      </c>
      <c r="H27" s="556">
        <f t="shared" si="1"/>
        <v>8818655.5500000026</v>
      </c>
      <c r="J27" s="552"/>
      <c r="K27" s="552"/>
      <c r="L27" s="552"/>
      <c r="M27" s="552"/>
      <c r="N27" s="552"/>
      <c r="O27" s="552"/>
    </row>
    <row r="28" spans="1:15">
      <c r="A28" s="454">
        <v>10.1</v>
      </c>
      <c r="B28" s="462" t="s">
        <v>544</v>
      </c>
      <c r="C28" s="555">
        <v>0</v>
      </c>
      <c r="D28" s="555">
        <v>0</v>
      </c>
      <c r="E28" s="556">
        <f t="shared" si="0"/>
        <v>0</v>
      </c>
      <c r="F28" s="555">
        <v>0</v>
      </c>
      <c r="G28" s="555">
        <v>0</v>
      </c>
      <c r="H28" s="556">
        <f t="shared" si="1"/>
        <v>0</v>
      </c>
      <c r="J28" s="552"/>
      <c r="K28" s="552"/>
      <c r="L28" s="552"/>
      <c r="M28" s="552"/>
      <c r="N28" s="552"/>
      <c r="O28" s="552"/>
    </row>
    <row r="29" spans="1:15">
      <c r="A29" s="454">
        <v>10.199999999999999</v>
      </c>
      <c r="B29" s="462" t="s">
        <v>545</v>
      </c>
      <c r="C29" s="555">
        <v>10633827.230000002</v>
      </c>
      <c r="D29" s="555">
        <v>1716587.12</v>
      </c>
      <c r="E29" s="556">
        <f t="shared" si="0"/>
        <v>12350414.350000001</v>
      </c>
      <c r="F29" s="555">
        <v>8818655.5500000026</v>
      </c>
      <c r="G29" s="555">
        <v>0</v>
      </c>
      <c r="H29" s="556">
        <f t="shared" si="1"/>
        <v>8818655.5500000026</v>
      </c>
      <c r="J29" s="552"/>
      <c r="K29" s="552"/>
      <c r="L29" s="552"/>
      <c r="M29" s="552"/>
      <c r="N29" s="552"/>
      <c r="O29" s="552"/>
    </row>
    <row r="30" spans="1:15">
      <c r="A30" s="454">
        <v>11</v>
      </c>
      <c r="B30" s="460" t="s">
        <v>546</v>
      </c>
      <c r="C30" s="555">
        <f>SUM(C31:C32)</f>
        <v>8513796.4670122191</v>
      </c>
      <c r="D30" s="555">
        <f>SUM(D31:D32)</f>
        <v>0</v>
      </c>
      <c r="E30" s="556">
        <f t="shared" si="0"/>
        <v>8513796.4670122191</v>
      </c>
      <c r="F30" s="555">
        <f>SUM(F31:F32)</f>
        <v>0</v>
      </c>
      <c r="G30" s="555">
        <f>SUM(G31:G32)</f>
        <v>0</v>
      </c>
      <c r="H30" s="556">
        <f t="shared" si="1"/>
        <v>0</v>
      </c>
      <c r="J30" s="552"/>
      <c r="K30" s="552"/>
      <c r="L30" s="552"/>
      <c r="M30" s="552"/>
      <c r="N30" s="552"/>
      <c r="O30" s="552"/>
    </row>
    <row r="31" spans="1:15">
      <c r="A31" s="454">
        <v>11.1</v>
      </c>
      <c r="B31" s="462" t="s">
        <v>547</v>
      </c>
      <c r="C31" s="555">
        <v>8513796.4670122191</v>
      </c>
      <c r="D31" s="555">
        <v>0</v>
      </c>
      <c r="E31" s="556">
        <f t="shared" si="0"/>
        <v>8513796.4670122191</v>
      </c>
      <c r="F31" s="555">
        <v>0</v>
      </c>
      <c r="G31" s="555">
        <v>0</v>
      </c>
      <c r="H31" s="556">
        <f t="shared" si="1"/>
        <v>0</v>
      </c>
      <c r="J31" s="552"/>
      <c r="K31" s="552"/>
      <c r="L31" s="552"/>
      <c r="M31" s="552"/>
      <c r="N31" s="552"/>
      <c r="O31" s="552"/>
    </row>
    <row r="32" spans="1:15">
      <c r="A32" s="454">
        <v>11.2</v>
      </c>
      <c r="B32" s="462" t="s">
        <v>548</v>
      </c>
      <c r="C32" s="555">
        <v>0</v>
      </c>
      <c r="D32" s="555">
        <v>0</v>
      </c>
      <c r="E32" s="556">
        <f t="shared" si="0"/>
        <v>0</v>
      </c>
      <c r="F32" s="555">
        <v>0</v>
      </c>
      <c r="G32" s="555">
        <v>0</v>
      </c>
      <c r="H32" s="556">
        <f t="shared" si="1"/>
        <v>0</v>
      </c>
      <c r="J32" s="552"/>
      <c r="K32" s="552"/>
      <c r="L32" s="552"/>
      <c r="M32" s="552"/>
      <c r="N32" s="552"/>
      <c r="O32" s="552"/>
    </row>
    <row r="33" spans="1:15">
      <c r="A33" s="454">
        <v>13</v>
      </c>
      <c r="B33" s="460" t="s">
        <v>549</v>
      </c>
      <c r="C33" s="555">
        <v>46428749.233766109</v>
      </c>
      <c r="D33" s="555">
        <v>459858.44920000003</v>
      </c>
      <c r="E33" s="556">
        <f t="shared" si="0"/>
        <v>46888607.682966106</v>
      </c>
      <c r="F33" s="555">
        <v>94428580.76376608</v>
      </c>
      <c r="G33" s="555">
        <v>214326.59129999997</v>
      </c>
      <c r="H33" s="556">
        <f t="shared" si="1"/>
        <v>94642907.355066076</v>
      </c>
      <c r="J33" s="552"/>
      <c r="K33" s="552"/>
      <c r="L33" s="552"/>
      <c r="M33" s="552"/>
      <c r="N33" s="552"/>
      <c r="O33" s="552"/>
    </row>
    <row r="34" spans="1:15">
      <c r="A34" s="454">
        <v>13.1</v>
      </c>
      <c r="B34" s="465" t="s">
        <v>550</v>
      </c>
      <c r="C34" s="555">
        <v>45010351.173766114</v>
      </c>
      <c r="D34" s="555">
        <v>0</v>
      </c>
      <c r="E34" s="556">
        <f t="shared" si="0"/>
        <v>45010351.173766114</v>
      </c>
      <c r="F34" s="555">
        <v>92390944.773766071</v>
      </c>
      <c r="G34" s="555">
        <v>0</v>
      </c>
      <c r="H34" s="556">
        <f t="shared" si="1"/>
        <v>92390944.773766071</v>
      </c>
      <c r="J34" s="552"/>
      <c r="K34" s="552"/>
      <c r="L34" s="552"/>
      <c r="M34" s="552"/>
      <c r="N34" s="552"/>
      <c r="O34" s="552"/>
    </row>
    <row r="35" spans="1:15">
      <c r="A35" s="454">
        <v>13.2</v>
      </c>
      <c r="B35" s="465" t="s">
        <v>551</v>
      </c>
      <c r="C35" s="555">
        <v>0</v>
      </c>
      <c r="D35" s="555">
        <v>0</v>
      </c>
      <c r="E35" s="556">
        <f t="shared" si="0"/>
        <v>0</v>
      </c>
      <c r="F35" s="555">
        <v>0</v>
      </c>
      <c r="G35" s="555">
        <v>0</v>
      </c>
      <c r="H35" s="556">
        <f t="shared" si="1"/>
        <v>0</v>
      </c>
      <c r="J35" s="552"/>
      <c r="K35" s="552"/>
      <c r="L35" s="552"/>
      <c r="M35" s="552"/>
      <c r="N35" s="552"/>
      <c r="O35" s="552"/>
    </row>
    <row r="36" spans="1:15">
      <c r="A36" s="454">
        <v>14</v>
      </c>
      <c r="B36" s="466" t="s">
        <v>552</v>
      </c>
      <c r="C36" s="555">
        <f>SUM(C7,C11,C13,C14,C15,C19,C22,C23,C24,C27,C30,C33)</f>
        <v>647510568.26003337</v>
      </c>
      <c r="D36" s="555">
        <f>SUM(D7,D11,D13,D14,D15,D19,D22,D23,D24,D27,D30,D33)</f>
        <v>1174529558.7166116</v>
      </c>
      <c r="E36" s="556">
        <f t="shared" si="0"/>
        <v>1822040126.976645</v>
      </c>
      <c r="F36" s="555">
        <f>SUM(F7,F11,F13,F14,F15,F19,F22,F23,F24,F27,F30,F33)</f>
        <v>633366533.20397806</v>
      </c>
      <c r="G36" s="555">
        <f>SUM(G7,G11,G13,G14,G15,G19,G22,G23,G24,G27,G30,G33)</f>
        <v>1258518664.4694452</v>
      </c>
      <c r="H36" s="556">
        <f t="shared" si="1"/>
        <v>1891885197.6734233</v>
      </c>
      <c r="J36" s="552"/>
      <c r="K36" s="552"/>
      <c r="L36" s="552"/>
      <c r="M36" s="552"/>
      <c r="N36" s="552"/>
      <c r="O36" s="552"/>
    </row>
    <row r="37" spans="1:15" ht="22.5" customHeight="1">
      <c r="A37" s="454"/>
      <c r="B37" s="467" t="s">
        <v>553</v>
      </c>
      <c r="C37" s="718"/>
      <c r="D37" s="719"/>
      <c r="E37" s="719"/>
      <c r="F37" s="719"/>
      <c r="G37" s="719"/>
      <c r="H37" s="720"/>
      <c r="J37" s="552"/>
      <c r="K37" s="552"/>
      <c r="L37" s="552"/>
      <c r="M37" s="552"/>
      <c r="N37" s="552"/>
      <c r="O37" s="552"/>
    </row>
    <row r="38" spans="1:15">
      <c r="A38" s="454">
        <v>15</v>
      </c>
      <c r="B38" s="468" t="s">
        <v>554</v>
      </c>
      <c r="C38" s="555">
        <v>0</v>
      </c>
      <c r="D38" s="555">
        <v>0</v>
      </c>
      <c r="E38" s="559">
        <f>C38+D38</f>
        <v>0</v>
      </c>
      <c r="F38" s="555">
        <v>0</v>
      </c>
      <c r="G38" s="555">
        <v>0</v>
      </c>
      <c r="H38" s="559">
        <f>F38+G38</f>
        <v>0</v>
      </c>
      <c r="J38" s="552"/>
      <c r="K38" s="552"/>
      <c r="L38" s="552"/>
      <c r="M38" s="552"/>
      <c r="N38" s="552"/>
      <c r="O38" s="552"/>
    </row>
    <row r="39" spans="1:15">
      <c r="A39" s="469">
        <v>15.1</v>
      </c>
      <c r="B39" s="470" t="s">
        <v>530</v>
      </c>
      <c r="C39" s="555">
        <v>0</v>
      </c>
      <c r="D39" s="555">
        <v>0</v>
      </c>
      <c r="E39" s="559">
        <f t="shared" ref="E39:E53" si="2">C39+D39</f>
        <v>0</v>
      </c>
      <c r="F39" s="555">
        <v>0</v>
      </c>
      <c r="G39" s="555">
        <v>0</v>
      </c>
      <c r="H39" s="559">
        <f t="shared" ref="H39:H53" si="3">F39+G39</f>
        <v>0</v>
      </c>
      <c r="J39" s="552"/>
      <c r="K39" s="552"/>
      <c r="L39" s="552"/>
      <c r="M39" s="552"/>
      <c r="N39" s="552"/>
      <c r="O39" s="552"/>
    </row>
    <row r="40" spans="1:15" ht="24" customHeight="1">
      <c r="A40" s="469">
        <v>16</v>
      </c>
      <c r="B40" s="457" t="s">
        <v>555</v>
      </c>
      <c r="C40" s="555">
        <v>0</v>
      </c>
      <c r="D40" s="555">
        <v>0</v>
      </c>
      <c r="E40" s="559">
        <f t="shared" si="2"/>
        <v>0</v>
      </c>
      <c r="F40" s="555">
        <v>0</v>
      </c>
      <c r="G40" s="555">
        <v>0</v>
      </c>
      <c r="H40" s="559">
        <f t="shared" si="3"/>
        <v>0</v>
      </c>
      <c r="J40" s="552"/>
      <c r="K40" s="552"/>
      <c r="L40" s="552"/>
      <c r="M40" s="552"/>
      <c r="N40" s="552"/>
      <c r="O40" s="552"/>
    </row>
    <row r="41" spans="1:15">
      <c r="A41" s="469">
        <v>17</v>
      </c>
      <c r="B41" s="457" t="s">
        <v>556</v>
      </c>
      <c r="C41" s="560">
        <f>SUM(C42:C45)</f>
        <v>226401271.06821939</v>
      </c>
      <c r="D41" s="560">
        <f>SUM(D42:D45)</f>
        <v>1052550766.2345077</v>
      </c>
      <c r="E41" s="559">
        <f t="shared" si="2"/>
        <v>1278952037.302727</v>
      </c>
      <c r="F41" s="560">
        <f>SUM(F42:F45)</f>
        <v>245679593.90346599</v>
      </c>
      <c r="G41" s="560">
        <f>SUM(G42:G45)</f>
        <v>1139192015.0387762</v>
      </c>
      <c r="H41" s="559">
        <f t="shared" si="3"/>
        <v>1384871608.9422421</v>
      </c>
      <c r="J41" s="552"/>
      <c r="K41" s="552"/>
      <c r="L41" s="552"/>
      <c r="M41" s="552"/>
      <c r="N41" s="552"/>
      <c r="O41" s="552"/>
    </row>
    <row r="42" spans="1:15">
      <c r="A42" s="469">
        <v>17.100000000000001</v>
      </c>
      <c r="B42" s="471" t="s">
        <v>557</v>
      </c>
      <c r="C42" s="555">
        <v>219587972.82999998</v>
      </c>
      <c r="D42" s="555">
        <v>1049727396.6086001</v>
      </c>
      <c r="E42" s="559">
        <f t="shared" si="2"/>
        <v>1269315369.4386001</v>
      </c>
      <c r="F42" s="555">
        <v>238934336.76000002</v>
      </c>
      <c r="G42" s="555">
        <v>1138754770.592</v>
      </c>
      <c r="H42" s="559">
        <f t="shared" si="3"/>
        <v>1377689107.352</v>
      </c>
      <c r="J42" s="552"/>
      <c r="K42" s="552"/>
      <c r="L42" s="552"/>
      <c r="M42" s="552"/>
      <c r="N42" s="552"/>
      <c r="O42" s="552"/>
    </row>
    <row r="43" spans="1:15">
      <c r="A43" s="469">
        <v>17.2</v>
      </c>
      <c r="B43" s="472" t="s">
        <v>558</v>
      </c>
      <c r="C43" s="555">
        <v>0</v>
      </c>
      <c r="D43" s="555">
        <v>0</v>
      </c>
      <c r="E43" s="559">
        <f t="shared" si="2"/>
        <v>0</v>
      </c>
      <c r="F43" s="555">
        <v>0</v>
      </c>
      <c r="G43" s="555">
        <v>0</v>
      </c>
      <c r="H43" s="559">
        <f t="shared" si="3"/>
        <v>0</v>
      </c>
      <c r="J43" s="552"/>
      <c r="K43" s="552"/>
      <c r="L43" s="552"/>
      <c r="M43" s="552"/>
      <c r="N43" s="552"/>
      <c r="O43" s="552"/>
    </row>
    <row r="44" spans="1:15">
      <c r="A44" s="469">
        <v>17.3</v>
      </c>
      <c r="B44" s="471" t="s">
        <v>559</v>
      </c>
      <c r="C44" s="555">
        <v>0</v>
      </c>
      <c r="D44" s="555">
        <v>0</v>
      </c>
      <c r="E44" s="559">
        <f t="shared" si="2"/>
        <v>0</v>
      </c>
      <c r="F44" s="555">
        <v>0</v>
      </c>
      <c r="G44" s="555">
        <v>0</v>
      </c>
      <c r="H44" s="559">
        <f t="shared" si="3"/>
        <v>0</v>
      </c>
      <c r="J44" s="552"/>
      <c r="K44" s="552"/>
      <c r="L44" s="552"/>
      <c r="M44" s="552"/>
      <c r="N44" s="552"/>
      <c r="O44" s="552"/>
    </row>
    <row r="45" spans="1:15">
      <c r="A45" s="469">
        <v>17.399999999999999</v>
      </c>
      <c r="B45" s="471" t="s">
        <v>560</v>
      </c>
      <c r="C45" s="555">
        <v>6813298.2382194204</v>
      </c>
      <c r="D45" s="555">
        <v>2823369.6259075846</v>
      </c>
      <c r="E45" s="559">
        <f t="shared" si="2"/>
        <v>9636667.8641270045</v>
      </c>
      <c r="F45" s="555">
        <v>6745257.1434659604</v>
      </c>
      <c r="G45" s="555">
        <v>437244.44677616702</v>
      </c>
      <c r="H45" s="559">
        <f t="shared" si="3"/>
        <v>7182501.590242127</v>
      </c>
      <c r="J45" s="552"/>
      <c r="K45" s="552"/>
      <c r="L45" s="552"/>
      <c r="M45" s="552"/>
      <c r="N45" s="552"/>
      <c r="O45" s="552"/>
    </row>
    <row r="46" spans="1:15">
      <c r="A46" s="469">
        <v>18</v>
      </c>
      <c r="B46" s="460" t="s">
        <v>561</v>
      </c>
      <c r="C46" s="555">
        <v>191321.08267089719</v>
      </c>
      <c r="D46" s="555">
        <v>303482.48818640597</v>
      </c>
      <c r="E46" s="559">
        <f t="shared" si="2"/>
        <v>494803.57085730316</v>
      </c>
      <c r="F46" s="555">
        <v>227829.86695152771</v>
      </c>
      <c r="G46" s="555">
        <v>49882.527959179599</v>
      </c>
      <c r="H46" s="559">
        <f t="shared" si="3"/>
        <v>277712.39491070731</v>
      </c>
      <c r="J46" s="552"/>
      <c r="K46" s="552"/>
      <c r="L46" s="552"/>
      <c r="M46" s="552"/>
      <c r="N46" s="552"/>
      <c r="O46" s="552"/>
    </row>
    <row r="47" spans="1:15">
      <c r="A47" s="469">
        <v>19</v>
      </c>
      <c r="B47" s="460" t="s">
        <v>562</v>
      </c>
      <c r="C47" s="560">
        <f>SUM(C48:C49)</f>
        <v>2580677.1735710576</v>
      </c>
      <c r="D47" s="560">
        <f>SUM(D48:D49)</f>
        <v>0</v>
      </c>
      <c r="E47" s="559">
        <f t="shared" si="2"/>
        <v>2580677.1735710576</v>
      </c>
      <c r="F47" s="560">
        <f>SUM(F48:F49)</f>
        <v>4458583.2376555689</v>
      </c>
      <c r="G47" s="560">
        <f>SUM(G48:G49)</f>
        <v>0</v>
      </c>
      <c r="H47" s="559">
        <f t="shared" si="3"/>
        <v>4458583.2376555689</v>
      </c>
      <c r="J47" s="552"/>
      <c r="K47" s="552"/>
      <c r="L47" s="552"/>
      <c r="M47" s="552"/>
      <c r="N47" s="552"/>
      <c r="O47" s="552"/>
    </row>
    <row r="48" spans="1:15">
      <c r="A48" s="469">
        <v>19.100000000000001</v>
      </c>
      <c r="B48" s="473" t="s">
        <v>563</v>
      </c>
      <c r="C48" s="555">
        <v>0</v>
      </c>
      <c r="D48" s="555">
        <v>0</v>
      </c>
      <c r="E48" s="559">
        <f t="shared" si="2"/>
        <v>0</v>
      </c>
      <c r="F48" s="555">
        <v>2190320.1861640634</v>
      </c>
      <c r="G48" s="555">
        <v>0</v>
      </c>
      <c r="H48" s="559">
        <f t="shared" si="3"/>
        <v>2190320.1861640634</v>
      </c>
      <c r="J48" s="552"/>
      <c r="K48" s="552"/>
      <c r="L48" s="552"/>
      <c r="M48" s="552"/>
      <c r="N48" s="552"/>
      <c r="O48" s="552"/>
    </row>
    <row r="49" spans="1:15">
      <c r="A49" s="469">
        <v>19.2</v>
      </c>
      <c r="B49" s="474" t="s">
        <v>564</v>
      </c>
      <c r="C49" s="555">
        <v>2580677.1735710576</v>
      </c>
      <c r="D49" s="555">
        <v>0</v>
      </c>
      <c r="E49" s="559">
        <f t="shared" si="2"/>
        <v>2580677.1735710576</v>
      </c>
      <c r="F49" s="555">
        <v>2268263.0514915055</v>
      </c>
      <c r="G49" s="555">
        <v>0</v>
      </c>
      <c r="H49" s="559">
        <f t="shared" si="3"/>
        <v>2268263.0514915055</v>
      </c>
      <c r="J49" s="552"/>
      <c r="K49" s="552"/>
      <c r="L49" s="552"/>
      <c r="M49" s="552"/>
      <c r="N49" s="552"/>
      <c r="O49" s="552"/>
    </row>
    <row r="50" spans="1:15">
      <c r="A50" s="469">
        <v>20</v>
      </c>
      <c r="B50" s="475" t="s">
        <v>565</v>
      </c>
      <c r="C50" s="555">
        <v>0</v>
      </c>
      <c r="D50" s="555">
        <v>84096865.765199766</v>
      </c>
      <c r="E50" s="559">
        <f t="shared" si="2"/>
        <v>84096865.765199766</v>
      </c>
      <c r="F50" s="555">
        <v>0</v>
      </c>
      <c r="G50" s="555">
        <v>81288410.09379977</v>
      </c>
      <c r="H50" s="559">
        <f t="shared" si="3"/>
        <v>81288410.09379977</v>
      </c>
      <c r="J50" s="552"/>
      <c r="K50" s="552"/>
      <c r="L50" s="552"/>
      <c r="M50" s="552"/>
      <c r="N50" s="552"/>
      <c r="O50" s="552"/>
    </row>
    <row r="51" spans="1:15">
      <c r="A51" s="469">
        <v>21</v>
      </c>
      <c r="B51" s="464" t="s">
        <v>566</v>
      </c>
      <c r="C51" s="555">
        <v>676079.59959999972</v>
      </c>
      <c r="D51" s="555">
        <v>702376.9770999999</v>
      </c>
      <c r="E51" s="559">
        <f t="shared" si="2"/>
        <v>1378456.5766999996</v>
      </c>
      <c r="F51" s="555">
        <v>349926.67000000004</v>
      </c>
      <c r="G51" s="555">
        <v>528274.17709999997</v>
      </c>
      <c r="H51" s="559">
        <f t="shared" si="3"/>
        <v>878200.84710000001</v>
      </c>
      <c r="J51" s="552"/>
      <c r="K51" s="552"/>
      <c r="L51" s="552"/>
      <c r="M51" s="552"/>
      <c r="N51" s="552"/>
      <c r="O51" s="552"/>
    </row>
    <row r="52" spans="1:15">
      <c r="A52" s="469">
        <v>21.1</v>
      </c>
      <c r="B52" s="472" t="s">
        <v>567</v>
      </c>
      <c r="C52" s="555">
        <v>0</v>
      </c>
      <c r="D52" s="555">
        <v>0</v>
      </c>
      <c r="E52" s="559">
        <f t="shared" si="2"/>
        <v>0</v>
      </c>
      <c r="F52" s="555">
        <v>0</v>
      </c>
      <c r="G52" s="555">
        <v>0</v>
      </c>
      <c r="H52" s="559">
        <f t="shared" si="3"/>
        <v>0</v>
      </c>
      <c r="J52" s="552"/>
      <c r="K52" s="552"/>
      <c r="L52" s="552"/>
      <c r="M52" s="552"/>
      <c r="N52" s="552"/>
      <c r="O52" s="552"/>
    </row>
    <row r="53" spans="1:15">
      <c r="A53" s="469">
        <v>22</v>
      </c>
      <c r="B53" s="476" t="s">
        <v>568</v>
      </c>
      <c r="C53" s="560">
        <f>SUM(C38,C40,C41,C46,C47,C50,C51)</f>
        <v>229849348.92406133</v>
      </c>
      <c r="D53" s="560">
        <f>SUM(D38,D40,D41,D46,D47,D50,D51)</f>
        <v>1137653491.4649937</v>
      </c>
      <c r="E53" s="559">
        <f t="shared" si="2"/>
        <v>1367502840.389055</v>
      </c>
      <c r="F53" s="560">
        <f>SUM(F38,F40,F41,F46,F47,F50,F51)</f>
        <v>250715933.67807308</v>
      </c>
      <c r="G53" s="560">
        <f>SUM(G38,G40,G41,G46,G47,G50,G51)</f>
        <v>1221058581.837635</v>
      </c>
      <c r="H53" s="559">
        <f t="shared" si="3"/>
        <v>1471774515.5157082</v>
      </c>
      <c r="J53" s="552"/>
      <c r="K53" s="552"/>
      <c r="L53" s="552"/>
      <c r="M53" s="552"/>
      <c r="N53" s="552"/>
      <c r="O53" s="552"/>
    </row>
    <row r="54" spans="1:15" ht="24" customHeight="1">
      <c r="A54" s="469"/>
      <c r="B54" s="477" t="s">
        <v>569</v>
      </c>
      <c r="C54" s="710"/>
      <c r="D54" s="711"/>
      <c r="E54" s="711"/>
      <c r="F54" s="711"/>
      <c r="G54" s="711"/>
      <c r="H54" s="712"/>
      <c r="J54" s="552"/>
      <c r="K54" s="552"/>
      <c r="L54" s="552"/>
      <c r="M54" s="552"/>
      <c r="N54" s="552"/>
      <c r="O54" s="552"/>
    </row>
    <row r="55" spans="1:15">
      <c r="A55" s="469">
        <v>23</v>
      </c>
      <c r="B55" s="485" t="s">
        <v>710</v>
      </c>
      <c r="C55" s="555">
        <v>114430000</v>
      </c>
      <c r="D55" s="555">
        <v>0</v>
      </c>
      <c r="E55" s="559">
        <f>C55+D55</f>
        <v>114430000</v>
      </c>
      <c r="F55" s="555">
        <v>114430000</v>
      </c>
      <c r="G55" s="555">
        <v>0</v>
      </c>
      <c r="H55" s="559">
        <f>F55+G55</f>
        <v>114430000</v>
      </c>
      <c r="J55" s="552"/>
      <c r="K55" s="552"/>
      <c r="L55" s="552"/>
      <c r="M55" s="552"/>
      <c r="N55" s="552"/>
      <c r="O55" s="552"/>
    </row>
    <row r="56" spans="1:15">
      <c r="A56" s="469">
        <v>24</v>
      </c>
      <c r="B56" s="475" t="s">
        <v>571</v>
      </c>
      <c r="C56" s="555">
        <v>0</v>
      </c>
      <c r="D56" s="555">
        <v>0</v>
      </c>
      <c r="E56" s="559">
        <f t="shared" ref="E56:E69" si="4">C56+D56</f>
        <v>0</v>
      </c>
      <c r="F56" s="555">
        <v>0</v>
      </c>
      <c r="G56" s="555">
        <v>0</v>
      </c>
      <c r="H56" s="559">
        <f t="shared" ref="H56:H69" si="5">F56+G56</f>
        <v>0</v>
      </c>
      <c r="J56" s="552"/>
      <c r="K56" s="552"/>
      <c r="L56" s="552"/>
      <c r="M56" s="552"/>
      <c r="N56" s="552"/>
      <c r="O56" s="552"/>
    </row>
    <row r="57" spans="1:15">
      <c r="A57" s="469">
        <v>25</v>
      </c>
      <c r="B57" s="460" t="s">
        <v>572</v>
      </c>
      <c r="C57" s="555">
        <v>0</v>
      </c>
      <c r="D57" s="555">
        <v>0</v>
      </c>
      <c r="E57" s="559">
        <f t="shared" si="4"/>
        <v>0</v>
      </c>
      <c r="F57" s="555">
        <v>0</v>
      </c>
      <c r="G57" s="555">
        <v>0</v>
      </c>
      <c r="H57" s="559">
        <f t="shared" si="5"/>
        <v>0</v>
      </c>
      <c r="J57" s="552"/>
      <c r="K57" s="552"/>
      <c r="L57" s="552"/>
      <c r="M57" s="552"/>
      <c r="N57" s="552"/>
      <c r="O57" s="552"/>
    </row>
    <row r="58" spans="1:15">
      <c r="A58" s="469">
        <v>26</v>
      </c>
      <c r="B58" s="460" t="s">
        <v>573</v>
      </c>
      <c r="C58" s="555">
        <v>0</v>
      </c>
      <c r="D58" s="555">
        <v>0</v>
      </c>
      <c r="E58" s="559">
        <f t="shared" si="4"/>
        <v>0</v>
      </c>
      <c r="F58" s="555">
        <v>0</v>
      </c>
      <c r="G58" s="555">
        <v>0</v>
      </c>
      <c r="H58" s="559">
        <f t="shared" si="5"/>
        <v>0</v>
      </c>
      <c r="J58" s="552"/>
      <c r="K58" s="552"/>
      <c r="L58" s="552"/>
      <c r="M58" s="552"/>
      <c r="N58" s="552"/>
      <c r="O58" s="552"/>
    </row>
    <row r="59" spans="1:15">
      <c r="A59" s="469">
        <v>27</v>
      </c>
      <c r="B59" s="460" t="s">
        <v>574</v>
      </c>
      <c r="C59" s="560">
        <f>SUM(C60:C61)</f>
        <v>23845347.84</v>
      </c>
      <c r="D59" s="560">
        <f>SUM(D60:D61)</f>
        <v>0</v>
      </c>
      <c r="E59" s="559">
        <f t="shared" si="4"/>
        <v>23845347.84</v>
      </c>
      <c r="F59" s="560">
        <f>SUM(F60:F61)</f>
        <v>25763611.367281228</v>
      </c>
      <c r="G59" s="560">
        <f>SUM(G60:G61)</f>
        <v>0</v>
      </c>
      <c r="H59" s="559">
        <f t="shared" si="5"/>
        <v>25763611.367281228</v>
      </c>
      <c r="J59" s="552"/>
      <c r="K59" s="552"/>
      <c r="L59" s="552"/>
      <c r="M59" s="552"/>
      <c r="N59" s="552"/>
      <c r="O59" s="552"/>
    </row>
    <row r="60" spans="1:15">
      <c r="A60" s="469">
        <v>27.1</v>
      </c>
      <c r="B60" s="471" t="s">
        <v>575</v>
      </c>
      <c r="C60" s="555">
        <v>23845347.84</v>
      </c>
      <c r="D60" s="555">
        <v>0</v>
      </c>
      <c r="E60" s="559">
        <f t="shared" si="4"/>
        <v>23845347.84</v>
      </c>
      <c r="F60" s="555">
        <v>25763611.367281228</v>
      </c>
      <c r="G60" s="555">
        <v>0</v>
      </c>
      <c r="H60" s="559">
        <f t="shared" si="5"/>
        <v>25763611.367281228</v>
      </c>
      <c r="J60" s="552"/>
      <c r="K60" s="552"/>
      <c r="L60" s="552"/>
      <c r="M60" s="552"/>
      <c r="N60" s="552"/>
      <c r="O60" s="552"/>
    </row>
    <row r="61" spans="1:15">
      <c r="A61" s="469">
        <v>27.2</v>
      </c>
      <c r="B61" s="471" t="s">
        <v>576</v>
      </c>
      <c r="C61" s="555">
        <v>0</v>
      </c>
      <c r="D61" s="555">
        <v>0</v>
      </c>
      <c r="E61" s="559">
        <f t="shared" si="4"/>
        <v>0</v>
      </c>
      <c r="F61" s="555">
        <v>0</v>
      </c>
      <c r="G61" s="555">
        <v>0</v>
      </c>
      <c r="H61" s="559">
        <f t="shared" si="5"/>
        <v>0</v>
      </c>
      <c r="J61" s="552"/>
      <c r="K61" s="552"/>
      <c r="L61" s="552"/>
      <c r="M61" s="552"/>
      <c r="N61" s="552"/>
      <c r="O61" s="552"/>
    </row>
    <row r="62" spans="1:15">
      <c r="A62" s="469">
        <v>28</v>
      </c>
      <c r="B62" s="478" t="s">
        <v>577</v>
      </c>
      <c r="C62" s="555">
        <v>0</v>
      </c>
      <c r="D62" s="555">
        <v>0</v>
      </c>
      <c r="E62" s="559">
        <f t="shared" si="4"/>
        <v>0</v>
      </c>
      <c r="F62" s="555">
        <v>0</v>
      </c>
      <c r="G62" s="555">
        <v>0</v>
      </c>
      <c r="H62" s="559">
        <f t="shared" si="5"/>
        <v>0</v>
      </c>
      <c r="J62" s="552"/>
      <c r="K62" s="552"/>
      <c r="L62" s="552"/>
      <c r="M62" s="552"/>
      <c r="N62" s="552"/>
      <c r="O62" s="552"/>
    </row>
    <row r="63" spans="1:15">
      <c r="A63" s="469">
        <v>29</v>
      </c>
      <c r="B63" s="460" t="s">
        <v>578</v>
      </c>
      <c r="C63" s="560">
        <f>SUM(C64:C66)</f>
        <v>21959.87840556982</v>
      </c>
      <c r="D63" s="560">
        <f>SUM(D64:D66)</f>
        <v>0</v>
      </c>
      <c r="E63" s="559">
        <f t="shared" si="4"/>
        <v>21959.87840556982</v>
      </c>
      <c r="F63" s="560">
        <f>SUM(F64:F66)</f>
        <v>66516.79056600749</v>
      </c>
      <c r="G63" s="560">
        <f>SUM(G64:G66)</f>
        <v>0</v>
      </c>
      <c r="H63" s="559">
        <f t="shared" si="5"/>
        <v>66516.79056600749</v>
      </c>
      <c r="J63" s="552"/>
      <c r="K63" s="552"/>
      <c r="L63" s="552"/>
      <c r="M63" s="552"/>
      <c r="N63" s="552"/>
      <c r="O63" s="552"/>
    </row>
    <row r="64" spans="1:15">
      <c r="A64" s="469">
        <v>29.1</v>
      </c>
      <c r="B64" s="463" t="s">
        <v>579</v>
      </c>
      <c r="C64" s="555">
        <v>0</v>
      </c>
      <c r="D64" s="555">
        <v>0</v>
      </c>
      <c r="E64" s="559">
        <f t="shared" si="4"/>
        <v>0</v>
      </c>
      <c r="F64" s="555">
        <v>0</v>
      </c>
      <c r="G64" s="555">
        <v>0</v>
      </c>
      <c r="H64" s="559">
        <f t="shared" si="5"/>
        <v>0</v>
      </c>
      <c r="J64" s="552"/>
      <c r="K64" s="552"/>
      <c r="L64" s="552"/>
      <c r="M64" s="552"/>
      <c r="N64" s="552"/>
      <c r="O64" s="552"/>
    </row>
    <row r="65" spans="1:15" ht="24.95" customHeight="1">
      <c r="A65" s="469">
        <v>29.2</v>
      </c>
      <c r="B65" s="473" t="s">
        <v>580</v>
      </c>
      <c r="C65" s="555">
        <v>0</v>
      </c>
      <c r="D65" s="555">
        <v>0</v>
      </c>
      <c r="E65" s="559">
        <f t="shared" si="4"/>
        <v>0</v>
      </c>
      <c r="F65" s="555">
        <v>0</v>
      </c>
      <c r="G65" s="555">
        <v>0</v>
      </c>
      <c r="H65" s="559">
        <f t="shared" si="5"/>
        <v>0</v>
      </c>
      <c r="J65" s="552"/>
      <c r="K65" s="552"/>
      <c r="L65" s="552"/>
      <c r="M65" s="552"/>
      <c r="N65" s="552"/>
      <c r="O65" s="552"/>
    </row>
    <row r="66" spans="1:15" ht="22.5" customHeight="1">
      <c r="A66" s="469">
        <v>29.3</v>
      </c>
      <c r="B66" s="473" t="s">
        <v>581</v>
      </c>
      <c r="C66" s="555">
        <v>21959.87840556982</v>
      </c>
      <c r="D66" s="555">
        <v>0</v>
      </c>
      <c r="E66" s="559">
        <f t="shared" si="4"/>
        <v>21959.87840556982</v>
      </c>
      <c r="F66" s="555">
        <v>66516.79056600749</v>
      </c>
      <c r="G66" s="555">
        <v>0</v>
      </c>
      <c r="H66" s="559">
        <f t="shared" si="5"/>
        <v>66516.79056600749</v>
      </c>
      <c r="J66" s="552"/>
      <c r="K66" s="552"/>
      <c r="L66" s="552"/>
      <c r="M66" s="552"/>
      <c r="N66" s="552"/>
      <c r="O66" s="552"/>
    </row>
    <row r="67" spans="1:15">
      <c r="A67" s="469">
        <v>30</v>
      </c>
      <c r="B67" s="460" t="s">
        <v>582</v>
      </c>
      <c r="C67" s="555">
        <v>316239985.23888457</v>
      </c>
      <c r="D67" s="555">
        <v>0</v>
      </c>
      <c r="E67" s="559">
        <f t="shared" si="4"/>
        <v>316239985.23888457</v>
      </c>
      <c r="F67" s="555">
        <v>279850549.81046784</v>
      </c>
      <c r="G67" s="555">
        <v>0</v>
      </c>
      <c r="H67" s="559">
        <f t="shared" si="5"/>
        <v>279850549.81046784</v>
      </c>
      <c r="J67" s="552"/>
      <c r="K67" s="552"/>
      <c r="L67" s="552"/>
      <c r="M67" s="552"/>
      <c r="N67" s="552"/>
      <c r="O67" s="552"/>
    </row>
    <row r="68" spans="1:15">
      <c r="A68" s="469">
        <v>31</v>
      </c>
      <c r="B68" s="479" t="s">
        <v>583</v>
      </c>
      <c r="C68" s="560">
        <f>SUM(C55,C56,C57,C58,C59,C62,C63,C67)</f>
        <v>454537292.95729017</v>
      </c>
      <c r="D68" s="560">
        <f>SUM(D55,D56,D57,D58,D59,D62,D63,D67)</f>
        <v>0</v>
      </c>
      <c r="E68" s="559">
        <f t="shared" si="4"/>
        <v>454537292.95729017</v>
      </c>
      <c r="F68" s="560">
        <f>SUM(F55,F56,F57,F58,F59,F62,F63,F67)</f>
        <v>420110677.96831506</v>
      </c>
      <c r="G68" s="560">
        <f>SUM(G55,G56,G57,G58,G59,G62,G63,G67)</f>
        <v>0</v>
      </c>
      <c r="H68" s="559">
        <f t="shared" si="5"/>
        <v>420110677.96831506</v>
      </c>
      <c r="J68" s="552"/>
      <c r="K68" s="552"/>
      <c r="L68" s="552"/>
      <c r="M68" s="552"/>
      <c r="N68" s="552"/>
      <c r="O68" s="552"/>
    </row>
    <row r="69" spans="1:15">
      <c r="A69" s="469">
        <v>32</v>
      </c>
      <c r="B69" s="480" t="s">
        <v>584</v>
      </c>
      <c r="C69" s="560">
        <f>SUM(C53,C68)</f>
        <v>684386641.88135147</v>
      </c>
      <c r="D69" s="560">
        <f>SUM(D53,D68)</f>
        <v>1137653491.4649937</v>
      </c>
      <c r="E69" s="559">
        <f t="shared" si="4"/>
        <v>1822040133.3463452</v>
      </c>
      <c r="F69" s="560">
        <f>SUM(F53,F68)</f>
        <v>670826611.64638817</v>
      </c>
      <c r="G69" s="560">
        <f>SUM(G53,G68)</f>
        <v>1221058581.837635</v>
      </c>
      <c r="H69" s="559">
        <f t="shared" si="5"/>
        <v>1891885193.4840231</v>
      </c>
      <c r="J69" s="552"/>
      <c r="K69" s="552"/>
      <c r="L69" s="552"/>
      <c r="M69" s="552"/>
      <c r="N69" s="552"/>
      <c r="O69" s="552"/>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X66"/>
  <sheetViews>
    <sheetView showGridLines="0" zoomScale="80" zoomScaleNormal="80" workbookViewId="0"/>
  </sheetViews>
  <sheetFormatPr defaultColWidth="9.140625" defaultRowHeight="12.75"/>
  <cols>
    <col min="1" max="1" width="11.85546875" style="347" bestFit="1" customWidth="1"/>
    <col min="2" max="2" width="93.42578125" style="347" customWidth="1"/>
    <col min="3" max="3" width="17.42578125" style="347" bestFit="1" customWidth="1"/>
    <col min="4" max="5" width="16.140625" style="347" customWidth="1"/>
    <col min="6" max="6" width="16.140625" style="365" customWidth="1"/>
    <col min="7" max="7" width="25.140625" style="365" customWidth="1"/>
    <col min="8" max="8" width="16.140625" style="347" customWidth="1"/>
    <col min="9" max="11" width="16.140625" style="365" customWidth="1"/>
    <col min="12" max="12" width="26.140625" style="365" customWidth="1"/>
    <col min="13" max="16384" width="9.140625" style="347"/>
  </cols>
  <sheetData>
    <row r="1" spans="1:24" ht="13.5">
      <c r="A1" s="268" t="s">
        <v>30</v>
      </c>
      <c r="B1" s="334" t="str">
        <f>'Info '!C2</f>
        <v>JSC Cartu Bank</v>
      </c>
      <c r="F1" s="347"/>
      <c r="G1" s="347"/>
      <c r="I1" s="347"/>
      <c r="J1" s="347"/>
      <c r="K1" s="347"/>
      <c r="L1" s="347"/>
    </row>
    <row r="2" spans="1:24">
      <c r="A2" s="268" t="s">
        <v>31</v>
      </c>
      <c r="B2" s="534">
        <f>'1. key ratios '!B2</f>
        <v>45747</v>
      </c>
      <c r="F2" s="347"/>
      <c r="G2" s="347"/>
      <c r="I2" s="347"/>
      <c r="J2" s="347"/>
      <c r="K2" s="347"/>
      <c r="L2" s="347"/>
    </row>
    <row r="3" spans="1:24">
      <c r="A3" s="269" t="s">
        <v>466</v>
      </c>
      <c r="F3" s="347"/>
      <c r="G3" s="347"/>
      <c r="I3" s="347"/>
      <c r="J3" s="347"/>
      <c r="K3" s="347"/>
      <c r="L3" s="347"/>
    </row>
    <row r="4" spans="1:24">
      <c r="F4" s="347"/>
      <c r="G4" s="347"/>
      <c r="I4" s="347"/>
      <c r="J4" s="347"/>
      <c r="K4" s="347"/>
      <c r="L4" s="347"/>
    </row>
    <row r="5" spans="1:24" ht="37.5" customHeight="1">
      <c r="A5" s="775" t="s">
        <v>483</v>
      </c>
      <c r="B5" s="776"/>
      <c r="C5" s="821" t="s">
        <v>467</v>
      </c>
      <c r="D5" s="822"/>
      <c r="E5" s="822"/>
      <c r="F5" s="822"/>
      <c r="G5" s="822"/>
      <c r="H5" s="821" t="s">
        <v>627</v>
      </c>
      <c r="I5" s="823"/>
      <c r="J5" s="823"/>
      <c r="K5" s="823"/>
      <c r="L5" s="824"/>
    </row>
    <row r="6" spans="1:24" ht="39.6" customHeight="1">
      <c r="A6" s="779"/>
      <c r="B6" s="780"/>
      <c r="C6" s="271"/>
      <c r="D6" s="345" t="s">
        <v>648</v>
      </c>
      <c r="E6" s="345" t="s">
        <v>647</v>
      </c>
      <c r="F6" s="345" t="s">
        <v>646</v>
      </c>
      <c r="G6" s="345" t="s">
        <v>645</v>
      </c>
      <c r="H6" s="366"/>
      <c r="I6" s="345" t="s">
        <v>648</v>
      </c>
      <c r="J6" s="345" t="s">
        <v>647</v>
      </c>
      <c r="K6" s="345" t="s">
        <v>646</v>
      </c>
      <c r="L6" s="345" t="s">
        <v>645</v>
      </c>
    </row>
    <row r="7" spans="1:24" ht="18">
      <c r="A7" s="336">
        <v>1</v>
      </c>
      <c r="B7" s="351" t="s">
        <v>486</v>
      </c>
      <c r="C7" s="690">
        <v>8325825.8856290299</v>
      </c>
      <c r="D7" s="691">
        <v>7570079.4081583368</v>
      </c>
      <c r="E7" s="691">
        <v>9933.1</v>
      </c>
      <c r="F7" s="691">
        <v>745813.37747069262</v>
      </c>
      <c r="G7" s="692">
        <v>0</v>
      </c>
      <c r="H7" s="691">
        <v>301598.8359181431</v>
      </c>
      <c r="I7" s="691">
        <v>196207.55472133649</v>
      </c>
      <c r="J7" s="691">
        <v>16.787332599548144</v>
      </c>
      <c r="K7" s="691">
        <v>105374.49386420711</v>
      </c>
      <c r="L7" s="691">
        <v>0</v>
      </c>
      <c r="N7" s="696"/>
      <c r="O7" s="696"/>
      <c r="P7" s="696"/>
      <c r="Q7" s="696"/>
      <c r="R7" s="696"/>
      <c r="S7" s="696"/>
      <c r="T7" s="696"/>
      <c r="U7" s="696"/>
      <c r="V7" s="696"/>
      <c r="W7" s="696"/>
      <c r="X7" s="696"/>
    </row>
    <row r="8" spans="1:24">
      <c r="A8" s="336">
        <v>2</v>
      </c>
      <c r="B8" s="351" t="s">
        <v>399</v>
      </c>
      <c r="C8" s="690">
        <v>24836975.133066617</v>
      </c>
      <c r="D8" s="691">
        <v>24663790.469752539</v>
      </c>
      <c r="E8" s="691">
        <v>8995.83</v>
      </c>
      <c r="F8" s="693">
        <v>164188.83331408165</v>
      </c>
      <c r="G8" s="693">
        <v>0</v>
      </c>
      <c r="H8" s="691">
        <v>115560.4800072676</v>
      </c>
      <c r="I8" s="693">
        <v>110371.30897734877</v>
      </c>
      <c r="J8" s="693">
        <v>899.58300000000008</v>
      </c>
      <c r="K8" s="693">
        <v>4289.5880299188248</v>
      </c>
      <c r="L8" s="693">
        <v>0</v>
      </c>
      <c r="N8" s="696"/>
      <c r="O8" s="696"/>
      <c r="P8" s="696"/>
      <c r="Q8" s="696"/>
      <c r="R8" s="696"/>
      <c r="S8" s="696"/>
      <c r="T8" s="696"/>
      <c r="U8" s="696"/>
      <c r="V8" s="696"/>
      <c r="W8" s="696"/>
      <c r="X8" s="696"/>
    </row>
    <row r="9" spans="1:24">
      <c r="A9" s="336">
        <v>3</v>
      </c>
      <c r="B9" s="351" t="s">
        <v>400</v>
      </c>
      <c r="C9" s="690">
        <v>0</v>
      </c>
      <c r="D9" s="691">
        <v>0</v>
      </c>
      <c r="E9" s="691">
        <v>0</v>
      </c>
      <c r="F9" s="694">
        <v>0</v>
      </c>
      <c r="G9" s="694">
        <v>0</v>
      </c>
      <c r="H9" s="691">
        <v>0</v>
      </c>
      <c r="I9" s="694">
        <v>0</v>
      </c>
      <c r="J9" s="694">
        <v>0</v>
      </c>
      <c r="K9" s="694">
        <v>0</v>
      </c>
      <c r="L9" s="694">
        <v>0</v>
      </c>
      <c r="N9" s="696"/>
      <c r="O9" s="696"/>
      <c r="P9" s="696"/>
      <c r="Q9" s="696"/>
      <c r="R9" s="696"/>
      <c r="S9" s="696"/>
      <c r="T9" s="696"/>
      <c r="U9" s="696"/>
      <c r="V9" s="696"/>
      <c r="W9" s="696"/>
      <c r="X9" s="696"/>
    </row>
    <row r="10" spans="1:24">
      <c r="A10" s="336">
        <v>4</v>
      </c>
      <c r="B10" s="351" t="s">
        <v>487</v>
      </c>
      <c r="C10" s="690">
        <v>105707429.83745752</v>
      </c>
      <c r="D10" s="691">
        <v>74709210.187525108</v>
      </c>
      <c r="E10" s="691">
        <v>6439693.4903102536</v>
      </c>
      <c r="F10" s="694">
        <v>24558526.159622185</v>
      </c>
      <c r="G10" s="694">
        <v>0</v>
      </c>
      <c r="H10" s="691">
        <v>503167.78347747482</v>
      </c>
      <c r="I10" s="694">
        <v>350608.93008839973</v>
      </c>
      <c r="J10" s="694">
        <v>29766.222579999998</v>
      </c>
      <c r="K10" s="694">
        <v>122792.63080907495</v>
      </c>
      <c r="L10" s="694">
        <v>0</v>
      </c>
      <c r="N10" s="696"/>
      <c r="O10" s="696"/>
      <c r="P10" s="696"/>
      <c r="Q10" s="696"/>
      <c r="R10" s="696"/>
      <c r="S10" s="696"/>
      <c r="T10" s="696"/>
      <c r="U10" s="696"/>
      <c r="V10" s="696"/>
      <c r="W10" s="696"/>
      <c r="X10" s="696"/>
    </row>
    <row r="11" spans="1:24">
      <c r="A11" s="336">
        <v>5</v>
      </c>
      <c r="B11" s="351" t="s">
        <v>401</v>
      </c>
      <c r="C11" s="690">
        <v>110090668.02479447</v>
      </c>
      <c r="D11" s="691">
        <v>99712423.752858251</v>
      </c>
      <c r="E11" s="691">
        <v>7448160.1063532317</v>
      </c>
      <c r="F11" s="694">
        <v>2930084.1655830001</v>
      </c>
      <c r="G11" s="694">
        <v>0</v>
      </c>
      <c r="H11" s="691">
        <v>1132924.482715474</v>
      </c>
      <c r="I11" s="694">
        <v>93931.19993401703</v>
      </c>
      <c r="J11" s="694">
        <v>859624.36942</v>
      </c>
      <c r="K11" s="694">
        <v>179368.91336145703</v>
      </c>
      <c r="L11" s="694">
        <v>0</v>
      </c>
      <c r="N11" s="696"/>
      <c r="O11" s="696"/>
      <c r="P11" s="696"/>
      <c r="Q11" s="696"/>
      <c r="R11" s="696"/>
      <c r="S11" s="696"/>
      <c r="T11" s="696"/>
      <c r="U11" s="696"/>
      <c r="V11" s="696"/>
      <c r="W11" s="696"/>
      <c r="X11" s="696"/>
    </row>
    <row r="12" spans="1:24">
      <c r="A12" s="336">
        <v>6</v>
      </c>
      <c r="B12" s="351" t="s">
        <v>402</v>
      </c>
      <c r="C12" s="690">
        <v>21869937.315159705</v>
      </c>
      <c r="D12" s="691">
        <v>20646104.12997606</v>
      </c>
      <c r="E12" s="691">
        <v>1222965.5551836453</v>
      </c>
      <c r="F12" s="694">
        <v>867.63</v>
      </c>
      <c r="G12" s="694">
        <v>0</v>
      </c>
      <c r="H12" s="691">
        <v>29358.836453223663</v>
      </c>
      <c r="I12" s="694">
        <v>22376.378673223666</v>
      </c>
      <c r="J12" s="694">
        <v>6114.8277799999996</v>
      </c>
      <c r="K12" s="694">
        <v>867.63</v>
      </c>
      <c r="L12" s="694">
        <v>0</v>
      </c>
      <c r="N12" s="696"/>
      <c r="O12" s="696"/>
      <c r="P12" s="696"/>
      <c r="Q12" s="696"/>
      <c r="R12" s="696"/>
      <c r="S12" s="696"/>
      <c r="T12" s="696"/>
      <c r="U12" s="696"/>
      <c r="V12" s="696"/>
      <c r="W12" s="696"/>
      <c r="X12" s="696"/>
    </row>
    <row r="13" spans="1:24">
      <c r="A13" s="336">
        <v>7</v>
      </c>
      <c r="B13" s="351" t="s">
        <v>403</v>
      </c>
      <c r="C13" s="690">
        <v>20089828.948575649</v>
      </c>
      <c r="D13" s="691">
        <v>8309513.6044106567</v>
      </c>
      <c r="E13" s="691">
        <v>5818059.750008001</v>
      </c>
      <c r="F13" s="694">
        <v>5962255.5941569954</v>
      </c>
      <c r="G13" s="694">
        <v>0</v>
      </c>
      <c r="H13" s="691">
        <v>89929.403753157647</v>
      </c>
      <c r="I13" s="694">
        <v>2651.3134586599567</v>
      </c>
      <c r="J13" s="694">
        <v>57466.812318890195</v>
      </c>
      <c r="K13" s="694">
        <v>29811.277975607496</v>
      </c>
      <c r="L13" s="694">
        <v>0</v>
      </c>
      <c r="N13" s="696"/>
      <c r="O13" s="696"/>
      <c r="P13" s="696"/>
      <c r="Q13" s="696"/>
      <c r="R13" s="696"/>
      <c r="S13" s="696"/>
      <c r="T13" s="696"/>
      <c r="U13" s="696"/>
      <c r="V13" s="696"/>
      <c r="W13" s="696"/>
      <c r="X13" s="696"/>
    </row>
    <row r="14" spans="1:24">
      <c r="A14" s="336">
        <v>8</v>
      </c>
      <c r="B14" s="351" t="s">
        <v>404</v>
      </c>
      <c r="C14" s="690">
        <v>5829447.2774253925</v>
      </c>
      <c r="D14" s="691">
        <v>4267867.6077841735</v>
      </c>
      <c r="E14" s="691">
        <v>1293922.5148215548</v>
      </c>
      <c r="F14" s="694">
        <v>267657.15481966588</v>
      </c>
      <c r="G14" s="694">
        <v>0</v>
      </c>
      <c r="H14" s="691">
        <v>131417.67381634036</v>
      </c>
      <c r="I14" s="694">
        <v>2709.7707976066954</v>
      </c>
      <c r="J14" s="694">
        <v>2563.3690538182254</v>
      </c>
      <c r="K14" s="694">
        <v>126144.53396491546</v>
      </c>
      <c r="L14" s="694">
        <v>0</v>
      </c>
      <c r="N14" s="696"/>
      <c r="O14" s="696"/>
      <c r="P14" s="696"/>
      <c r="Q14" s="696"/>
      <c r="R14" s="696"/>
      <c r="S14" s="696"/>
      <c r="T14" s="696"/>
      <c r="U14" s="696"/>
      <c r="V14" s="696"/>
      <c r="W14" s="696"/>
      <c r="X14" s="696"/>
    </row>
    <row r="15" spans="1:24">
      <c r="A15" s="336">
        <v>9</v>
      </c>
      <c r="B15" s="351" t="s">
        <v>405</v>
      </c>
      <c r="C15" s="690">
        <v>188392881.73083457</v>
      </c>
      <c r="D15" s="691">
        <v>182512406.69188413</v>
      </c>
      <c r="E15" s="691">
        <v>2229470.1426048796</v>
      </c>
      <c r="F15" s="694">
        <v>3651004.8963455758</v>
      </c>
      <c r="G15" s="694">
        <v>0</v>
      </c>
      <c r="H15" s="691">
        <v>2710021.0947242058</v>
      </c>
      <c r="I15" s="694">
        <v>1546835.781569941</v>
      </c>
      <c r="J15" s="694">
        <v>14327.113428985289</v>
      </c>
      <c r="K15" s="694">
        <v>1148858.1997252796</v>
      </c>
      <c r="L15" s="694">
        <v>0</v>
      </c>
      <c r="N15" s="696"/>
      <c r="O15" s="696"/>
      <c r="P15" s="696"/>
      <c r="Q15" s="696"/>
      <c r="R15" s="696"/>
      <c r="S15" s="696"/>
      <c r="T15" s="696"/>
      <c r="U15" s="696"/>
      <c r="V15" s="696"/>
      <c r="W15" s="696"/>
      <c r="X15" s="696"/>
    </row>
    <row r="16" spans="1:24">
      <c r="A16" s="336">
        <v>10</v>
      </c>
      <c r="B16" s="351" t="s">
        <v>406</v>
      </c>
      <c r="C16" s="690">
        <v>5464043.1119266488</v>
      </c>
      <c r="D16" s="691">
        <v>5453281.1719266484</v>
      </c>
      <c r="E16" s="691">
        <v>10761.94</v>
      </c>
      <c r="F16" s="694">
        <v>0</v>
      </c>
      <c r="G16" s="694">
        <v>0</v>
      </c>
      <c r="H16" s="691">
        <v>1232.0164819051765</v>
      </c>
      <c r="I16" s="694">
        <v>1212.5269156388151</v>
      </c>
      <c r="J16" s="694">
        <v>19.489566266361326</v>
      </c>
      <c r="K16" s="694">
        <v>0</v>
      </c>
      <c r="L16" s="694">
        <v>0</v>
      </c>
      <c r="N16" s="696"/>
      <c r="O16" s="696"/>
      <c r="P16" s="696"/>
      <c r="Q16" s="696"/>
      <c r="R16" s="696"/>
      <c r="S16" s="696"/>
      <c r="T16" s="696"/>
      <c r="U16" s="696"/>
      <c r="V16" s="696"/>
      <c r="W16" s="696"/>
      <c r="X16" s="696"/>
    </row>
    <row r="17" spans="1:24">
      <c r="A17" s="336">
        <v>11</v>
      </c>
      <c r="B17" s="351" t="s">
        <v>407</v>
      </c>
      <c r="C17" s="690">
        <v>327769.47886000003</v>
      </c>
      <c r="D17" s="691">
        <v>327769.47886000003</v>
      </c>
      <c r="E17" s="691">
        <v>0</v>
      </c>
      <c r="F17" s="694">
        <v>0</v>
      </c>
      <c r="G17" s="694">
        <v>0</v>
      </c>
      <c r="H17" s="691">
        <v>85.082729881587483</v>
      </c>
      <c r="I17" s="694">
        <v>85.082729881587483</v>
      </c>
      <c r="J17" s="694">
        <v>0</v>
      </c>
      <c r="K17" s="694">
        <v>0</v>
      </c>
      <c r="L17" s="694">
        <v>0</v>
      </c>
      <c r="N17" s="696"/>
      <c r="O17" s="696"/>
      <c r="P17" s="696"/>
      <c r="Q17" s="696"/>
      <c r="R17" s="696"/>
      <c r="S17" s="696"/>
      <c r="T17" s="696"/>
      <c r="U17" s="696"/>
      <c r="V17" s="696"/>
      <c r="W17" s="696"/>
      <c r="X17" s="696"/>
    </row>
    <row r="18" spans="1:24">
      <c r="A18" s="336">
        <v>12</v>
      </c>
      <c r="B18" s="351" t="s">
        <v>408</v>
      </c>
      <c r="C18" s="690">
        <v>48905252.790667333</v>
      </c>
      <c r="D18" s="691">
        <v>7985250.9919081051</v>
      </c>
      <c r="E18" s="691">
        <v>15108207.042035</v>
      </c>
      <c r="F18" s="694">
        <v>25811794.756724223</v>
      </c>
      <c r="G18" s="694">
        <v>0</v>
      </c>
      <c r="H18" s="691">
        <v>12190956.817550022</v>
      </c>
      <c r="I18" s="694">
        <v>11164.382396487053</v>
      </c>
      <c r="J18" s="694">
        <v>1957925.7504200533</v>
      </c>
      <c r="K18" s="694">
        <v>10221866.684733482</v>
      </c>
      <c r="L18" s="694">
        <v>0</v>
      </c>
      <c r="N18" s="696"/>
      <c r="O18" s="696"/>
      <c r="P18" s="696"/>
      <c r="Q18" s="696"/>
      <c r="R18" s="696"/>
      <c r="S18" s="696"/>
      <c r="T18" s="696"/>
      <c r="U18" s="696"/>
      <c r="V18" s="696"/>
      <c r="W18" s="696"/>
      <c r="X18" s="696"/>
    </row>
    <row r="19" spans="1:24">
      <c r="A19" s="336">
        <v>13</v>
      </c>
      <c r="B19" s="351" t="s">
        <v>409</v>
      </c>
      <c r="C19" s="690">
        <v>18549632.33026265</v>
      </c>
      <c r="D19" s="691">
        <v>15410687.961959219</v>
      </c>
      <c r="E19" s="691">
        <v>150216.54</v>
      </c>
      <c r="F19" s="694">
        <v>2988727.8283034316</v>
      </c>
      <c r="G19" s="694">
        <v>0</v>
      </c>
      <c r="H19" s="691">
        <v>1154212.713696481</v>
      </c>
      <c r="I19" s="694">
        <v>142469.12165856324</v>
      </c>
      <c r="J19" s="694">
        <v>3111.692557917987</v>
      </c>
      <c r="K19" s="694">
        <v>1008631.8994799998</v>
      </c>
      <c r="L19" s="694">
        <v>0</v>
      </c>
      <c r="N19" s="696"/>
      <c r="O19" s="696"/>
      <c r="P19" s="696"/>
      <c r="Q19" s="696"/>
      <c r="R19" s="696"/>
      <c r="S19" s="696"/>
      <c r="T19" s="696"/>
      <c r="U19" s="696"/>
      <c r="V19" s="696"/>
      <c r="W19" s="696"/>
      <c r="X19" s="696"/>
    </row>
    <row r="20" spans="1:24">
      <c r="A20" s="336">
        <v>14</v>
      </c>
      <c r="B20" s="351" t="s">
        <v>410</v>
      </c>
      <c r="C20" s="690">
        <v>45925892.021847032</v>
      </c>
      <c r="D20" s="691">
        <v>23267973.531257216</v>
      </c>
      <c r="E20" s="691">
        <v>2843907.641218842</v>
      </c>
      <c r="F20" s="694">
        <v>19266878.720693003</v>
      </c>
      <c r="G20" s="694">
        <v>547132.12867800007</v>
      </c>
      <c r="H20" s="691">
        <v>1028596.6643798586</v>
      </c>
      <c r="I20" s="694">
        <v>31881.334938389689</v>
      </c>
      <c r="J20" s="694">
        <v>15894.243704509825</v>
      </c>
      <c r="K20" s="694">
        <v>978085.42509356921</v>
      </c>
      <c r="L20" s="694">
        <v>2735.6606433900006</v>
      </c>
      <c r="N20" s="696"/>
      <c r="O20" s="696"/>
      <c r="P20" s="696"/>
      <c r="Q20" s="696"/>
      <c r="R20" s="696"/>
      <c r="S20" s="696"/>
      <c r="T20" s="696"/>
      <c r="U20" s="696"/>
      <c r="V20" s="696"/>
      <c r="W20" s="696"/>
      <c r="X20" s="696"/>
    </row>
    <row r="21" spans="1:24">
      <c r="A21" s="336">
        <v>15</v>
      </c>
      <c r="B21" s="351" t="s">
        <v>411</v>
      </c>
      <c r="C21" s="690">
        <v>2121700.5141730001</v>
      </c>
      <c r="D21" s="691">
        <v>1674306.4500000002</v>
      </c>
      <c r="E21" s="691">
        <v>0</v>
      </c>
      <c r="F21" s="694">
        <v>447394.06417299999</v>
      </c>
      <c r="G21" s="694">
        <v>0</v>
      </c>
      <c r="H21" s="691">
        <v>88962.258468005632</v>
      </c>
      <c r="I21" s="694">
        <v>258.78130687219965</v>
      </c>
      <c r="J21" s="694">
        <v>0</v>
      </c>
      <c r="K21" s="694">
        <v>88703.477161133429</v>
      </c>
      <c r="L21" s="694">
        <v>0</v>
      </c>
      <c r="N21" s="696"/>
      <c r="O21" s="696"/>
      <c r="P21" s="696"/>
      <c r="Q21" s="696"/>
      <c r="R21" s="696"/>
      <c r="S21" s="696"/>
      <c r="T21" s="696"/>
      <c r="U21" s="696"/>
      <c r="V21" s="696"/>
      <c r="W21" s="696"/>
      <c r="X21" s="696"/>
    </row>
    <row r="22" spans="1:24">
      <c r="A22" s="336">
        <v>16</v>
      </c>
      <c r="B22" s="351" t="s">
        <v>412</v>
      </c>
      <c r="C22" s="690">
        <v>82266206.095714688</v>
      </c>
      <c r="D22" s="691">
        <v>0</v>
      </c>
      <c r="E22" s="691">
        <v>82266206.095714688</v>
      </c>
      <c r="F22" s="694">
        <v>0</v>
      </c>
      <c r="G22" s="694">
        <v>0</v>
      </c>
      <c r="H22" s="691">
        <v>10783343.43572</v>
      </c>
      <c r="I22" s="694">
        <v>0</v>
      </c>
      <c r="J22" s="694">
        <v>10783343.43572</v>
      </c>
      <c r="K22" s="694">
        <v>0</v>
      </c>
      <c r="L22" s="694">
        <v>0</v>
      </c>
      <c r="N22" s="696"/>
      <c r="O22" s="696"/>
      <c r="P22" s="696"/>
      <c r="Q22" s="696"/>
      <c r="R22" s="696"/>
      <c r="S22" s="696"/>
      <c r="T22" s="696"/>
      <c r="U22" s="696"/>
      <c r="V22" s="696"/>
      <c r="W22" s="696"/>
      <c r="X22" s="696"/>
    </row>
    <row r="23" spans="1:24">
      <c r="A23" s="336">
        <v>17</v>
      </c>
      <c r="B23" s="351" t="s">
        <v>490</v>
      </c>
      <c r="C23" s="690">
        <v>87111839.251115158</v>
      </c>
      <c r="D23" s="691">
        <v>87111839.251115158</v>
      </c>
      <c r="E23" s="691">
        <v>0</v>
      </c>
      <c r="F23" s="694">
        <v>0</v>
      </c>
      <c r="G23" s="694">
        <v>0</v>
      </c>
      <c r="H23" s="691">
        <v>984951.55786569428</v>
      </c>
      <c r="I23" s="694">
        <v>984951.55786569428</v>
      </c>
      <c r="J23" s="694">
        <v>0</v>
      </c>
      <c r="K23" s="694">
        <v>0</v>
      </c>
      <c r="L23" s="694">
        <v>0</v>
      </c>
      <c r="N23" s="696"/>
      <c r="O23" s="696"/>
      <c r="P23" s="696"/>
      <c r="Q23" s="696"/>
      <c r="R23" s="696"/>
      <c r="S23" s="696"/>
      <c r="T23" s="696"/>
      <c r="U23" s="696"/>
      <c r="V23" s="696"/>
      <c r="W23" s="696"/>
      <c r="X23" s="696"/>
    </row>
    <row r="24" spans="1:24">
      <c r="A24" s="336">
        <v>18</v>
      </c>
      <c r="B24" s="351" t="s">
        <v>413</v>
      </c>
      <c r="C24" s="690">
        <v>89773.610122813945</v>
      </c>
      <c r="D24" s="691">
        <v>89773.610122813945</v>
      </c>
      <c r="E24" s="691">
        <v>0</v>
      </c>
      <c r="F24" s="694">
        <v>0</v>
      </c>
      <c r="G24" s="694">
        <v>0</v>
      </c>
      <c r="H24" s="691">
        <v>14.813405767647419</v>
      </c>
      <c r="I24" s="694">
        <v>14.813405767647419</v>
      </c>
      <c r="J24" s="694">
        <v>0</v>
      </c>
      <c r="K24" s="694">
        <v>0</v>
      </c>
      <c r="L24" s="694">
        <v>0</v>
      </c>
      <c r="N24" s="696"/>
      <c r="O24" s="696"/>
      <c r="P24" s="696"/>
      <c r="Q24" s="696"/>
      <c r="R24" s="696"/>
      <c r="S24" s="696"/>
      <c r="T24" s="696"/>
      <c r="U24" s="696"/>
      <c r="V24" s="696"/>
      <c r="W24" s="696"/>
      <c r="X24" s="696"/>
    </row>
    <row r="25" spans="1:24">
      <c r="A25" s="336">
        <v>19</v>
      </c>
      <c r="B25" s="351" t="s">
        <v>414</v>
      </c>
      <c r="C25" s="690">
        <v>17431946.416191306</v>
      </c>
      <c r="D25" s="691">
        <v>17431946.416191306</v>
      </c>
      <c r="E25" s="691">
        <v>0</v>
      </c>
      <c r="F25" s="694">
        <v>0</v>
      </c>
      <c r="G25" s="694">
        <v>0</v>
      </c>
      <c r="H25" s="691">
        <v>247332.22986601331</v>
      </c>
      <c r="I25" s="694">
        <v>247332.22986601331</v>
      </c>
      <c r="J25" s="694">
        <v>0</v>
      </c>
      <c r="K25" s="694">
        <v>0</v>
      </c>
      <c r="L25" s="694">
        <v>0</v>
      </c>
      <c r="N25" s="696"/>
      <c r="O25" s="696"/>
      <c r="P25" s="696"/>
      <c r="Q25" s="696"/>
      <c r="R25" s="696"/>
      <c r="S25" s="696"/>
      <c r="T25" s="696"/>
      <c r="U25" s="696"/>
      <c r="V25" s="696"/>
      <c r="W25" s="696"/>
      <c r="X25" s="696"/>
    </row>
    <row r="26" spans="1:24">
      <c r="A26" s="336">
        <v>20</v>
      </c>
      <c r="B26" s="351" t="s">
        <v>489</v>
      </c>
      <c r="C26" s="690">
        <v>47830467.058650702</v>
      </c>
      <c r="D26" s="691">
        <v>36580294.533070378</v>
      </c>
      <c r="E26" s="691">
        <v>11250172.525580311</v>
      </c>
      <c r="F26" s="694">
        <v>0</v>
      </c>
      <c r="G26" s="694">
        <v>0</v>
      </c>
      <c r="H26" s="691">
        <v>2250190.4160638065</v>
      </c>
      <c r="I26" s="694">
        <v>175451.77792726137</v>
      </c>
      <c r="J26" s="694">
        <v>2074738.6381365438</v>
      </c>
      <c r="K26" s="694">
        <v>0</v>
      </c>
      <c r="L26" s="694">
        <v>0</v>
      </c>
      <c r="N26" s="696"/>
      <c r="O26" s="696"/>
      <c r="P26" s="696"/>
      <c r="Q26" s="696"/>
      <c r="R26" s="696"/>
      <c r="S26" s="696"/>
      <c r="T26" s="696"/>
      <c r="U26" s="696"/>
      <c r="V26" s="696"/>
      <c r="W26" s="696"/>
      <c r="X26" s="696"/>
    </row>
    <row r="27" spans="1:24">
      <c r="A27" s="336">
        <v>21</v>
      </c>
      <c r="B27" s="351" t="s">
        <v>415</v>
      </c>
      <c r="C27" s="690">
        <v>5057460.3705869513</v>
      </c>
      <c r="D27" s="691">
        <v>5057457.3887869511</v>
      </c>
      <c r="E27" s="691">
        <v>0</v>
      </c>
      <c r="F27" s="694">
        <v>2.9817999999999998</v>
      </c>
      <c r="G27" s="694">
        <v>0</v>
      </c>
      <c r="H27" s="691">
        <v>5078.6188134400309</v>
      </c>
      <c r="I27" s="694">
        <v>5075.6370134400313</v>
      </c>
      <c r="J27" s="694">
        <v>0</v>
      </c>
      <c r="K27" s="694">
        <v>2.9817999999999998</v>
      </c>
      <c r="L27" s="694">
        <v>0</v>
      </c>
      <c r="N27" s="696"/>
      <c r="O27" s="696"/>
      <c r="P27" s="696"/>
      <c r="Q27" s="696"/>
      <c r="R27" s="696"/>
      <c r="S27" s="696"/>
      <c r="T27" s="696"/>
      <c r="U27" s="696"/>
      <c r="V27" s="696"/>
      <c r="W27" s="696"/>
      <c r="X27" s="696"/>
    </row>
    <row r="28" spans="1:24">
      <c r="A28" s="336">
        <v>22</v>
      </c>
      <c r="B28" s="351" t="s">
        <v>416</v>
      </c>
      <c r="C28" s="690">
        <v>54605554.622972645</v>
      </c>
      <c r="D28" s="691">
        <v>32989762.517123628</v>
      </c>
      <c r="E28" s="691">
        <v>0</v>
      </c>
      <c r="F28" s="694">
        <v>21615792.105849005</v>
      </c>
      <c r="G28" s="694">
        <v>0</v>
      </c>
      <c r="H28" s="691">
        <v>18162348.683629569</v>
      </c>
      <c r="I28" s="694">
        <v>533.01045000058207</v>
      </c>
      <c r="J28" s="694">
        <v>0</v>
      </c>
      <c r="K28" s="694">
        <v>18161815.673179567</v>
      </c>
      <c r="L28" s="694">
        <v>0</v>
      </c>
      <c r="N28" s="696"/>
      <c r="O28" s="696"/>
      <c r="P28" s="696"/>
      <c r="Q28" s="696"/>
      <c r="R28" s="696"/>
      <c r="S28" s="696"/>
      <c r="T28" s="696"/>
      <c r="U28" s="696"/>
      <c r="V28" s="696"/>
      <c r="W28" s="696"/>
      <c r="X28" s="696"/>
    </row>
    <row r="29" spans="1:24">
      <c r="A29" s="336">
        <v>23</v>
      </c>
      <c r="B29" s="351" t="s">
        <v>417</v>
      </c>
      <c r="C29" s="690">
        <v>83502339.805937171</v>
      </c>
      <c r="D29" s="691">
        <v>75601682.805549785</v>
      </c>
      <c r="E29" s="691">
        <v>1626415.1605894249</v>
      </c>
      <c r="F29" s="694">
        <v>6274241.8397979615</v>
      </c>
      <c r="G29" s="694">
        <v>0</v>
      </c>
      <c r="H29" s="691">
        <v>638964.8798592597</v>
      </c>
      <c r="I29" s="694">
        <v>390950.85422686627</v>
      </c>
      <c r="J29" s="694">
        <v>5253.0755539707143</v>
      </c>
      <c r="K29" s="694">
        <v>242760.95007842217</v>
      </c>
      <c r="L29" s="694">
        <v>0</v>
      </c>
      <c r="N29" s="696"/>
      <c r="O29" s="696"/>
      <c r="P29" s="696"/>
      <c r="Q29" s="696"/>
      <c r="R29" s="696"/>
      <c r="S29" s="696"/>
      <c r="T29" s="696"/>
      <c r="U29" s="696"/>
      <c r="V29" s="696"/>
      <c r="W29" s="696"/>
      <c r="X29" s="696"/>
    </row>
    <row r="30" spans="1:24">
      <c r="A30" s="336">
        <v>24</v>
      </c>
      <c r="B30" s="351" t="s">
        <v>488</v>
      </c>
      <c r="C30" s="690">
        <v>45219039.695552893</v>
      </c>
      <c r="D30" s="691">
        <v>30228572.450405039</v>
      </c>
      <c r="E30" s="691">
        <v>11288823.262802865</v>
      </c>
      <c r="F30" s="694">
        <v>3701643.9823449999</v>
      </c>
      <c r="G30" s="694">
        <v>0</v>
      </c>
      <c r="H30" s="691">
        <v>1134025.2349528538</v>
      </c>
      <c r="I30" s="694">
        <v>35961.941394809961</v>
      </c>
      <c r="J30" s="694">
        <v>32536.514551908236</v>
      </c>
      <c r="K30" s="694">
        <v>1065526.7790061356</v>
      </c>
      <c r="L30" s="694">
        <v>0</v>
      </c>
      <c r="N30" s="696"/>
      <c r="O30" s="696"/>
      <c r="P30" s="696"/>
      <c r="Q30" s="696"/>
      <c r="R30" s="696"/>
      <c r="S30" s="696"/>
      <c r="T30" s="696"/>
      <c r="U30" s="696"/>
      <c r="V30" s="696"/>
      <c r="W30" s="696"/>
      <c r="X30" s="696"/>
    </row>
    <row r="31" spans="1:24">
      <c r="A31" s="336">
        <v>25</v>
      </c>
      <c r="B31" s="351" t="s">
        <v>418</v>
      </c>
      <c r="C31" s="690">
        <v>66324431.886251293</v>
      </c>
      <c r="D31" s="691">
        <v>58496209.948104069</v>
      </c>
      <c r="E31" s="691">
        <v>1306330.8920942198</v>
      </c>
      <c r="F31" s="694">
        <v>5861242.9159000069</v>
      </c>
      <c r="G31" s="694">
        <v>660648.13015300001</v>
      </c>
      <c r="H31" s="691">
        <v>2989102.5869622794</v>
      </c>
      <c r="I31" s="694">
        <v>1004810.7206156243</v>
      </c>
      <c r="J31" s="694">
        <v>2874.8880507659096</v>
      </c>
      <c r="K31" s="694">
        <v>1979909.5958501447</v>
      </c>
      <c r="L31" s="694">
        <v>1507.3824457442615</v>
      </c>
      <c r="N31" s="696"/>
      <c r="O31" s="696"/>
      <c r="P31" s="696"/>
      <c r="Q31" s="696"/>
      <c r="R31" s="696"/>
      <c r="S31" s="696"/>
      <c r="T31" s="696"/>
      <c r="U31" s="696"/>
      <c r="V31" s="696"/>
      <c r="W31" s="696"/>
      <c r="X31" s="696"/>
    </row>
    <row r="32" spans="1:24">
      <c r="A32" s="336">
        <v>26</v>
      </c>
      <c r="B32" s="351" t="s">
        <v>485</v>
      </c>
      <c r="C32" s="690">
        <v>350739.18297399959</v>
      </c>
      <c r="D32" s="691">
        <v>227795.02367400005</v>
      </c>
      <c r="E32" s="691">
        <v>8465.84</v>
      </c>
      <c r="F32" s="694">
        <v>114478.31929999993</v>
      </c>
      <c r="G32" s="694">
        <v>0</v>
      </c>
      <c r="H32" s="691">
        <v>119880.80377347993</v>
      </c>
      <c r="I32" s="694">
        <v>4555.9004734800001</v>
      </c>
      <c r="J32" s="694">
        <v>846.58400000000006</v>
      </c>
      <c r="K32" s="694">
        <v>114478.31929999993</v>
      </c>
      <c r="L32" s="694">
        <v>0</v>
      </c>
      <c r="N32" s="696"/>
      <c r="O32" s="696"/>
      <c r="P32" s="696"/>
      <c r="Q32" s="696"/>
      <c r="R32" s="696"/>
      <c r="S32" s="696"/>
      <c r="T32" s="696"/>
      <c r="U32" s="696"/>
      <c r="V32" s="696"/>
      <c r="W32" s="696"/>
      <c r="X32" s="696"/>
    </row>
    <row r="33" spans="1:24" ht="15">
      <c r="A33" s="336">
        <v>27</v>
      </c>
      <c r="B33" s="398" t="s">
        <v>64</v>
      </c>
      <c r="C33" s="695">
        <v>1096227082.3967495</v>
      </c>
      <c r="D33" s="695">
        <v>820325999.38240349</v>
      </c>
      <c r="E33" s="695">
        <v>150330707.42931694</v>
      </c>
      <c r="F33" s="695">
        <v>124362595.32619782</v>
      </c>
      <c r="G33" s="695">
        <v>1207780.258831</v>
      </c>
      <c r="H33" s="695">
        <v>56793257.405083604</v>
      </c>
      <c r="I33" s="695">
        <v>5362401.9114053231</v>
      </c>
      <c r="J33" s="695">
        <v>15847323.39717623</v>
      </c>
      <c r="K33" s="695">
        <v>35579289.053412914</v>
      </c>
      <c r="L33" s="695">
        <v>4243.0430891342621</v>
      </c>
      <c r="N33" s="696"/>
      <c r="O33" s="696"/>
      <c r="P33" s="696"/>
      <c r="Q33" s="696"/>
      <c r="R33" s="696"/>
      <c r="S33" s="696"/>
      <c r="T33" s="696"/>
      <c r="U33" s="696"/>
      <c r="V33" s="696"/>
      <c r="W33" s="696"/>
      <c r="X33" s="696"/>
    </row>
    <row r="35" spans="1:24">
      <c r="B35" s="397"/>
      <c r="C35" s="397"/>
    </row>
    <row r="37" spans="1:24">
      <c r="C37" s="696"/>
      <c r="D37" s="696"/>
      <c r="E37" s="696"/>
      <c r="F37" s="696"/>
      <c r="G37" s="696"/>
      <c r="H37" s="696"/>
      <c r="I37" s="696"/>
      <c r="J37" s="696"/>
      <c r="K37" s="696"/>
      <c r="L37" s="696"/>
    </row>
    <row r="38" spans="1:24">
      <c r="C38" s="696"/>
      <c r="D38" s="696"/>
      <c r="E38" s="696"/>
      <c r="F38" s="696"/>
      <c r="G38" s="696"/>
      <c r="H38" s="696"/>
      <c r="I38" s="696"/>
      <c r="J38" s="696"/>
      <c r="K38" s="696"/>
      <c r="L38" s="696"/>
    </row>
    <row r="39" spans="1:24">
      <c r="C39" s="696"/>
      <c r="D39" s="696"/>
      <c r="E39" s="696"/>
      <c r="F39" s="696"/>
      <c r="G39" s="696"/>
      <c r="H39" s="696"/>
      <c r="I39" s="696"/>
      <c r="J39" s="696"/>
      <c r="K39" s="696"/>
      <c r="L39" s="696"/>
    </row>
    <row r="40" spans="1:24">
      <c r="C40" s="696"/>
      <c r="D40" s="696"/>
      <c r="E40" s="696"/>
      <c r="F40" s="696"/>
      <c r="G40" s="696"/>
      <c r="H40" s="696"/>
      <c r="I40" s="696"/>
      <c r="J40" s="696"/>
      <c r="K40" s="696"/>
      <c r="L40" s="696"/>
    </row>
    <row r="41" spans="1:24">
      <c r="C41" s="696"/>
      <c r="D41" s="696"/>
      <c r="E41" s="696"/>
      <c r="F41" s="696"/>
      <c r="G41" s="696"/>
      <c r="H41" s="696"/>
      <c r="I41" s="696"/>
      <c r="J41" s="696"/>
      <c r="K41" s="696"/>
      <c r="L41" s="696"/>
    </row>
    <row r="42" spans="1:24">
      <c r="C42" s="696"/>
      <c r="D42" s="696"/>
      <c r="E42" s="696"/>
      <c r="F42" s="696"/>
      <c r="G42" s="696"/>
      <c r="H42" s="696"/>
      <c r="I42" s="696"/>
      <c r="J42" s="696"/>
      <c r="K42" s="696"/>
      <c r="L42" s="696"/>
    </row>
    <row r="43" spans="1:24">
      <c r="C43" s="696"/>
      <c r="D43" s="696"/>
      <c r="E43" s="696"/>
      <c r="F43" s="696"/>
      <c r="G43" s="696"/>
      <c r="H43" s="696"/>
      <c r="I43" s="696"/>
      <c r="J43" s="696"/>
      <c r="K43" s="696"/>
      <c r="L43" s="696"/>
    </row>
    <row r="44" spans="1:24">
      <c r="C44" s="696"/>
      <c r="D44" s="696"/>
      <c r="E44" s="696"/>
      <c r="F44" s="696"/>
      <c r="G44" s="696"/>
      <c r="H44" s="696"/>
      <c r="I44" s="696"/>
      <c r="J44" s="696"/>
      <c r="K44" s="696"/>
      <c r="L44" s="696"/>
    </row>
    <row r="45" spans="1:24">
      <c r="C45" s="696"/>
      <c r="D45" s="696"/>
      <c r="E45" s="696"/>
      <c r="F45" s="696"/>
      <c r="G45" s="696"/>
      <c r="H45" s="696"/>
      <c r="I45" s="696"/>
      <c r="J45" s="696"/>
      <c r="K45" s="696"/>
      <c r="L45" s="696"/>
    </row>
    <row r="46" spans="1:24">
      <c r="C46" s="696"/>
      <c r="D46" s="696"/>
      <c r="E46" s="696"/>
      <c r="F46" s="696"/>
      <c r="G46" s="696"/>
      <c r="H46" s="696"/>
      <c r="I46" s="696"/>
      <c r="J46" s="696"/>
      <c r="K46" s="696"/>
      <c r="L46" s="696"/>
    </row>
    <row r="47" spans="1:24">
      <c r="C47" s="696"/>
      <c r="D47" s="696"/>
      <c r="E47" s="696"/>
      <c r="F47" s="696"/>
      <c r="G47" s="696"/>
      <c r="H47" s="696"/>
      <c r="I47" s="696"/>
      <c r="J47" s="696"/>
      <c r="K47" s="696"/>
      <c r="L47" s="696"/>
    </row>
    <row r="48" spans="1:24">
      <c r="C48" s="696"/>
      <c r="D48" s="696"/>
      <c r="E48" s="696"/>
      <c r="F48" s="696"/>
      <c r="G48" s="696"/>
      <c r="H48" s="696"/>
      <c r="I48" s="696"/>
      <c r="J48" s="696"/>
      <c r="K48" s="696"/>
      <c r="L48" s="696"/>
    </row>
    <row r="49" spans="3:12">
      <c r="C49" s="696"/>
      <c r="D49" s="696"/>
      <c r="E49" s="696"/>
      <c r="F49" s="696"/>
      <c r="G49" s="696"/>
      <c r="H49" s="696"/>
      <c r="I49" s="696"/>
      <c r="J49" s="696"/>
      <c r="K49" s="696"/>
      <c r="L49" s="696"/>
    </row>
    <row r="50" spans="3:12">
      <c r="C50" s="696"/>
      <c r="D50" s="696"/>
      <c r="E50" s="696"/>
      <c r="F50" s="696"/>
      <c r="G50" s="696"/>
      <c r="H50" s="696"/>
      <c r="I50" s="696"/>
      <c r="J50" s="696"/>
      <c r="K50" s="696"/>
      <c r="L50" s="696"/>
    </row>
    <row r="51" spans="3:12">
      <c r="C51" s="696"/>
      <c r="D51" s="696"/>
      <c r="E51" s="696"/>
      <c r="F51" s="696"/>
      <c r="G51" s="696"/>
      <c r="H51" s="696"/>
      <c r="I51" s="696"/>
      <c r="J51" s="696"/>
      <c r="K51" s="696"/>
      <c r="L51" s="696"/>
    </row>
    <row r="52" spans="3:12">
      <c r="C52" s="696"/>
      <c r="D52" s="696"/>
      <c r="E52" s="696"/>
      <c r="F52" s="696"/>
      <c r="G52" s="696"/>
      <c r="H52" s="696"/>
      <c r="I52" s="696"/>
      <c r="J52" s="696"/>
      <c r="K52" s="696"/>
      <c r="L52" s="696"/>
    </row>
    <row r="53" spans="3:12">
      <c r="C53" s="696"/>
      <c r="D53" s="696"/>
      <c r="E53" s="696"/>
      <c r="F53" s="696"/>
      <c r="G53" s="696"/>
      <c r="H53" s="696"/>
      <c r="I53" s="696"/>
      <c r="J53" s="696"/>
      <c r="K53" s="696"/>
      <c r="L53" s="696"/>
    </row>
    <row r="54" spans="3:12">
      <c r="C54" s="696"/>
      <c r="D54" s="696"/>
      <c r="E54" s="696"/>
      <c r="F54" s="696"/>
      <c r="G54" s="696"/>
      <c r="H54" s="696"/>
      <c r="I54" s="696"/>
      <c r="J54" s="696"/>
      <c r="K54" s="696"/>
      <c r="L54" s="696"/>
    </row>
    <row r="55" spans="3:12">
      <c r="C55" s="696"/>
      <c r="D55" s="696"/>
      <c r="E55" s="696"/>
      <c r="F55" s="696"/>
      <c r="G55" s="696"/>
      <c r="H55" s="696"/>
      <c r="I55" s="696"/>
      <c r="J55" s="696"/>
      <c r="K55" s="696"/>
      <c r="L55" s="696"/>
    </row>
    <row r="56" spans="3:12">
      <c r="C56" s="696"/>
      <c r="D56" s="696"/>
      <c r="E56" s="696"/>
      <c r="F56" s="696"/>
      <c r="G56" s="696"/>
      <c r="H56" s="696"/>
      <c r="I56" s="696"/>
      <c r="J56" s="696"/>
      <c r="K56" s="696"/>
      <c r="L56" s="696"/>
    </row>
    <row r="57" spans="3:12">
      <c r="C57" s="696"/>
      <c r="D57" s="696"/>
      <c r="E57" s="696"/>
      <c r="F57" s="696"/>
      <c r="G57" s="696"/>
      <c r="H57" s="696"/>
      <c r="I57" s="696"/>
      <c r="J57" s="696"/>
      <c r="K57" s="696"/>
      <c r="L57" s="696"/>
    </row>
    <row r="58" spans="3:12">
      <c r="C58" s="696"/>
      <c r="D58" s="696"/>
      <c r="E58" s="696"/>
      <c r="F58" s="696"/>
      <c r="G58" s="696"/>
      <c r="H58" s="696"/>
      <c r="I58" s="696"/>
      <c r="J58" s="696"/>
      <c r="K58" s="696"/>
      <c r="L58" s="696"/>
    </row>
    <row r="59" spans="3:12">
      <c r="C59" s="696"/>
      <c r="D59" s="696"/>
      <c r="E59" s="696"/>
      <c r="F59" s="696"/>
      <c r="G59" s="696"/>
      <c r="H59" s="696"/>
      <c r="I59" s="696"/>
      <c r="J59" s="696"/>
      <c r="K59" s="696"/>
      <c r="L59" s="696"/>
    </row>
    <row r="60" spans="3:12">
      <c r="C60" s="696"/>
      <c r="D60" s="696"/>
      <c r="E60" s="696"/>
      <c r="F60" s="696"/>
      <c r="G60" s="696"/>
      <c r="H60" s="696"/>
      <c r="I60" s="696"/>
      <c r="J60" s="696"/>
      <c r="K60" s="696"/>
      <c r="L60" s="696"/>
    </row>
    <row r="61" spans="3:12">
      <c r="C61" s="696"/>
      <c r="D61" s="696"/>
      <c r="E61" s="696"/>
      <c r="F61" s="696"/>
      <c r="G61" s="696"/>
      <c r="H61" s="696"/>
      <c r="I61" s="696"/>
      <c r="J61" s="696"/>
      <c r="K61" s="696"/>
      <c r="L61" s="696"/>
    </row>
    <row r="62" spans="3:12">
      <c r="C62" s="696"/>
      <c r="D62" s="696"/>
      <c r="E62" s="696"/>
      <c r="F62" s="696"/>
      <c r="G62" s="696"/>
      <c r="H62" s="696"/>
      <c r="I62" s="696"/>
      <c r="J62" s="696"/>
      <c r="K62" s="696"/>
      <c r="L62" s="696"/>
    </row>
    <row r="63" spans="3:12">
      <c r="C63" s="696"/>
      <c r="D63" s="696"/>
      <c r="E63" s="696"/>
      <c r="F63" s="696"/>
      <c r="G63" s="696"/>
      <c r="H63" s="696"/>
      <c r="I63" s="696"/>
      <c r="J63" s="696"/>
      <c r="K63" s="696"/>
      <c r="L63" s="696"/>
    </row>
    <row r="64" spans="3:12">
      <c r="C64" s="696"/>
      <c r="D64" s="696"/>
      <c r="E64" s="696"/>
      <c r="F64" s="696"/>
      <c r="G64" s="696"/>
      <c r="H64" s="696"/>
      <c r="I64" s="696"/>
      <c r="J64" s="696"/>
      <c r="K64" s="696"/>
      <c r="L64" s="696"/>
    </row>
    <row r="65" spans="3:12">
      <c r="C65" s="696"/>
      <c r="D65" s="696"/>
      <c r="E65" s="696"/>
      <c r="F65" s="696"/>
      <c r="G65" s="696"/>
      <c r="H65" s="696"/>
      <c r="I65" s="696"/>
      <c r="J65" s="696"/>
      <c r="K65" s="696"/>
      <c r="L65" s="696"/>
    </row>
    <row r="66" spans="3:12">
      <c r="C66" s="696"/>
      <c r="D66" s="696"/>
      <c r="E66" s="696"/>
      <c r="F66" s="696"/>
      <c r="G66" s="696"/>
      <c r="H66" s="696"/>
      <c r="I66" s="696"/>
      <c r="J66" s="696"/>
      <c r="K66" s="696"/>
      <c r="L66" s="696"/>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24"/>
  <sheetViews>
    <sheetView showGridLines="0" zoomScale="80" zoomScaleNormal="80" workbookViewId="0"/>
  </sheetViews>
  <sheetFormatPr defaultColWidth="8.85546875" defaultRowHeight="12"/>
  <cols>
    <col min="1" max="1" width="11.85546875" style="399" bestFit="1" customWidth="1"/>
    <col min="2" max="2" width="68.85546875" style="399" customWidth="1"/>
    <col min="3" max="11" width="28.140625" style="399" customWidth="1"/>
    <col min="12" max="16384" width="8.85546875" style="399"/>
  </cols>
  <sheetData>
    <row r="1" spans="1:11" s="347" customFormat="1" ht="13.5">
      <c r="A1" s="268" t="s">
        <v>30</v>
      </c>
      <c r="B1" s="334" t="str">
        <f>'Info '!C2</f>
        <v>JSC Cartu Bank</v>
      </c>
    </row>
    <row r="2" spans="1:11" s="347" customFormat="1" ht="12.75">
      <c r="A2" s="268" t="s">
        <v>31</v>
      </c>
      <c r="B2" s="534">
        <f>'1. key ratios '!B2</f>
        <v>45747</v>
      </c>
    </row>
    <row r="3" spans="1:11" s="347" customFormat="1" ht="12.75">
      <c r="A3" s="269" t="s">
        <v>468</v>
      </c>
    </row>
    <row r="4" spans="1:11">
      <c r="C4" s="402" t="s">
        <v>662</v>
      </c>
      <c r="D4" s="402" t="s">
        <v>661</v>
      </c>
      <c r="E4" s="402" t="s">
        <v>660</v>
      </c>
      <c r="F4" s="402" t="s">
        <v>659</v>
      </c>
      <c r="G4" s="402" t="s">
        <v>658</v>
      </c>
      <c r="H4" s="402" t="s">
        <v>657</v>
      </c>
      <c r="I4" s="402" t="s">
        <v>656</v>
      </c>
      <c r="J4" s="402" t="s">
        <v>655</v>
      </c>
      <c r="K4" s="402" t="s">
        <v>654</v>
      </c>
    </row>
    <row r="5" spans="1:11" ht="104.1" customHeight="1">
      <c r="A5" s="825" t="s">
        <v>653</v>
      </c>
      <c r="B5" s="826"/>
      <c r="C5" s="401" t="s">
        <v>469</v>
      </c>
      <c r="D5" s="401" t="s">
        <v>470</v>
      </c>
      <c r="E5" s="401" t="s">
        <v>471</v>
      </c>
      <c r="F5" s="401" t="s">
        <v>472</v>
      </c>
      <c r="G5" s="401" t="s">
        <v>473</v>
      </c>
      <c r="H5" s="401" t="s">
        <v>474</v>
      </c>
      <c r="I5" s="401" t="s">
        <v>475</v>
      </c>
      <c r="J5" s="401" t="s">
        <v>476</v>
      </c>
      <c r="K5" s="401" t="s">
        <v>477</v>
      </c>
    </row>
    <row r="6" spans="1:11" ht="12.75">
      <c r="A6" s="336">
        <v>1</v>
      </c>
      <c r="B6" s="336" t="s">
        <v>437</v>
      </c>
      <c r="C6" s="668">
        <v>63531644.436276622</v>
      </c>
      <c r="D6" s="668">
        <v>4832491.1800000006</v>
      </c>
      <c r="E6" s="668">
        <v>0</v>
      </c>
      <c r="F6" s="668">
        <v>0</v>
      </c>
      <c r="G6" s="668">
        <v>821230213.59130907</v>
      </c>
      <c r="H6" s="668">
        <v>4518265.3355072392</v>
      </c>
      <c r="I6" s="668">
        <v>112935116.34159304</v>
      </c>
      <c r="J6" s="668">
        <v>12064747.610327259</v>
      </c>
      <c r="K6" s="668">
        <v>77114603.901738226</v>
      </c>
    </row>
    <row r="7" spans="1:11" ht="12.75">
      <c r="A7" s="336">
        <v>2</v>
      </c>
      <c r="B7" s="336" t="s">
        <v>478</v>
      </c>
      <c r="C7" s="668">
        <v>0</v>
      </c>
      <c r="D7" s="668">
        <v>0</v>
      </c>
      <c r="E7" s="668">
        <v>0</v>
      </c>
      <c r="F7" s="668">
        <v>0</v>
      </c>
      <c r="G7" s="668">
        <v>5000000</v>
      </c>
      <c r="H7" s="668">
        <v>152473.13999999966</v>
      </c>
      <c r="I7" s="668">
        <v>21063927.239999998</v>
      </c>
      <c r="J7" s="668">
        <v>0</v>
      </c>
      <c r="K7" s="668">
        <v>13173711.789999999</v>
      </c>
    </row>
    <row r="8" spans="1:11" ht="12.75">
      <c r="A8" s="336">
        <v>3</v>
      </c>
      <c r="B8" s="336" t="s">
        <v>445</v>
      </c>
      <c r="C8" s="668">
        <v>12541355.224499149</v>
      </c>
      <c r="D8" s="668">
        <v>0</v>
      </c>
      <c r="E8" s="668">
        <v>0</v>
      </c>
      <c r="F8" s="668">
        <v>0</v>
      </c>
      <c r="G8" s="668">
        <v>155715988.85254708</v>
      </c>
      <c r="H8" s="668">
        <v>105578.11107576624</v>
      </c>
      <c r="I8" s="668">
        <v>12538269.47936506</v>
      </c>
      <c r="J8" s="668">
        <v>14473762.708581351</v>
      </c>
      <c r="K8" s="668">
        <v>8210340.5384316379</v>
      </c>
    </row>
    <row r="9" spans="1:11" ht="12.75">
      <c r="A9" s="336">
        <v>4</v>
      </c>
      <c r="B9" s="356" t="s">
        <v>479</v>
      </c>
      <c r="C9" s="668">
        <v>13697089.333456906</v>
      </c>
      <c r="D9" s="668">
        <v>313842.15000000002</v>
      </c>
      <c r="E9" s="668">
        <v>0</v>
      </c>
      <c r="F9" s="668">
        <v>0</v>
      </c>
      <c r="G9" s="668">
        <v>85052703.553139284</v>
      </c>
      <c r="H9" s="668">
        <v>3123843.4465830056</v>
      </c>
      <c r="I9" s="668">
        <v>2622883.8628952857</v>
      </c>
      <c r="J9" s="668">
        <v>4159092.2667350885</v>
      </c>
      <c r="K9" s="668">
        <v>16600920.972219268</v>
      </c>
    </row>
    <row r="10" spans="1:11" ht="12.75">
      <c r="A10" s="336">
        <v>5</v>
      </c>
      <c r="B10" s="356" t="s">
        <v>480</v>
      </c>
      <c r="C10" s="668">
        <v>0</v>
      </c>
      <c r="D10" s="668">
        <v>0</v>
      </c>
      <c r="E10" s="668">
        <v>0</v>
      </c>
      <c r="F10" s="668">
        <v>0</v>
      </c>
      <c r="G10" s="668">
        <v>0</v>
      </c>
      <c r="H10" s="668">
        <v>0</v>
      </c>
      <c r="I10" s="668">
        <v>0</v>
      </c>
      <c r="J10" s="668">
        <v>0</v>
      </c>
      <c r="K10" s="668">
        <v>0</v>
      </c>
    </row>
    <row r="11" spans="1:11" ht="12.75">
      <c r="A11" s="336">
        <v>6</v>
      </c>
      <c r="B11" s="356" t="s">
        <v>481</v>
      </c>
      <c r="C11" s="668">
        <v>0</v>
      </c>
      <c r="D11" s="668">
        <v>0</v>
      </c>
      <c r="E11" s="668">
        <v>0</v>
      </c>
      <c r="F11" s="668">
        <v>0</v>
      </c>
      <c r="G11" s="668">
        <v>2861727.98</v>
      </c>
      <c r="H11" s="668">
        <v>0</v>
      </c>
      <c r="I11" s="668">
        <v>0</v>
      </c>
      <c r="J11" s="668">
        <v>0</v>
      </c>
      <c r="K11" s="668">
        <v>502.15</v>
      </c>
    </row>
    <row r="13" spans="1:11" ht="15">
      <c r="B13" s="400"/>
    </row>
    <row r="14" spans="1:11">
      <c r="C14" s="697"/>
      <c r="D14" s="697"/>
      <c r="E14" s="697"/>
      <c r="F14" s="697"/>
      <c r="G14" s="697"/>
      <c r="H14" s="697"/>
      <c r="I14" s="697"/>
      <c r="J14" s="697"/>
      <c r="K14" s="697"/>
    </row>
    <row r="15" spans="1:11">
      <c r="C15" s="697"/>
      <c r="D15" s="697"/>
      <c r="E15" s="697"/>
      <c r="F15" s="697"/>
      <c r="G15" s="697"/>
      <c r="H15" s="697"/>
      <c r="I15" s="697"/>
      <c r="J15" s="697"/>
      <c r="K15" s="697"/>
    </row>
    <row r="16" spans="1:11">
      <c r="C16" s="697"/>
      <c r="D16" s="697"/>
      <c r="E16" s="697"/>
      <c r="F16" s="697"/>
      <c r="G16" s="697"/>
      <c r="H16" s="697"/>
      <c r="I16" s="697"/>
      <c r="J16" s="697"/>
      <c r="K16" s="697"/>
    </row>
    <row r="17" spans="3:11">
      <c r="C17" s="697"/>
      <c r="D17" s="697"/>
      <c r="E17" s="697"/>
      <c r="F17" s="697"/>
      <c r="G17" s="697"/>
      <c r="H17" s="697"/>
      <c r="I17" s="697"/>
      <c r="J17" s="697"/>
      <c r="K17" s="697"/>
    </row>
    <row r="18" spans="3:11">
      <c r="C18" s="697"/>
      <c r="D18" s="697"/>
      <c r="E18" s="697"/>
      <c r="F18" s="697"/>
      <c r="G18" s="697"/>
      <c r="H18" s="697"/>
      <c r="I18" s="697"/>
      <c r="J18" s="697"/>
      <c r="K18" s="697"/>
    </row>
    <row r="19" spans="3:11">
      <c r="C19" s="697"/>
      <c r="D19" s="697"/>
      <c r="E19" s="697"/>
      <c r="F19" s="697"/>
      <c r="G19" s="697"/>
      <c r="H19" s="697"/>
      <c r="I19" s="697"/>
      <c r="J19" s="697"/>
      <c r="K19" s="697"/>
    </row>
    <row r="20" spans="3:11">
      <c r="C20" s="697"/>
      <c r="D20" s="697"/>
      <c r="E20" s="697"/>
      <c r="F20" s="697"/>
      <c r="G20" s="697"/>
      <c r="H20" s="697"/>
      <c r="I20" s="697"/>
      <c r="J20" s="697"/>
      <c r="K20" s="697"/>
    </row>
    <row r="21" spans="3:11">
      <c r="C21" s="697"/>
    </row>
    <row r="22" spans="3:11">
      <c r="C22" s="697"/>
    </row>
    <row r="23" spans="3:11">
      <c r="C23" s="697"/>
    </row>
    <row r="24" spans="3:11">
      <c r="C24" s="697"/>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38"/>
  <sheetViews>
    <sheetView showGridLines="0" zoomScale="80" zoomScaleNormal="80" workbookViewId="0"/>
  </sheetViews>
  <sheetFormatPr defaultColWidth="8.85546875" defaultRowHeight="15"/>
  <cols>
    <col min="1" max="1" width="10" style="403" bestFit="1" customWidth="1"/>
    <col min="2" max="2" width="71.85546875" style="403" customWidth="1"/>
    <col min="3" max="3" width="14.42578125" style="403" bestFit="1" customWidth="1"/>
    <col min="4" max="7" width="15.5703125" style="403" customWidth="1"/>
    <col min="8" max="8" width="14.85546875" style="403" bestFit="1" customWidth="1"/>
    <col min="9" max="12" width="17.140625" style="403" customWidth="1"/>
    <col min="13" max="13" width="13.140625" style="403" bestFit="1" customWidth="1"/>
    <col min="14" max="17" width="16.140625" style="403" customWidth="1"/>
    <col min="18" max="18" width="12.28515625" style="403" bestFit="1" customWidth="1"/>
    <col min="19" max="19" width="47" style="403" bestFit="1" customWidth="1"/>
    <col min="20" max="20" width="43.5703125" style="403" bestFit="1" customWidth="1"/>
    <col min="21" max="21" width="46" style="403" bestFit="1" customWidth="1"/>
    <col min="22" max="22" width="43.5703125" style="403" bestFit="1" customWidth="1"/>
    <col min="23" max="16384" width="8.85546875" style="403"/>
  </cols>
  <sheetData>
    <row r="1" spans="1:22">
      <c r="A1" s="268" t="s">
        <v>30</v>
      </c>
      <c r="B1" s="334" t="str">
        <f>'Info '!C2</f>
        <v>JSC Cartu Bank</v>
      </c>
    </row>
    <row r="2" spans="1:22">
      <c r="A2" s="268" t="s">
        <v>31</v>
      </c>
      <c r="B2" s="534">
        <f>'1. key ratios '!B2</f>
        <v>45747</v>
      </c>
    </row>
    <row r="3" spans="1:22">
      <c r="A3" s="269" t="s">
        <v>496</v>
      </c>
      <c r="B3" s="347"/>
    </row>
    <row r="4" spans="1:22">
      <c r="A4" s="269"/>
      <c r="B4" s="347"/>
    </row>
    <row r="5" spans="1:22" ht="24" customHeight="1">
      <c r="A5" s="827" t="s">
        <v>497</v>
      </c>
      <c r="B5" s="828"/>
      <c r="C5" s="832" t="s">
        <v>663</v>
      </c>
      <c r="D5" s="832"/>
      <c r="E5" s="832"/>
      <c r="F5" s="832"/>
      <c r="G5" s="832"/>
      <c r="H5" s="832" t="s">
        <v>515</v>
      </c>
      <c r="I5" s="832"/>
      <c r="J5" s="832"/>
      <c r="K5" s="832"/>
      <c r="L5" s="832"/>
      <c r="M5" s="832" t="s">
        <v>627</v>
      </c>
      <c r="N5" s="832"/>
      <c r="O5" s="832"/>
      <c r="P5" s="832"/>
      <c r="Q5" s="832"/>
      <c r="R5" s="831" t="s">
        <v>498</v>
      </c>
      <c r="S5" s="831" t="s">
        <v>512</v>
      </c>
      <c r="T5" s="831" t="s">
        <v>513</v>
      </c>
      <c r="U5" s="831" t="s">
        <v>672</v>
      </c>
      <c r="V5" s="831" t="s">
        <v>673</v>
      </c>
    </row>
    <row r="6" spans="1:22" ht="36" customHeight="1">
      <c r="A6" s="829"/>
      <c r="B6" s="830"/>
      <c r="C6" s="412"/>
      <c r="D6" s="345" t="s">
        <v>648</v>
      </c>
      <c r="E6" s="345" t="s">
        <v>647</v>
      </c>
      <c r="F6" s="345" t="s">
        <v>646</v>
      </c>
      <c r="G6" s="345" t="s">
        <v>645</v>
      </c>
      <c r="H6" s="412"/>
      <c r="I6" s="345" t="s">
        <v>648</v>
      </c>
      <c r="J6" s="345" t="s">
        <v>647</v>
      </c>
      <c r="K6" s="345" t="s">
        <v>646</v>
      </c>
      <c r="L6" s="345" t="s">
        <v>645</v>
      </c>
      <c r="M6" s="412"/>
      <c r="N6" s="345" t="s">
        <v>648</v>
      </c>
      <c r="O6" s="345" t="s">
        <v>647</v>
      </c>
      <c r="P6" s="345" t="s">
        <v>646</v>
      </c>
      <c r="Q6" s="345" t="s">
        <v>645</v>
      </c>
      <c r="R6" s="831"/>
      <c r="S6" s="831"/>
      <c r="T6" s="831"/>
      <c r="U6" s="831"/>
      <c r="V6" s="831"/>
    </row>
    <row r="7" spans="1:22">
      <c r="A7" s="407">
        <v>1</v>
      </c>
      <c r="B7" s="411" t="s">
        <v>506</v>
      </c>
      <c r="C7" s="698">
        <v>215343.44</v>
      </c>
      <c r="D7" s="698">
        <v>206506.28</v>
      </c>
      <c r="E7" s="698">
        <v>756.16</v>
      </c>
      <c r="F7" s="698">
        <v>8081</v>
      </c>
      <c r="G7" s="698">
        <v>0</v>
      </c>
      <c r="H7" s="698">
        <v>217245.78280706709</v>
      </c>
      <c r="I7" s="698">
        <v>208273.28829437451</v>
      </c>
      <c r="J7" s="698">
        <v>762.9</v>
      </c>
      <c r="K7" s="698">
        <v>8209.5945126925853</v>
      </c>
      <c r="L7" s="698">
        <v>0</v>
      </c>
      <c r="M7" s="698">
        <v>144.36235259038631</v>
      </c>
      <c r="N7" s="698">
        <v>102.0250487969755</v>
      </c>
      <c r="O7" s="698">
        <v>1.2893312299478792</v>
      </c>
      <c r="P7" s="698">
        <v>41.047972563462928</v>
      </c>
      <c r="Q7" s="698">
        <v>0</v>
      </c>
      <c r="R7" s="698">
        <v>6</v>
      </c>
      <c r="S7" s="701">
        <v>0</v>
      </c>
      <c r="T7" s="701">
        <v>0</v>
      </c>
      <c r="U7" s="702">
        <v>0.11995803923258587</v>
      </c>
      <c r="V7" s="698">
        <v>28.495514473728413</v>
      </c>
    </row>
    <row r="8" spans="1:22">
      <c r="A8" s="407">
        <v>2</v>
      </c>
      <c r="B8" s="410" t="s">
        <v>505</v>
      </c>
      <c r="C8" s="698">
        <v>11246042.430000005</v>
      </c>
      <c r="D8" s="698">
        <v>8867893.0200000051</v>
      </c>
      <c r="E8" s="698">
        <v>532958.98</v>
      </c>
      <c r="F8" s="698">
        <v>1845190.43</v>
      </c>
      <c r="G8" s="698">
        <v>0</v>
      </c>
      <c r="H8" s="698">
        <v>11397168.648341384</v>
      </c>
      <c r="I8" s="698">
        <v>9003920.5053055175</v>
      </c>
      <c r="J8" s="698">
        <v>535490.77407340333</v>
      </c>
      <c r="K8" s="698">
        <v>1857757.3689624688</v>
      </c>
      <c r="L8" s="698">
        <v>0</v>
      </c>
      <c r="M8" s="698">
        <v>313279.06667764124</v>
      </c>
      <c r="N8" s="698">
        <v>96588.821984568582</v>
      </c>
      <c r="O8" s="698">
        <v>1158.0010622492746</v>
      </c>
      <c r="P8" s="698">
        <v>215532.24363082324</v>
      </c>
      <c r="Q8" s="698">
        <v>0</v>
      </c>
      <c r="R8" s="698">
        <v>88</v>
      </c>
      <c r="S8" s="701">
        <v>6.2675013122807419E-2</v>
      </c>
      <c r="T8" s="701">
        <v>6.504048917975927E-2</v>
      </c>
      <c r="U8" s="702">
        <v>7.7617401343354153E-2</v>
      </c>
      <c r="V8" s="698">
        <v>31.132654596379997</v>
      </c>
    </row>
    <row r="9" spans="1:22">
      <c r="A9" s="407">
        <v>3</v>
      </c>
      <c r="B9" s="410" t="s">
        <v>504</v>
      </c>
      <c r="C9" s="698">
        <v>0</v>
      </c>
      <c r="D9" s="698">
        <v>0</v>
      </c>
      <c r="E9" s="698">
        <v>0</v>
      </c>
      <c r="F9" s="698">
        <v>0</v>
      </c>
      <c r="G9" s="698">
        <v>0</v>
      </c>
      <c r="H9" s="698">
        <v>0</v>
      </c>
      <c r="I9" s="698">
        <v>0</v>
      </c>
      <c r="J9" s="698">
        <v>0</v>
      </c>
      <c r="K9" s="698">
        <v>0</v>
      </c>
      <c r="L9" s="698">
        <v>0</v>
      </c>
      <c r="M9" s="698">
        <v>0</v>
      </c>
      <c r="N9" s="698">
        <v>0</v>
      </c>
      <c r="O9" s="698">
        <v>0</v>
      </c>
      <c r="P9" s="698">
        <v>0</v>
      </c>
      <c r="Q9" s="698">
        <v>0</v>
      </c>
      <c r="R9" s="698">
        <v>0</v>
      </c>
      <c r="S9" s="701">
        <v>0</v>
      </c>
      <c r="T9" s="701">
        <v>0</v>
      </c>
      <c r="U9" s="702">
        <v>0</v>
      </c>
      <c r="V9" s="698">
        <v>0</v>
      </c>
    </row>
    <row r="10" spans="1:22">
      <c r="A10" s="407">
        <v>4</v>
      </c>
      <c r="B10" s="410" t="s">
        <v>503</v>
      </c>
      <c r="C10" s="698">
        <v>0</v>
      </c>
      <c r="D10" s="698">
        <v>0</v>
      </c>
      <c r="E10" s="698">
        <v>0</v>
      </c>
      <c r="F10" s="698">
        <v>0</v>
      </c>
      <c r="G10" s="698">
        <v>0</v>
      </c>
      <c r="H10" s="698">
        <v>0</v>
      </c>
      <c r="I10" s="698">
        <v>0</v>
      </c>
      <c r="J10" s="698">
        <v>0</v>
      </c>
      <c r="K10" s="698">
        <v>0</v>
      </c>
      <c r="L10" s="698">
        <v>0</v>
      </c>
      <c r="M10" s="698">
        <v>0</v>
      </c>
      <c r="N10" s="698">
        <v>0</v>
      </c>
      <c r="O10" s="698">
        <v>0</v>
      </c>
      <c r="P10" s="698">
        <v>0</v>
      </c>
      <c r="Q10" s="698">
        <v>0</v>
      </c>
      <c r="R10" s="698">
        <v>0</v>
      </c>
      <c r="S10" s="701">
        <v>0</v>
      </c>
      <c r="T10" s="701">
        <v>0</v>
      </c>
      <c r="U10" s="702">
        <v>0</v>
      </c>
      <c r="V10" s="698">
        <v>0</v>
      </c>
    </row>
    <row r="11" spans="1:22">
      <c r="A11" s="407">
        <v>5</v>
      </c>
      <c r="B11" s="410" t="s">
        <v>502</v>
      </c>
      <c r="C11" s="698">
        <v>644771.56529999967</v>
      </c>
      <c r="D11" s="698">
        <v>617848.99529999983</v>
      </c>
      <c r="E11" s="698">
        <v>17129.670000000002</v>
      </c>
      <c r="F11" s="698">
        <v>9792.9</v>
      </c>
      <c r="G11" s="698">
        <v>0</v>
      </c>
      <c r="H11" s="698">
        <v>710137.8248309996</v>
      </c>
      <c r="I11" s="698">
        <v>641000.98483099951</v>
      </c>
      <c r="J11" s="698">
        <v>17461.670000000002</v>
      </c>
      <c r="K11" s="698">
        <v>51675.17</v>
      </c>
      <c r="L11" s="698">
        <v>0</v>
      </c>
      <c r="M11" s="698">
        <v>41870.129523745098</v>
      </c>
      <c r="N11" s="698">
        <v>12833.467523745061</v>
      </c>
      <c r="O11" s="698">
        <v>1746.1670000000001</v>
      </c>
      <c r="P11" s="698">
        <v>27290.495000000003</v>
      </c>
      <c r="Q11" s="698">
        <v>0</v>
      </c>
      <c r="R11" s="698">
        <v>160</v>
      </c>
      <c r="S11" s="701">
        <v>0.11991641176313014</v>
      </c>
      <c r="T11" s="701">
        <v>0.12674869407583711</v>
      </c>
      <c r="U11" s="702">
        <v>0.11516502914245369</v>
      </c>
      <c r="V11" s="698">
        <v>8.7581440513600075</v>
      </c>
    </row>
    <row r="12" spans="1:22">
      <c r="A12" s="407">
        <v>6</v>
      </c>
      <c r="B12" s="410" t="s">
        <v>501</v>
      </c>
      <c r="C12" s="698">
        <v>274067.18299999979</v>
      </c>
      <c r="D12" s="698">
        <v>173681.48209999999</v>
      </c>
      <c r="E12" s="698">
        <v>0</v>
      </c>
      <c r="F12" s="698">
        <v>100385.70089999995</v>
      </c>
      <c r="G12" s="698">
        <v>0</v>
      </c>
      <c r="H12" s="698">
        <v>280511.9300689997</v>
      </c>
      <c r="I12" s="698">
        <v>180126.229169</v>
      </c>
      <c r="J12" s="698">
        <v>0</v>
      </c>
      <c r="K12" s="698">
        <v>100385.70089999995</v>
      </c>
      <c r="L12" s="698">
        <v>0</v>
      </c>
      <c r="M12" s="698">
        <v>103988.22548337994</v>
      </c>
      <c r="N12" s="698">
        <v>3602.5245833800004</v>
      </c>
      <c r="O12" s="698">
        <v>0</v>
      </c>
      <c r="P12" s="698">
        <v>100385.70089999995</v>
      </c>
      <c r="Q12" s="698">
        <v>0</v>
      </c>
      <c r="R12" s="698">
        <v>1521</v>
      </c>
      <c r="S12" s="701">
        <v>0.121596839931503</v>
      </c>
      <c r="T12" s="701">
        <v>0.12862729952863811</v>
      </c>
      <c r="U12" s="702">
        <v>0.11682886103146629</v>
      </c>
      <c r="V12" s="698">
        <v>10.151573752053501</v>
      </c>
    </row>
    <row r="13" spans="1:22">
      <c r="A13" s="407">
        <v>7</v>
      </c>
      <c r="B13" s="410" t="s">
        <v>500</v>
      </c>
      <c r="C13" s="698">
        <v>28770990.102000002</v>
      </c>
      <c r="D13" s="698">
        <v>26424280.539999995</v>
      </c>
      <c r="E13" s="698">
        <v>1644115.9619999998</v>
      </c>
      <c r="F13" s="698">
        <v>702593.6</v>
      </c>
      <c r="G13" s="698">
        <v>0</v>
      </c>
      <c r="H13" s="698">
        <v>28926274.365903072</v>
      </c>
      <c r="I13" s="698">
        <v>26514545.87866275</v>
      </c>
      <c r="J13" s="698">
        <v>1647317.7169083213</v>
      </c>
      <c r="K13" s="698">
        <v>764410.77033199987</v>
      </c>
      <c r="L13" s="698">
        <v>0</v>
      </c>
      <c r="M13" s="698">
        <v>895517.9781557325</v>
      </c>
      <c r="N13" s="698">
        <v>841424.16516437125</v>
      </c>
      <c r="O13" s="698">
        <v>11390.736404451054</v>
      </c>
      <c r="P13" s="698">
        <v>42703.076586910145</v>
      </c>
      <c r="Q13" s="698">
        <v>0</v>
      </c>
      <c r="R13" s="698">
        <v>124</v>
      </c>
      <c r="S13" s="701">
        <v>6.5429976619364838E-2</v>
      </c>
      <c r="T13" s="701">
        <v>6.761671988716271E-2</v>
      </c>
      <c r="U13" s="702">
        <v>8.4165471572167805E-2</v>
      </c>
      <c r="V13" s="698">
        <v>103.66902141701497</v>
      </c>
    </row>
    <row r="14" spans="1:22">
      <c r="A14" s="405">
        <v>7.1</v>
      </c>
      <c r="B14" s="404" t="s">
        <v>509</v>
      </c>
      <c r="C14" s="698">
        <v>26020218.102000002</v>
      </c>
      <c r="D14" s="698">
        <v>23920149.449999999</v>
      </c>
      <c r="E14" s="698">
        <v>1482763.4319999996</v>
      </c>
      <c r="F14" s="698">
        <v>617305.22</v>
      </c>
      <c r="G14" s="698">
        <v>0</v>
      </c>
      <c r="H14" s="698">
        <v>26161476.450085178</v>
      </c>
      <c r="I14" s="698">
        <v>23997174.466924686</v>
      </c>
      <c r="J14" s="698">
        <v>1485781.2315214905</v>
      </c>
      <c r="K14" s="698">
        <v>678520.75163900002</v>
      </c>
      <c r="L14" s="698">
        <v>0</v>
      </c>
      <c r="M14" s="698">
        <v>892192.01060971187</v>
      </c>
      <c r="N14" s="698">
        <v>841039.22923439997</v>
      </c>
      <c r="O14" s="698">
        <v>11076.642346715014</v>
      </c>
      <c r="P14" s="698">
        <v>40076.139028596735</v>
      </c>
      <c r="Q14" s="698">
        <v>0</v>
      </c>
      <c r="R14" s="698">
        <v>79</v>
      </c>
      <c r="S14" s="701">
        <v>6.3287713731060666E-2</v>
      </c>
      <c r="T14" s="701">
        <v>6.5304873566662439E-2</v>
      </c>
      <c r="U14" s="702">
        <v>8.2763372190199788E-2</v>
      </c>
      <c r="V14" s="698">
        <v>105.65329488542216</v>
      </c>
    </row>
    <row r="15" spans="1:22">
      <c r="A15" s="405">
        <v>7.2</v>
      </c>
      <c r="B15" s="404" t="s">
        <v>511</v>
      </c>
      <c r="C15" s="698">
        <v>2171947.2799999998</v>
      </c>
      <c r="D15" s="698">
        <v>1944236.73</v>
      </c>
      <c r="E15" s="698">
        <v>142422.17000000001</v>
      </c>
      <c r="F15" s="698">
        <v>85288.38</v>
      </c>
      <c r="G15" s="698">
        <v>0</v>
      </c>
      <c r="H15" s="698">
        <v>2183042.128461061</v>
      </c>
      <c r="I15" s="698">
        <v>1954588.9544750673</v>
      </c>
      <c r="J15" s="698">
        <v>142563.15529299423</v>
      </c>
      <c r="K15" s="698">
        <v>85890.018693000005</v>
      </c>
      <c r="L15" s="698">
        <v>0</v>
      </c>
      <c r="M15" s="698">
        <v>3120.7420140860459</v>
      </c>
      <c r="N15" s="698">
        <v>213.82956931952577</v>
      </c>
      <c r="O15" s="698">
        <v>279.97488645310511</v>
      </c>
      <c r="P15" s="698">
        <v>2626.9375583134156</v>
      </c>
      <c r="Q15" s="698">
        <v>0</v>
      </c>
      <c r="R15" s="698">
        <v>24</v>
      </c>
      <c r="S15" s="701">
        <v>7.4700000000000003E-2</v>
      </c>
      <c r="T15" s="701">
        <v>7.7311360985646838E-2</v>
      </c>
      <c r="U15" s="702">
        <v>9.3374360857874983E-2</v>
      </c>
      <c r="V15" s="698">
        <v>84.33316738251888</v>
      </c>
    </row>
    <row r="16" spans="1:22">
      <c r="A16" s="405">
        <v>7.3</v>
      </c>
      <c r="B16" s="404" t="s">
        <v>508</v>
      </c>
      <c r="C16" s="698">
        <v>578824.72</v>
      </c>
      <c r="D16" s="698">
        <v>559894.36</v>
      </c>
      <c r="E16" s="698">
        <v>18930.36</v>
      </c>
      <c r="F16" s="698">
        <v>0</v>
      </c>
      <c r="G16" s="698">
        <v>0</v>
      </c>
      <c r="H16" s="698">
        <v>581755.78735682764</v>
      </c>
      <c r="I16" s="698">
        <v>562782.45726299111</v>
      </c>
      <c r="J16" s="698">
        <v>18973.330093836525</v>
      </c>
      <c r="K16" s="698">
        <v>0</v>
      </c>
      <c r="L16" s="698">
        <v>0</v>
      </c>
      <c r="M16" s="698">
        <v>205.22553193434885</v>
      </c>
      <c r="N16" s="698">
        <v>171.10636065141338</v>
      </c>
      <c r="O16" s="698">
        <v>34.119171282935461</v>
      </c>
      <c r="P16" s="698">
        <v>0</v>
      </c>
      <c r="Q16" s="698">
        <v>0</v>
      </c>
      <c r="R16" s="698">
        <v>21</v>
      </c>
      <c r="S16" s="701">
        <v>0.11982597037180384</v>
      </c>
      <c r="T16" s="701">
        <v>0.1266313107222381</v>
      </c>
      <c r="U16" s="702">
        <v>0.11263991143985697</v>
      </c>
      <c r="V16" s="698">
        <v>87.111832761383312</v>
      </c>
    </row>
    <row r="17" spans="1:22">
      <c r="A17" s="407">
        <v>8</v>
      </c>
      <c r="B17" s="410" t="s">
        <v>507</v>
      </c>
      <c r="C17" s="698">
        <v>0</v>
      </c>
      <c r="D17" s="698">
        <v>0</v>
      </c>
      <c r="E17" s="698">
        <v>0</v>
      </c>
      <c r="F17" s="698">
        <v>0</v>
      </c>
      <c r="G17" s="698">
        <v>0</v>
      </c>
      <c r="H17" s="698">
        <v>0</v>
      </c>
      <c r="I17" s="698">
        <v>0</v>
      </c>
      <c r="J17" s="698">
        <v>0</v>
      </c>
      <c r="K17" s="698">
        <v>0</v>
      </c>
      <c r="L17" s="698">
        <v>0</v>
      </c>
      <c r="M17" s="698">
        <v>0</v>
      </c>
      <c r="N17" s="698">
        <v>0</v>
      </c>
      <c r="O17" s="698">
        <v>0</v>
      </c>
      <c r="P17" s="698">
        <v>0</v>
      </c>
      <c r="Q17" s="698">
        <v>0</v>
      </c>
      <c r="R17" s="698">
        <v>0</v>
      </c>
      <c r="S17" s="701">
        <v>0</v>
      </c>
      <c r="T17" s="701">
        <v>0</v>
      </c>
      <c r="U17" s="702">
        <v>0</v>
      </c>
      <c r="V17" s="698">
        <v>0</v>
      </c>
    </row>
    <row r="18" spans="1:22">
      <c r="A18" s="409">
        <v>9</v>
      </c>
      <c r="B18" s="408" t="s">
        <v>499</v>
      </c>
      <c r="C18" s="699">
        <v>0</v>
      </c>
      <c r="D18" s="699">
        <v>0</v>
      </c>
      <c r="E18" s="699">
        <v>0</v>
      </c>
      <c r="F18" s="699">
        <v>0</v>
      </c>
      <c r="G18" s="699">
        <v>0</v>
      </c>
      <c r="H18" s="699">
        <v>0</v>
      </c>
      <c r="I18" s="699">
        <v>0</v>
      </c>
      <c r="J18" s="699">
        <v>0</v>
      </c>
      <c r="K18" s="699">
        <v>0</v>
      </c>
      <c r="L18" s="699">
        <v>0</v>
      </c>
      <c r="M18" s="699">
        <v>0</v>
      </c>
      <c r="N18" s="699">
        <v>0</v>
      </c>
      <c r="O18" s="699">
        <v>0</v>
      </c>
      <c r="P18" s="699">
        <v>0</v>
      </c>
      <c r="Q18" s="699">
        <v>0</v>
      </c>
      <c r="R18" s="699">
        <v>0</v>
      </c>
      <c r="S18" s="703">
        <v>0</v>
      </c>
      <c r="T18" s="703">
        <v>0</v>
      </c>
      <c r="U18" s="704">
        <v>0</v>
      </c>
      <c r="V18" s="699">
        <v>0</v>
      </c>
    </row>
    <row r="19" spans="1:22">
      <c r="A19" s="407">
        <v>10</v>
      </c>
      <c r="B19" s="406" t="s">
        <v>510</v>
      </c>
      <c r="C19" s="698">
        <v>41151214.720300004</v>
      </c>
      <c r="D19" s="698">
        <v>36290210.317400001</v>
      </c>
      <c r="E19" s="698">
        <v>2194960.7719999999</v>
      </c>
      <c r="F19" s="698">
        <v>2666043.6308999998</v>
      </c>
      <c r="G19" s="698">
        <v>0</v>
      </c>
      <c r="H19" s="698">
        <v>41531338.55195152</v>
      </c>
      <c r="I19" s="698">
        <v>36547866.88626264</v>
      </c>
      <c r="J19" s="698">
        <v>2201033.0609817244</v>
      </c>
      <c r="K19" s="698">
        <v>2782438.6047071614</v>
      </c>
      <c r="L19" s="698">
        <v>0</v>
      </c>
      <c r="M19" s="698">
        <v>1354799.7621930891</v>
      </c>
      <c r="N19" s="698">
        <v>954551.00430486188</v>
      </c>
      <c r="O19" s="698">
        <v>14296.193797930277</v>
      </c>
      <c r="P19" s="698">
        <v>385952.56409029674</v>
      </c>
      <c r="Q19" s="698">
        <v>0</v>
      </c>
      <c r="R19" s="698">
        <v>1899</v>
      </c>
      <c r="S19" s="701">
        <v>6.5579961619557481E-2</v>
      </c>
      <c r="T19" s="701">
        <v>6.7982190595238842E-2</v>
      </c>
      <c r="U19" s="702">
        <v>8.3184455529532214E-2</v>
      </c>
      <c r="V19" s="698">
        <v>81.536133272198384</v>
      </c>
    </row>
    <row r="20" spans="1:22" ht="25.5">
      <c r="A20" s="405">
        <v>10.1</v>
      </c>
      <c r="B20" s="404" t="s">
        <v>514</v>
      </c>
      <c r="C20" s="698">
        <v>0</v>
      </c>
      <c r="D20" s="698">
        <v>0</v>
      </c>
      <c r="E20" s="698">
        <v>0</v>
      </c>
      <c r="F20" s="698">
        <v>0</v>
      </c>
      <c r="G20" s="698">
        <v>0</v>
      </c>
      <c r="H20" s="698">
        <v>0</v>
      </c>
      <c r="I20" s="698">
        <v>0</v>
      </c>
      <c r="J20" s="698">
        <v>0</v>
      </c>
      <c r="K20" s="698">
        <v>0</v>
      </c>
      <c r="L20" s="698">
        <v>0</v>
      </c>
      <c r="M20" s="698">
        <v>0</v>
      </c>
      <c r="N20" s="698">
        <v>0</v>
      </c>
      <c r="O20" s="698">
        <v>0</v>
      </c>
      <c r="P20" s="698">
        <v>0</v>
      </c>
      <c r="Q20" s="698">
        <v>0</v>
      </c>
      <c r="R20" s="698">
        <v>0</v>
      </c>
      <c r="S20" s="701">
        <v>0</v>
      </c>
      <c r="T20" s="701">
        <v>0</v>
      </c>
      <c r="U20" s="702">
        <v>0</v>
      </c>
      <c r="V20" s="698">
        <v>0</v>
      </c>
    </row>
    <row r="24" spans="1:22">
      <c r="C24" s="700"/>
      <c r="D24" s="700"/>
      <c r="E24" s="700"/>
      <c r="F24" s="700"/>
      <c r="G24" s="700"/>
      <c r="H24" s="700"/>
      <c r="I24" s="700"/>
      <c r="J24" s="700"/>
      <c r="K24" s="700"/>
      <c r="L24" s="700"/>
      <c r="M24" s="700"/>
      <c r="N24" s="700"/>
      <c r="O24" s="700"/>
      <c r="P24" s="700"/>
      <c r="Q24" s="700"/>
      <c r="R24" s="700"/>
      <c r="S24" s="700"/>
      <c r="T24" s="700"/>
      <c r="U24" s="700"/>
      <c r="V24" s="700"/>
    </row>
    <row r="25" spans="1:22">
      <c r="C25" s="700"/>
      <c r="D25" s="700"/>
      <c r="E25" s="700"/>
      <c r="F25" s="700"/>
      <c r="G25" s="700"/>
      <c r="H25" s="700"/>
      <c r="I25" s="700"/>
      <c r="J25" s="700"/>
      <c r="K25" s="700"/>
      <c r="L25" s="700"/>
      <c r="M25" s="700"/>
      <c r="N25" s="700"/>
      <c r="O25" s="700"/>
      <c r="P25" s="700"/>
      <c r="Q25" s="700"/>
      <c r="R25" s="700"/>
      <c r="S25" s="700"/>
      <c r="T25" s="700"/>
      <c r="U25" s="700"/>
      <c r="V25" s="700"/>
    </row>
    <row r="26" spans="1:22">
      <c r="C26" s="700"/>
      <c r="D26" s="700"/>
      <c r="E26" s="700"/>
      <c r="F26" s="700"/>
      <c r="G26" s="700"/>
      <c r="H26" s="700"/>
      <c r="I26" s="700"/>
      <c r="J26" s="700"/>
      <c r="K26" s="700"/>
      <c r="L26" s="700"/>
      <c r="M26" s="700"/>
      <c r="N26" s="700"/>
      <c r="O26" s="700"/>
      <c r="P26" s="700"/>
      <c r="Q26" s="700"/>
      <c r="R26" s="700"/>
      <c r="S26" s="700"/>
      <c r="T26" s="700"/>
      <c r="U26" s="700"/>
      <c r="V26" s="700"/>
    </row>
    <row r="27" spans="1:22">
      <c r="C27" s="700"/>
      <c r="D27" s="700"/>
      <c r="E27" s="700"/>
      <c r="F27" s="700"/>
      <c r="G27" s="700"/>
      <c r="H27" s="700"/>
      <c r="I27" s="700"/>
      <c r="J27" s="700"/>
      <c r="K27" s="700"/>
      <c r="L27" s="700"/>
      <c r="M27" s="700"/>
      <c r="N27" s="700"/>
      <c r="O27" s="700"/>
      <c r="P27" s="700"/>
      <c r="Q27" s="700"/>
      <c r="R27" s="700"/>
      <c r="S27" s="700"/>
      <c r="T27" s="700"/>
      <c r="U27" s="700"/>
      <c r="V27" s="700"/>
    </row>
    <row r="28" spans="1:22">
      <c r="C28" s="700"/>
      <c r="D28" s="700"/>
      <c r="E28" s="700"/>
      <c r="F28" s="700"/>
      <c r="G28" s="700"/>
      <c r="H28" s="700"/>
      <c r="I28" s="700"/>
      <c r="J28" s="700"/>
      <c r="K28" s="700"/>
      <c r="L28" s="700"/>
      <c r="M28" s="700"/>
      <c r="N28" s="700"/>
      <c r="O28" s="700"/>
      <c r="P28" s="700"/>
      <c r="Q28" s="700"/>
      <c r="R28" s="700"/>
      <c r="S28" s="700"/>
      <c r="T28" s="700"/>
      <c r="U28" s="700"/>
      <c r="V28" s="700"/>
    </row>
    <row r="29" spans="1:22">
      <c r="C29" s="700"/>
      <c r="D29" s="700"/>
      <c r="E29" s="700"/>
      <c r="F29" s="700"/>
      <c r="G29" s="700"/>
      <c r="H29" s="700"/>
      <c r="I29" s="700"/>
      <c r="J29" s="700"/>
      <c r="K29" s="700"/>
      <c r="L29" s="700"/>
      <c r="M29" s="700"/>
      <c r="N29" s="700"/>
      <c r="O29" s="700"/>
      <c r="P29" s="700"/>
      <c r="Q29" s="700"/>
      <c r="R29" s="700"/>
      <c r="S29" s="700"/>
      <c r="T29" s="700"/>
      <c r="U29" s="700"/>
      <c r="V29" s="700"/>
    </row>
    <row r="30" spans="1:22">
      <c r="C30" s="700"/>
      <c r="D30" s="700"/>
      <c r="E30" s="700"/>
      <c r="F30" s="700"/>
      <c r="G30" s="700"/>
      <c r="H30" s="700"/>
      <c r="I30" s="700"/>
      <c r="J30" s="700"/>
      <c r="K30" s="700"/>
      <c r="L30" s="700"/>
      <c r="M30" s="700"/>
      <c r="N30" s="700"/>
      <c r="O30" s="700"/>
      <c r="P30" s="700"/>
      <c r="Q30" s="700"/>
      <c r="R30" s="700"/>
      <c r="S30" s="700"/>
      <c r="T30" s="700"/>
      <c r="U30" s="700"/>
      <c r="V30" s="700"/>
    </row>
    <row r="31" spans="1:22">
      <c r="C31" s="700"/>
      <c r="D31" s="700"/>
      <c r="E31" s="700"/>
      <c r="F31" s="700"/>
      <c r="G31" s="700"/>
      <c r="H31" s="700"/>
      <c r="I31" s="700"/>
      <c r="J31" s="700"/>
      <c r="K31" s="700"/>
      <c r="L31" s="700"/>
      <c r="M31" s="700"/>
      <c r="N31" s="700"/>
      <c r="O31" s="700"/>
      <c r="P31" s="700"/>
      <c r="Q31" s="700"/>
      <c r="R31" s="700"/>
      <c r="S31" s="700"/>
      <c r="T31" s="700"/>
      <c r="U31" s="700"/>
      <c r="V31" s="700"/>
    </row>
    <row r="32" spans="1:22">
      <c r="C32" s="700"/>
      <c r="D32" s="700"/>
      <c r="E32" s="700"/>
      <c r="F32" s="700"/>
      <c r="G32" s="700"/>
      <c r="H32" s="700"/>
      <c r="I32" s="700"/>
      <c r="J32" s="700"/>
      <c r="K32" s="700"/>
      <c r="L32" s="700"/>
      <c r="M32" s="700"/>
      <c r="N32" s="700"/>
      <c r="O32" s="700"/>
      <c r="P32" s="700"/>
      <c r="Q32" s="700"/>
      <c r="R32" s="700"/>
      <c r="S32" s="700"/>
      <c r="T32" s="700"/>
      <c r="U32" s="700"/>
      <c r="V32" s="700"/>
    </row>
    <row r="33" spans="3:22">
      <c r="C33" s="700"/>
      <c r="D33" s="700"/>
      <c r="E33" s="700"/>
      <c r="F33" s="700"/>
      <c r="G33" s="700"/>
      <c r="H33" s="700"/>
      <c r="I33" s="700"/>
      <c r="J33" s="700"/>
      <c r="K33" s="700"/>
      <c r="L33" s="700"/>
      <c r="M33" s="700"/>
      <c r="N33" s="700"/>
      <c r="O33" s="700"/>
      <c r="P33" s="700"/>
      <c r="Q33" s="700"/>
      <c r="R33" s="700"/>
      <c r="S33" s="700"/>
      <c r="T33" s="700"/>
      <c r="U33" s="700"/>
      <c r="V33" s="700"/>
    </row>
    <row r="34" spans="3:22">
      <c r="C34" s="700"/>
      <c r="D34" s="700"/>
      <c r="E34" s="700"/>
      <c r="F34" s="700"/>
      <c r="G34" s="700"/>
      <c r="H34" s="700"/>
      <c r="I34" s="700"/>
      <c r="J34" s="700"/>
      <c r="K34" s="700"/>
      <c r="L34" s="700"/>
      <c r="M34" s="700"/>
      <c r="N34" s="700"/>
      <c r="O34" s="700"/>
      <c r="P34" s="700"/>
      <c r="Q34" s="700"/>
      <c r="R34" s="700"/>
      <c r="S34" s="700"/>
      <c r="T34" s="700"/>
      <c r="U34" s="700"/>
      <c r="V34" s="700"/>
    </row>
    <row r="35" spans="3:22">
      <c r="C35" s="700"/>
      <c r="D35" s="700"/>
      <c r="E35" s="700"/>
      <c r="F35" s="700"/>
      <c r="G35" s="700"/>
      <c r="H35" s="700"/>
      <c r="I35" s="700"/>
      <c r="J35" s="700"/>
      <c r="K35" s="700"/>
      <c r="L35" s="700"/>
      <c r="M35" s="700"/>
      <c r="N35" s="700"/>
      <c r="O35" s="700"/>
      <c r="P35" s="700"/>
      <c r="Q35" s="700"/>
      <c r="R35" s="700"/>
      <c r="S35" s="700"/>
      <c r="T35" s="700"/>
      <c r="U35" s="700"/>
      <c r="V35" s="700"/>
    </row>
    <row r="36" spans="3:22">
      <c r="C36" s="700"/>
      <c r="D36" s="700"/>
      <c r="E36" s="700"/>
      <c r="F36" s="700"/>
      <c r="G36" s="700"/>
      <c r="H36" s="700"/>
      <c r="I36" s="700"/>
      <c r="J36" s="700"/>
      <c r="K36" s="700"/>
      <c r="L36" s="700"/>
      <c r="M36" s="700"/>
      <c r="N36" s="700"/>
      <c r="O36" s="700"/>
      <c r="P36" s="700"/>
      <c r="Q36" s="700"/>
      <c r="R36" s="700"/>
      <c r="S36" s="700"/>
      <c r="T36" s="700"/>
      <c r="U36" s="700"/>
      <c r="V36" s="700"/>
    </row>
    <row r="37" spans="3:22">
      <c r="C37" s="700"/>
      <c r="D37" s="700"/>
      <c r="E37" s="700"/>
      <c r="F37" s="700"/>
      <c r="G37" s="700"/>
      <c r="H37" s="700"/>
      <c r="I37" s="700"/>
      <c r="J37" s="700"/>
      <c r="K37" s="700"/>
      <c r="L37" s="700"/>
      <c r="M37" s="700"/>
      <c r="N37" s="700"/>
      <c r="O37" s="700"/>
      <c r="P37" s="700"/>
      <c r="Q37" s="700"/>
      <c r="R37" s="700"/>
      <c r="S37" s="700"/>
      <c r="T37" s="700"/>
      <c r="U37" s="700"/>
      <c r="V37" s="700"/>
    </row>
    <row r="38" spans="3:22">
      <c r="C38" s="700"/>
      <c r="D38" s="700"/>
      <c r="E38" s="700"/>
      <c r="F38" s="700"/>
      <c r="G38" s="700"/>
      <c r="H38" s="700"/>
      <c r="I38" s="700"/>
      <c r="J38" s="700"/>
      <c r="K38" s="700"/>
      <c r="L38" s="700"/>
      <c r="M38" s="700"/>
      <c r="N38" s="700"/>
      <c r="O38" s="700"/>
      <c r="P38" s="700"/>
      <c r="Q38" s="700"/>
      <c r="R38" s="700"/>
      <c r="S38" s="700"/>
      <c r="T38" s="700"/>
      <c r="U38" s="700"/>
      <c r="V38" s="700"/>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O45"/>
  <sheetViews>
    <sheetView showGridLines="0" zoomScale="80" zoomScaleNormal="80" workbookViewId="0"/>
  </sheetViews>
  <sheetFormatPr defaultRowHeight="15"/>
  <cols>
    <col min="2" max="2" width="66.5703125" customWidth="1"/>
    <col min="3" max="8" width="17.85546875" style="561" customWidth="1"/>
    <col min="10" max="15" width="15.85546875" bestFit="1" customWidth="1"/>
  </cols>
  <sheetData>
    <row r="1" spans="1:15" s="5" customFormat="1" ht="14.25">
      <c r="A1" s="2" t="s">
        <v>30</v>
      </c>
      <c r="B1" s="3" t="str">
        <f>'Info '!C2</f>
        <v>JSC Cartu Bank</v>
      </c>
      <c r="C1" s="562"/>
      <c r="D1" s="563"/>
      <c r="E1" s="563"/>
      <c r="F1" s="563"/>
      <c r="G1" s="563"/>
      <c r="H1" s="551"/>
    </row>
    <row r="2" spans="1:15" s="5" customFormat="1" ht="14.25">
      <c r="A2" s="2" t="s">
        <v>31</v>
      </c>
      <c r="B2" s="532">
        <f>'1. key ratios '!B2</f>
        <v>45747</v>
      </c>
      <c r="C2" s="562"/>
      <c r="D2" s="563"/>
      <c r="E2" s="563"/>
      <c r="F2" s="563"/>
      <c r="G2" s="563"/>
      <c r="H2" s="551"/>
    </row>
    <row r="4" spans="1:15">
      <c r="A4" s="721" t="s">
        <v>6</v>
      </c>
      <c r="B4" s="723" t="s">
        <v>585</v>
      </c>
      <c r="C4" s="716" t="s">
        <v>522</v>
      </c>
      <c r="D4" s="716"/>
      <c r="E4" s="716"/>
      <c r="F4" s="716" t="s">
        <v>523</v>
      </c>
      <c r="G4" s="716"/>
      <c r="H4" s="717"/>
    </row>
    <row r="5" spans="1:15" ht="15.6" customHeight="1">
      <c r="A5" s="722"/>
      <c r="B5" s="724"/>
      <c r="C5" s="564" t="s">
        <v>32</v>
      </c>
      <c r="D5" s="564" t="s">
        <v>33</v>
      </c>
      <c r="E5" s="564" t="s">
        <v>34</v>
      </c>
      <c r="F5" s="564" t="s">
        <v>32</v>
      </c>
      <c r="G5" s="564" t="s">
        <v>33</v>
      </c>
      <c r="H5" s="564" t="s">
        <v>34</v>
      </c>
    </row>
    <row r="6" spans="1:15">
      <c r="A6" s="298">
        <v>1</v>
      </c>
      <c r="B6" s="299" t="s">
        <v>586</v>
      </c>
      <c r="C6" s="565">
        <f>SUM(C7:C12)</f>
        <v>13778235.406413263</v>
      </c>
      <c r="D6" s="565">
        <f>SUM(D7:D12)</f>
        <v>15213581.43999441</v>
      </c>
      <c r="E6" s="566">
        <f>C6+D6</f>
        <v>28991816.846407674</v>
      </c>
      <c r="F6" s="565">
        <f>SUM(F7:F12)</f>
        <v>12035367.246893331</v>
      </c>
      <c r="G6" s="565">
        <f>SUM(G7:G12)</f>
        <v>15102416.741382714</v>
      </c>
      <c r="H6" s="566">
        <f>F6+G6</f>
        <v>27137783.988276046</v>
      </c>
      <c r="J6" s="561"/>
      <c r="K6" s="561"/>
      <c r="L6" s="561"/>
      <c r="M6" s="561"/>
      <c r="N6" s="561"/>
      <c r="O6" s="561"/>
    </row>
    <row r="7" spans="1:15">
      <c r="A7" s="298">
        <v>1.1000000000000001</v>
      </c>
      <c r="B7" s="300" t="s">
        <v>529</v>
      </c>
      <c r="C7" s="565">
        <v>0</v>
      </c>
      <c r="D7" s="565">
        <v>0</v>
      </c>
      <c r="E7" s="566">
        <f t="shared" ref="E7:E45" si="0">C7+D7</f>
        <v>0</v>
      </c>
      <c r="F7" s="565">
        <v>0</v>
      </c>
      <c r="G7" s="565">
        <v>0</v>
      </c>
      <c r="H7" s="566">
        <f t="shared" ref="H7:H45" si="1">F7+G7</f>
        <v>0</v>
      </c>
      <c r="J7" s="561"/>
      <c r="K7" s="561"/>
      <c r="L7" s="561"/>
      <c r="M7" s="561"/>
      <c r="N7" s="561"/>
      <c r="O7" s="561"/>
    </row>
    <row r="8" spans="1:15">
      <c r="A8" s="298">
        <v>1.2</v>
      </c>
      <c r="B8" s="300" t="s">
        <v>531</v>
      </c>
      <c r="C8" s="565">
        <v>0</v>
      </c>
      <c r="D8" s="565">
        <v>0</v>
      </c>
      <c r="E8" s="566">
        <f t="shared" si="0"/>
        <v>0</v>
      </c>
      <c r="F8" s="565">
        <v>0</v>
      </c>
      <c r="G8" s="565">
        <v>0</v>
      </c>
      <c r="H8" s="566">
        <f t="shared" si="1"/>
        <v>0</v>
      </c>
      <c r="J8" s="561"/>
      <c r="K8" s="561"/>
      <c r="L8" s="561"/>
      <c r="M8" s="561"/>
      <c r="N8" s="561"/>
      <c r="O8" s="561"/>
    </row>
    <row r="9" spans="1:15" ht="21.6" customHeight="1">
      <c r="A9" s="298">
        <v>1.3</v>
      </c>
      <c r="B9" s="300" t="s">
        <v>587</v>
      </c>
      <c r="C9" s="565">
        <v>0</v>
      </c>
      <c r="D9" s="565">
        <v>0</v>
      </c>
      <c r="E9" s="566">
        <f t="shared" si="0"/>
        <v>0</v>
      </c>
      <c r="F9" s="565">
        <v>0</v>
      </c>
      <c r="G9" s="565">
        <v>0</v>
      </c>
      <c r="H9" s="566">
        <f t="shared" si="1"/>
        <v>0</v>
      </c>
      <c r="J9" s="561"/>
      <c r="K9" s="561"/>
      <c r="L9" s="561"/>
      <c r="M9" s="561"/>
      <c r="N9" s="561"/>
      <c r="O9" s="561"/>
    </row>
    <row r="10" spans="1:15">
      <c r="A10" s="298">
        <v>1.4</v>
      </c>
      <c r="B10" s="300" t="s">
        <v>533</v>
      </c>
      <c r="C10" s="565">
        <v>158804.84999999998</v>
      </c>
      <c r="D10" s="565">
        <v>0</v>
      </c>
      <c r="E10" s="566">
        <f t="shared" si="0"/>
        <v>158804.84999999998</v>
      </c>
      <c r="F10" s="565">
        <v>159688.05999999994</v>
      </c>
      <c r="G10" s="565">
        <v>0</v>
      </c>
      <c r="H10" s="566">
        <f t="shared" si="1"/>
        <v>159688.05999999994</v>
      </c>
      <c r="J10" s="561"/>
      <c r="K10" s="561"/>
      <c r="L10" s="561"/>
      <c r="M10" s="561"/>
      <c r="N10" s="561"/>
      <c r="O10" s="561"/>
    </row>
    <row r="11" spans="1:15">
      <c r="A11" s="298">
        <v>1.5</v>
      </c>
      <c r="B11" s="300" t="s">
        <v>537</v>
      </c>
      <c r="C11" s="565">
        <v>13619430.556413263</v>
      </c>
      <c r="D11" s="565">
        <v>15213581.43999441</v>
      </c>
      <c r="E11" s="566">
        <f t="shared" si="0"/>
        <v>28833011.996407673</v>
      </c>
      <c r="F11" s="565">
        <v>11875679.186893331</v>
      </c>
      <c r="G11" s="565">
        <v>15102416.741382714</v>
      </c>
      <c r="H11" s="566">
        <f t="shared" si="1"/>
        <v>26978095.928276047</v>
      </c>
      <c r="J11" s="561"/>
      <c r="K11" s="561"/>
      <c r="L11" s="561"/>
      <c r="M11" s="561"/>
      <c r="N11" s="561"/>
      <c r="O11" s="561"/>
    </row>
    <row r="12" spans="1:15">
      <c r="A12" s="298">
        <v>1.6</v>
      </c>
      <c r="B12" s="301" t="s">
        <v>419</v>
      </c>
      <c r="C12" s="565">
        <v>0</v>
      </c>
      <c r="D12" s="565">
        <v>0</v>
      </c>
      <c r="E12" s="566">
        <f t="shared" si="0"/>
        <v>0</v>
      </c>
      <c r="F12" s="565">
        <v>0</v>
      </c>
      <c r="G12" s="565">
        <v>0</v>
      </c>
      <c r="H12" s="566">
        <f t="shared" si="1"/>
        <v>0</v>
      </c>
      <c r="J12" s="561"/>
      <c r="K12" s="561"/>
      <c r="L12" s="561"/>
      <c r="M12" s="561"/>
      <c r="N12" s="561"/>
      <c r="O12" s="561"/>
    </row>
    <row r="13" spans="1:15">
      <c r="A13" s="298">
        <v>2</v>
      </c>
      <c r="B13" s="302" t="s">
        <v>588</v>
      </c>
      <c r="C13" s="565">
        <f>SUM(C14:C17)</f>
        <v>-3403962.4955769242</v>
      </c>
      <c r="D13" s="565">
        <f>SUM(D14:D17)</f>
        <v>-6469494.017989099</v>
      </c>
      <c r="E13" s="566">
        <f t="shared" si="0"/>
        <v>-9873456.5135660227</v>
      </c>
      <c r="F13" s="565">
        <f>SUM(F14:F17)</f>
        <v>-2978336.9602398956</v>
      </c>
      <c r="G13" s="565">
        <f>SUM(G14:G17)</f>
        <v>-5537314.6293000001</v>
      </c>
      <c r="H13" s="566">
        <f t="shared" si="1"/>
        <v>-8515651.5895398967</v>
      </c>
      <c r="J13" s="561"/>
      <c r="K13" s="561"/>
      <c r="L13" s="561"/>
      <c r="M13" s="561"/>
      <c r="N13" s="561"/>
      <c r="O13" s="561"/>
    </row>
    <row r="14" spans="1:15">
      <c r="A14" s="298">
        <v>2.1</v>
      </c>
      <c r="B14" s="300" t="s">
        <v>589</v>
      </c>
      <c r="C14" s="565">
        <v>0</v>
      </c>
      <c r="D14" s="565">
        <v>0</v>
      </c>
      <c r="E14" s="566">
        <f t="shared" si="0"/>
        <v>0</v>
      </c>
      <c r="F14" s="565">
        <v>0</v>
      </c>
      <c r="G14" s="565">
        <v>0</v>
      </c>
      <c r="H14" s="566">
        <f t="shared" si="1"/>
        <v>0</v>
      </c>
      <c r="J14" s="561"/>
      <c r="K14" s="561"/>
      <c r="L14" s="561"/>
      <c r="M14" s="561"/>
      <c r="N14" s="561"/>
      <c r="O14" s="561"/>
    </row>
    <row r="15" spans="1:15" ht="24.6" customHeight="1">
      <c r="A15" s="298">
        <v>2.2000000000000002</v>
      </c>
      <c r="B15" s="300" t="s">
        <v>590</v>
      </c>
      <c r="C15" s="565">
        <v>0</v>
      </c>
      <c r="D15" s="565">
        <v>0</v>
      </c>
      <c r="E15" s="566">
        <f t="shared" si="0"/>
        <v>0</v>
      </c>
      <c r="F15" s="565">
        <v>0</v>
      </c>
      <c r="G15" s="565">
        <v>0</v>
      </c>
      <c r="H15" s="566">
        <f t="shared" si="1"/>
        <v>0</v>
      </c>
      <c r="J15" s="561"/>
      <c r="K15" s="561"/>
      <c r="L15" s="561"/>
      <c r="M15" s="561"/>
      <c r="N15" s="561"/>
      <c r="O15" s="561"/>
    </row>
    <row r="16" spans="1:15" ht="20.45" customHeight="1">
      <c r="A16" s="298">
        <v>2.2999999999999998</v>
      </c>
      <c r="B16" s="300" t="s">
        <v>591</v>
      </c>
      <c r="C16" s="565">
        <v>-3403962.4955769242</v>
      </c>
      <c r="D16" s="565">
        <v>-6469494.017989099</v>
      </c>
      <c r="E16" s="566">
        <f t="shared" si="0"/>
        <v>-9873456.5135660227</v>
      </c>
      <c r="F16" s="565">
        <v>-2978336.9602398956</v>
      </c>
      <c r="G16" s="565">
        <v>-5537314.6293000001</v>
      </c>
      <c r="H16" s="566">
        <f t="shared" si="1"/>
        <v>-8515651.5895398967</v>
      </c>
      <c r="J16" s="561"/>
      <c r="K16" s="561"/>
      <c r="L16" s="561"/>
      <c r="M16" s="561"/>
      <c r="N16" s="561"/>
      <c r="O16" s="561"/>
    </row>
    <row r="17" spans="1:15">
      <c r="A17" s="298">
        <v>2.4</v>
      </c>
      <c r="B17" s="300" t="s">
        <v>592</v>
      </c>
      <c r="C17" s="565">
        <v>0</v>
      </c>
      <c r="D17" s="565">
        <v>0</v>
      </c>
      <c r="E17" s="566">
        <f t="shared" si="0"/>
        <v>0</v>
      </c>
      <c r="F17" s="565">
        <v>0</v>
      </c>
      <c r="G17" s="565">
        <v>0</v>
      </c>
      <c r="H17" s="566">
        <f t="shared" si="1"/>
        <v>0</v>
      </c>
      <c r="J17" s="561"/>
      <c r="K17" s="561"/>
      <c r="L17" s="561"/>
      <c r="M17" s="561"/>
      <c r="N17" s="561"/>
      <c r="O17" s="561"/>
    </row>
    <row r="18" spans="1:15">
      <c r="A18" s="298">
        <v>3</v>
      </c>
      <c r="B18" s="302" t="s">
        <v>593</v>
      </c>
      <c r="C18" s="565">
        <v>0</v>
      </c>
      <c r="D18" s="565">
        <v>0</v>
      </c>
      <c r="E18" s="566">
        <f t="shared" si="0"/>
        <v>0</v>
      </c>
      <c r="F18" s="565">
        <v>0</v>
      </c>
      <c r="G18" s="565">
        <v>0</v>
      </c>
      <c r="H18" s="566">
        <f t="shared" si="1"/>
        <v>0</v>
      </c>
      <c r="J18" s="561"/>
      <c r="K18" s="561"/>
      <c r="L18" s="561"/>
      <c r="M18" s="561"/>
      <c r="N18" s="561"/>
      <c r="O18" s="561"/>
    </row>
    <row r="19" spans="1:15">
      <c r="A19" s="298">
        <v>4</v>
      </c>
      <c r="B19" s="302" t="s">
        <v>594</v>
      </c>
      <c r="C19" s="565">
        <v>1167211.2776000001</v>
      </c>
      <c r="D19" s="565">
        <v>1771669.1460000002</v>
      </c>
      <c r="E19" s="566">
        <f t="shared" si="0"/>
        <v>2938880.4236000003</v>
      </c>
      <c r="F19" s="565">
        <v>1035716.62</v>
      </c>
      <c r="G19" s="565">
        <v>1082294.417905</v>
      </c>
      <c r="H19" s="566">
        <f t="shared" si="1"/>
        <v>2118011.0379050002</v>
      </c>
      <c r="J19" s="561"/>
      <c r="K19" s="561"/>
      <c r="L19" s="561"/>
      <c r="M19" s="561"/>
      <c r="N19" s="561"/>
      <c r="O19" s="561"/>
    </row>
    <row r="20" spans="1:15">
      <c r="A20" s="298">
        <v>5</v>
      </c>
      <c r="B20" s="302" t="s">
        <v>595</v>
      </c>
      <c r="C20" s="565">
        <v>-457316.93999999994</v>
      </c>
      <c r="D20" s="565">
        <v>-1102361.5229</v>
      </c>
      <c r="E20" s="566">
        <f t="shared" si="0"/>
        <v>-1559678.4628999999</v>
      </c>
      <c r="F20" s="565">
        <v>-107964.68000000001</v>
      </c>
      <c r="G20" s="565">
        <v>-868427.11879999994</v>
      </c>
      <c r="H20" s="566">
        <f t="shared" si="1"/>
        <v>-976391.79879999999</v>
      </c>
      <c r="J20" s="561"/>
      <c r="K20" s="561"/>
      <c r="L20" s="561"/>
      <c r="M20" s="561"/>
      <c r="N20" s="561"/>
      <c r="O20" s="561"/>
    </row>
    <row r="21" spans="1:15" ht="24" customHeight="1">
      <c r="A21" s="298">
        <v>6</v>
      </c>
      <c r="B21" s="302" t="s">
        <v>596</v>
      </c>
      <c r="C21" s="565">
        <v>0</v>
      </c>
      <c r="D21" s="565">
        <v>0</v>
      </c>
      <c r="E21" s="566">
        <f t="shared" si="0"/>
        <v>0</v>
      </c>
      <c r="F21" s="565">
        <v>0</v>
      </c>
      <c r="G21" s="565">
        <v>0</v>
      </c>
      <c r="H21" s="566">
        <f t="shared" si="1"/>
        <v>0</v>
      </c>
      <c r="J21" s="561"/>
      <c r="K21" s="561"/>
      <c r="L21" s="561"/>
      <c r="M21" s="561"/>
      <c r="N21" s="561"/>
      <c r="O21" s="561"/>
    </row>
    <row r="22" spans="1:15" ht="18.600000000000001" customHeight="1">
      <c r="A22" s="298">
        <v>7</v>
      </c>
      <c r="B22" s="302" t="s">
        <v>597</v>
      </c>
      <c r="C22" s="565">
        <v>0</v>
      </c>
      <c r="D22" s="565">
        <v>0</v>
      </c>
      <c r="E22" s="566">
        <f t="shared" si="0"/>
        <v>0</v>
      </c>
      <c r="F22" s="565">
        <v>0</v>
      </c>
      <c r="G22" s="565">
        <v>0</v>
      </c>
      <c r="H22" s="566">
        <f t="shared" si="1"/>
        <v>0</v>
      </c>
      <c r="J22" s="561"/>
      <c r="K22" s="561"/>
      <c r="L22" s="561"/>
      <c r="M22" s="561"/>
      <c r="N22" s="561"/>
      <c r="O22" s="561"/>
    </row>
    <row r="23" spans="1:15" ht="25.5" customHeight="1">
      <c r="A23" s="298">
        <v>8</v>
      </c>
      <c r="B23" s="303" t="s">
        <v>598</v>
      </c>
      <c r="C23" s="565">
        <v>-53950</v>
      </c>
      <c r="D23" s="565">
        <v>0</v>
      </c>
      <c r="E23" s="566">
        <f t="shared" si="0"/>
        <v>-53950</v>
      </c>
      <c r="F23" s="565">
        <v>0</v>
      </c>
      <c r="G23" s="565">
        <v>0</v>
      </c>
      <c r="H23" s="566">
        <f t="shared" si="1"/>
        <v>0</v>
      </c>
      <c r="J23" s="561"/>
      <c r="K23" s="561"/>
      <c r="L23" s="561"/>
      <c r="M23" s="561"/>
      <c r="N23" s="561"/>
      <c r="O23" s="561"/>
    </row>
    <row r="24" spans="1:15" ht="34.5" customHeight="1">
      <c r="A24" s="298">
        <v>9</v>
      </c>
      <c r="B24" s="303" t="s">
        <v>599</v>
      </c>
      <c r="C24" s="565">
        <v>0</v>
      </c>
      <c r="D24" s="565">
        <v>0</v>
      </c>
      <c r="E24" s="566">
        <f t="shared" si="0"/>
        <v>0</v>
      </c>
      <c r="F24" s="565">
        <v>0</v>
      </c>
      <c r="G24" s="565">
        <v>0</v>
      </c>
      <c r="H24" s="566">
        <f t="shared" si="1"/>
        <v>0</v>
      </c>
      <c r="J24" s="561"/>
      <c r="K24" s="561"/>
      <c r="L24" s="561"/>
      <c r="M24" s="561"/>
      <c r="N24" s="561"/>
      <c r="O24" s="561"/>
    </row>
    <row r="25" spans="1:15">
      <c r="A25" s="298">
        <v>10</v>
      </c>
      <c r="B25" s="302" t="s">
        <v>600</v>
      </c>
      <c r="C25" s="565">
        <v>1696904.8714510028</v>
      </c>
      <c r="D25" s="565">
        <v>0</v>
      </c>
      <c r="E25" s="566">
        <f t="shared" si="0"/>
        <v>1696904.8714510028</v>
      </c>
      <c r="F25" s="565">
        <v>1889670.2942709997</v>
      </c>
      <c r="G25" s="565">
        <v>0</v>
      </c>
      <c r="H25" s="566">
        <f t="shared" si="1"/>
        <v>1889670.2942709997</v>
      </c>
      <c r="J25" s="561"/>
      <c r="K25" s="561"/>
      <c r="L25" s="561"/>
      <c r="M25" s="561"/>
      <c r="N25" s="561"/>
      <c r="O25" s="561"/>
    </row>
    <row r="26" spans="1:15">
      <c r="A26" s="298">
        <v>11</v>
      </c>
      <c r="B26" s="304" t="s">
        <v>601</v>
      </c>
      <c r="C26" s="565">
        <v>343125.67</v>
      </c>
      <c r="D26" s="565">
        <v>0</v>
      </c>
      <c r="E26" s="566">
        <f t="shared" si="0"/>
        <v>343125.67</v>
      </c>
      <c r="F26" s="565">
        <v>97777.369491525431</v>
      </c>
      <c r="G26" s="565">
        <v>0</v>
      </c>
      <c r="H26" s="566">
        <f t="shared" si="1"/>
        <v>97777.369491525431</v>
      </c>
      <c r="J26" s="561"/>
      <c r="K26" s="561"/>
      <c r="L26" s="561"/>
      <c r="M26" s="561"/>
      <c r="N26" s="561"/>
      <c r="O26" s="561"/>
    </row>
    <row r="27" spans="1:15">
      <c r="A27" s="298">
        <v>12</v>
      </c>
      <c r="B27" s="302" t="s">
        <v>602</v>
      </c>
      <c r="C27" s="565">
        <v>86845.11</v>
      </c>
      <c r="D27" s="565">
        <v>8626.4657999999999</v>
      </c>
      <c r="E27" s="566">
        <f t="shared" si="0"/>
        <v>95471.575800000006</v>
      </c>
      <c r="F27" s="565">
        <v>52653.32</v>
      </c>
      <c r="G27" s="565">
        <v>687.48090000000002</v>
      </c>
      <c r="H27" s="566">
        <f t="shared" si="1"/>
        <v>53340.800900000002</v>
      </c>
      <c r="J27" s="561"/>
      <c r="K27" s="561"/>
      <c r="L27" s="561"/>
      <c r="M27" s="561"/>
      <c r="N27" s="561"/>
      <c r="O27" s="561"/>
    </row>
    <row r="28" spans="1:15">
      <c r="A28" s="298">
        <v>13</v>
      </c>
      <c r="B28" s="305" t="s">
        <v>603</v>
      </c>
      <c r="C28" s="565">
        <v>-1548988.6191688946</v>
      </c>
      <c r="D28" s="565">
        <v>-882066.34459999995</v>
      </c>
      <c r="E28" s="566">
        <f t="shared" si="0"/>
        <v>-2431054.9637688948</v>
      </c>
      <c r="F28" s="565">
        <v>-1325774.2666469095</v>
      </c>
      <c r="G28" s="565">
        <v>-871892.84490000014</v>
      </c>
      <c r="H28" s="566">
        <f t="shared" si="1"/>
        <v>-2197667.1115469094</v>
      </c>
      <c r="J28" s="561"/>
      <c r="K28" s="561"/>
      <c r="L28" s="561"/>
      <c r="M28" s="561"/>
      <c r="N28" s="561"/>
      <c r="O28" s="561"/>
    </row>
    <row r="29" spans="1:15">
      <c r="A29" s="298">
        <v>14</v>
      </c>
      <c r="B29" s="306" t="s">
        <v>604</v>
      </c>
      <c r="C29" s="565">
        <f>SUM(C30:C31)</f>
        <v>-8155155.4799999995</v>
      </c>
      <c r="D29" s="565">
        <f>SUM(D30:D31)</f>
        <v>-75293.688900000066</v>
      </c>
      <c r="E29" s="566">
        <f t="shared" si="0"/>
        <v>-8230449.1688999999</v>
      </c>
      <c r="F29" s="565">
        <f>SUM(F30:F31)</f>
        <v>-7266682.7949000057</v>
      </c>
      <c r="G29" s="565">
        <f>SUM(G30:G31)</f>
        <v>-75967.090999999898</v>
      </c>
      <c r="H29" s="566">
        <f t="shared" si="1"/>
        <v>-7342649.8859000057</v>
      </c>
      <c r="J29" s="561"/>
      <c r="K29" s="561"/>
      <c r="L29" s="561"/>
      <c r="M29" s="561"/>
      <c r="N29" s="561"/>
      <c r="O29" s="561"/>
    </row>
    <row r="30" spans="1:15">
      <c r="A30" s="298">
        <v>14.1</v>
      </c>
      <c r="B30" s="282" t="s">
        <v>605</v>
      </c>
      <c r="C30" s="565">
        <v>-6405175.0299999993</v>
      </c>
      <c r="D30" s="565">
        <v>0</v>
      </c>
      <c r="E30" s="566">
        <f t="shared" si="0"/>
        <v>-6405175.0299999993</v>
      </c>
      <c r="F30" s="565">
        <v>-5543008.9900000002</v>
      </c>
      <c r="G30" s="565">
        <v>0</v>
      </c>
      <c r="H30" s="566">
        <f t="shared" si="1"/>
        <v>-5543008.9900000002</v>
      </c>
      <c r="J30" s="561"/>
      <c r="K30" s="561"/>
      <c r="L30" s="561"/>
      <c r="M30" s="561"/>
      <c r="N30" s="561"/>
      <c r="O30" s="561"/>
    </row>
    <row r="31" spans="1:15">
      <c r="A31" s="298">
        <v>14.2</v>
      </c>
      <c r="B31" s="282" t="s">
        <v>606</v>
      </c>
      <c r="C31" s="565">
        <v>-1749980.4500000004</v>
      </c>
      <c r="D31" s="565">
        <v>-75293.688900000066</v>
      </c>
      <c r="E31" s="566">
        <f t="shared" si="0"/>
        <v>-1825274.1389000006</v>
      </c>
      <c r="F31" s="565">
        <v>-1723673.8049000055</v>
      </c>
      <c r="G31" s="565">
        <v>-75967.090999999898</v>
      </c>
      <c r="H31" s="566">
        <f t="shared" si="1"/>
        <v>-1799640.8959000055</v>
      </c>
      <c r="J31" s="561"/>
      <c r="K31" s="561"/>
      <c r="L31" s="561"/>
      <c r="M31" s="561"/>
      <c r="N31" s="561"/>
      <c r="O31" s="561"/>
    </row>
    <row r="32" spans="1:15">
      <c r="A32" s="298">
        <v>15</v>
      </c>
      <c r="B32" s="302" t="s">
        <v>607</v>
      </c>
      <c r="C32" s="565">
        <v>-1420241.312408068</v>
      </c>
      <c r="D32" s="565">
        <v>0</v>
      </c>
      <c r="E32" s="566">
        <f t="shared" si="0"/>
        <v>-1420241.312408068</v>
      </c>
      <c r="F32" s="565">
        <v>-1160474.9788169423</v>
      </c>
      <c r="G32" s="565">
        <v>0</v>
      </c>
      <c r="H32" s="566">
        <f t="shared" si="1"/>
        <v>-1160474.9788169423</v>
      </c>
      <c r="J32" s="561"/>
      <c r="K32" s="561"/>
      <c r="L32" s="561"/>
      <c r="M32" s="561"/>
      <c r="N32" s="561"/>
      <c r="O32" s="561"/>
    </row>
    <row r="33" spans="1:15" ht="22.5" customHeight="1">
      <c r="A33" s="298">
        <v>16</v>
      </c>
      <c r="B33" s="280" t="s">
        <v>608</v>
      </c>
      <c r="C33" s="565">
        <v>-168939.36943566482</v>
      </c>
      <c r="D33" s="565">
        <v>-801897.22467836621</v>
      </c>
      <c r="E33" s="566">
        <f t="shared" si="0"/>
        <v>-970836.59411403106</v>
      </c>
      <c r="F33" s="565">
        <v>-272777.67855509766</v>
      </c>
      <c r="G33" s="565">
        <v>-154691.73961324274</v>
      </c>
      <c r="H33" s="566">
        <f t="shared" si="1"/>
        <v>-427469.4181683404</v>
      </c>
      <c r="J33" s="561"/>
      <c r="K33" s="561"/>
      <c r="L33" s="561"/>
      <c r="M33" s="561"/>
      <c r="N33" s="561"/>
      <c r="O33" s="561"/>
    </row>
    <row r="34" spans="1:15">
      <c r="A34" s="298">
        <v>17</v>
      </c>
      <c r="B34" s="302" t="s">
        <v>609</v>
      </c>
      <c r="C34" s="565">
        <f>SUM(C35:C36)</f>
        <v>223258.08274712518</v>
      </c>
      <c r="D34" s="565">
        <f>SUM(D35:D36)</f>
        <v>-128957.42891109943</v>
      </c>
      <c r="E34" s="566">
        <f t="shared" si="0"/>
        <v>94300.653836025755</v>
      </c>
      <c r="F34" s="565">
        <f>SUM(F35:F36)</f>
        <v>-163185.94037294286</v>
      </c>
      <c r="G34" s="565">
        <f>SUM(G35:G36)</f>
        <v>104833.86700103023</v>
      </c>
      <c r="H34" s="566">
        <f t="shared" si="1"/>
        <v>-58352.073371912629</v>
      </c>
      <c r="J34" s="561"/>
      <c r="K34" s="561"/>
      <c r="L34" s="561"/>
      <c r="M34" s="561"/>
      <c r="N34" s="561"/>
      <c r="O34" s="561"/>
    </row>
    <row r="35" spans="1:15">
      <c r="A35" s="298">
        <v>17.100000000000001</v>
      </c>
      <c r="B35" s="282" t="s">
        <v>610</v>
      </c>
      <c r="C35" s="565">
        <v>242943.09111999522</v>
      </c>
      <c r="D35" s="565">
        <v>-117491.71369667104</v>
      </c>
      <c r="E35" s="566">
        <f t="shared" si="0"/>
        <v>125451.37742332419</v>
      </c>
      <c r="F35" s="565">
        <v>-114498.95518141262</v>
      </c>
      <c r="G35" s="565">
        <v>102153.17518476314</v>
      </c>
      <c r="H35" s="566">
        <f t="shared" si="1"/>
        <v>-12345.779996649479</v>
      </c>
      <c r="J35" s="561"/>
      <c r="K35" s="561"/>
      <c r="L35" s="561"/>
      <c r="M35" s="561"/>
      <c r="N35" s="561"/>
      <c r="O35" s="561"/>
    </row>
    <row r="36" spans="1:15">
      <c r="A36" s="298">
        <v>17.2</v>
      </c>
      <c r="B36" s="282" t="s">
        <v>611</v>
      </c>
      <c r="C36" s="565">
        <v>-19685.008372870056</v>
      </c>
      <c r="D36" s="565">
        <v>-11465.715214428394</v>
      </c>
      <c r="E36" s="566">
        <f t="shared" si="0"/>
        <v>-31150.723587298449</v>
      </c>
      <c r="F36" s="565">
        <v>-48686.985191530235</v>
      </c>
      <c r="G36" s="565">
        <v>2680.6918162670972</v>
      </c>
      <c r="H36" s="566">
        <f t="shared" si="1"/>
        <v>-46006.293375263136</v>
      </c>
      <c r="J36" s="561"/>
      <c r="K36" s="561"/>
      <c r="L36" s="561"/>
      <c r="M36" s="561"/>
      <c r="N36" s="561"/>
      <c r="O36" s="561"/>
    </row>
    <row r="37" spans="1:15" ht="41.45" customHeight="1">
      <c r="A37" s="298">
        <v>18</v>
      </c>
      <c r="B37" s="307" t="s">
        <v>612</v>
      </c>
      <c r="C37" s="565">
        <f>SUM(C38:C39)</f>
        <v>-3982098.2188939545</v>
      </c>
      <c r="D37" s="565">
        <f>SUM(D38:D39)</f>
        <v>4078543.3191266125</v>
      </c>
      <c r="E37" s="566">
        <f t="shared" si="0"/>
        <v>96445.100232657976</v>
      </c>
      <c r="F37" s="565">
        <f>SUM(F38:F39)</f>
        <v>-921991.17391620367</v>
      </c>
      <c r="G37" s="565">
        <f>SUM(G38:G39)</f>
        <v>1621603.6745785142</v>
      </c>
      <c r="H37" s="566">
        <f t="shared" si="1"/>
        <v>699612.50066231051</v>
      </c>
      <c r="J37" s="561"/>
      <c r="K37" s="561"/>
      <c r="L37" s="561"/>
      <c r="M37" s="561"/>
      <c r="N37" s="561"/>
      <c r="O37" s="561"/>
    </row>
    <row r="38" spans="1:15">
      <c r="A38" s="298">
        <v>18.100000000000001</v>
      </c>
      <c r="B38" s="308" t="s">
        <v>613</v>
      </c>
      <c r="C38" s="565">
        <v>0</v>
      </c>
      <c r="D38" s="565">
        <v>0</v>
      </c>
      <c r="E38" s="566">
        <f t="shared" si="0"/>
        <v>0</v>
      </c>
      <c r="F38" s="565">
        <v>0</v>
      </c>
      <c r="G38" s="565">
        <v>0</v>
      </c>
      <c r="H38" s="566">
        <f t="shared" si="1"/>
        <v>0</v>
      </c>
      <c r="J38" s="561"/>
      <c r="K38" s="561"/>
      <c r="L38" s="561"/>
      <c r="M38" s="561"/>
      <c r="N38" s="561"/>
      <c r="O38" s="561"/>
    </row>
    <row r="39" spans="1:15">
      <c r="A39" s="298">
        <v>18.2</v>
      </c>
      <c r="B39" s="308" t="s">
        <v>614</v>
      </c>
      <c r="C39" s="565">
        <v>-3982098.2188939545</v>
      </c>
      <c r="D39" s="565">
        <v>4078543.3191266125</v>
      </c>
      <c r="E39" s="566">
        <f t="shared" si="0"/>
        <v>96445.100232657976</v>
      </c>
      <c r="F39" s="565">
        <v>-921991.17391620367</v>
      </c>
      <c r="G39" s="565">
        <v>1621603.6745785142</v>
      </c>
      <c r="H39" s="566">
        <f t="shared" si="1"/>
        <v>699612.50066231051</v>
      </c>
      <c r="J39" s="561"/>
      <c r="K39" s="561"/>
      <c r="L39" s="561"/>
      <c r="M39" s="561"/>
      <c r="N39" s="561"/>
      <c r="O39" s="561"/>
    </row>
    <row r="40" spans="1:15" ht="24.6" customHeight="1">
      <c r="A40" s="298">
        <v>19</v>
      </c>
      <c r="B40" s="307" t="s">
        <v>615</v>
      </c>
      <c r="C40" s="565">
        <v>0</v>
      </c>
      <c r="D40" s="565">
        <v>0</v>
      </c>
      <c r="E40" s="566">
        <f t="shared" si="0"/>
        <v>0</v>
      </c>
      <c r="F40" s="565">
        <v>0</v>
      </c>
      <c r="G40" s="565">
        <v>0</v>
      </c>
      <c r="H40" s="566">
        <f t="shared" si="1"/>
        <v>0</v>
      </c>
      <c r="J40" s="561"/>
      <c r="K40" s="561"/>
      <c r="L40" s="561"/>
      <c r="M40" s="561"/>
      <c r="N40" s="561"/>
      <c r="O40" s="561"/>
    </row>
    <row r="41" spans="1:15" ht="17.45" customHeight="1">
      <c r="A41" s="298">
        <v>20</v>
      </c>
      <c r="B41" s="307" t="s">
        <v>616</v>
      </c>
      <c r="C41" s="565">
        <v>-3.4924596548080444E-9</v>
      </c>
      <c r="D41" s="565">
        <v>0</v>
      </c>
      <c r="E41" s="566">
        <f t="shared" si="0"/>
        <v>-3.4924596548080444E-9</v>
      </c>
      <c r="F41" s="565">
        <v>5.3551048040390015E-9</v>
      </c>
      <c r="G41" s="565">
        <v>0</v>
      </c>
      <c r="H41" s="566">
        <f t="shared" si="1"/>
        <v>5.3551048040390015E-9</v>
      </c>
      <c r="J41" s="561"/>
      <c r="K41" s="561"/>
      <c r="L41" s="561"/>
      <c r="M41" s="561"/>
      <c r="N41" s="561"/>
      <c r="O41" s="561"/>
    </row>
    <row r="42" spans="1:15" ht="26.45" customHeight="1">
      <c r="A42" s="298">
        <v>21</v>
      </c>
      <c r="B42" s="307" t="s">
        <v>617</v>
      </c>
      <c r="C42" s="565">
        <v>0</v>
      </c>
      <c r="D42" s="565">
        <v>0</v>
      </c>
      <c r="E42" s="566">
        <f t="shared" si="0"/>
        <v>0</v>
      </c>
      <c r="F42" s="565">
        <v>0</v>
      </c>
      <c r="G42" s="565">
        <v>0</v>
      </c>
      <c r="H42" s="566">
        <f t="shared" si="1"/>
        <v>0</v>
      </c>
      <c r="J42" s="561"/>
      <c r="K42" s="561"/>
      <c r="L42" s="561"/>
      <c r="M42" s="561"/>
      <c r="N42" s="561"/>
      <c r="O42" s="561"/>
    </row>
    <row r="43" spans="1:15">
      <c r="A43" s="298">
        <v>22</v>
      </c>
      <c r="B43" s="309" t="s">
        <v>618</v>
      </c>
      <c r="C43" s="565">
        <f>SUM(C6,C13,C18,C19,C20,C21,C22,C23,C24,C25,C26,C27,C28,C29,C32,C33,C34,C37,C40,C41,C42)</f>
        <v>-1895072.0172721173</v>
      </c>
      <c r="D43" s="565">
        <f>SUM(D6,D13,D18,D19,D20,D21,D22,D23,D24,D25,D26,D27,D28,D29,D32,D33,D34,D37,D40,D41,D42)</f>
        <v>11612350.142942458</v>
      </c>
      <c r="E43" s="566">
        <f t="shared" si="0"/>
        <v>9717278.1256703418</v>
      </c>
      <c r="F43" s="565">
        <f>SUM(F6,F13,F18,F19,F20,F21,F22,F23,F24,F25,F26,F27,F28,F29,F32,F33,F34,F37,F40,F41,F42)</f>
        <v>913996.37720786571</v>
      </c>
      <c r="G43" s="565">
        <f>SUM(G6,G13,G18,G19,G20,G21,G22,G23,G24,G25,G26,G27,G28,G29,G32,G33,G34,G37,G40,G41,G42)</f>
        <v>10403542.758154018</v>
      </c>
      <c r="H43" s="566">
        <f t="shared" si="1"/>
        <v>11317539.135361884</v>
      </c>
      <c r="J43" s="561"/>
      <c r="K43" s="561"/>
      <c r="L43" s="561"/>
      <c r="M43" s="561"/>
      <c r="N43" s="561"/>
      <c r="O43" s="561"/>
    </row>
    <row r="44" spans="1:15">
      <c r="A44" s="298">
        <v>23</v>
      </c>
      <c r="B44" s="309" t="s">
        <v>619</v>
      </c>
      <c r="C44" s="565">
        <v>-2036869.9290576468</v>
      </c>
      <c r="D44" s="565">
        <v>0</v>
      </c>
      <c r="E44" s="566">
        <f t="shared" si="0"/>
        <v>-2036869.9290576468</v>
      </c>
      <c r="F44" s="565">
        <v>-2292664.1169476472</v>
      </c>
      <c r="G44" s="565">
        <v>0</v>
      </c>
      <c r="H44" s="566">
        <f t="shared" si="1"/>
        <v>-2292664.1169476472</v>
      </c>
      <c r="J44" s="561"/>
      <c r="K44" s="561"/>
      <c r="L44" s="561"/>
      <c r="M44" s="561"/>
      <c r="N44" s="561"/>
      <c r="O44" s="561"/>
    </row>
    <row r="45" spans="1:15">
      <c r="A45" s="298">
        <v>24</v>
      </c>
      <c r="B45" s="310" t="s">
        <v>620</v>
      </c>
      <c r="C45" s="567">
        <f>C43+C44</f>
        <v>-3931941.9463297641</v>
      </c>
      <c r="D45" s="567">
        <f>D43+D44</f>
        <v>11612350.142942458</v>
      </c>
      <c r="E45" s="568">
        <f t="shared" si="0"/>
        <v>7680408.1966126943</v>
      </c>
      <c r="F45" s="567">
        <f>F43+F44</f>
        <v>-1378667.7397397815</v>
      </c>
      <c r="G45" s="567">
        <f>G43+G44</f>
        <v>10403542.758154018</v>
      </c>
      <c r="H45" s="566">
        <f t="shared" si="1"/>
        <v>9024875.0184142366</v>
      </c>
      <c r="J45" s="561"/>
      <c r="K45" s="561"/>
      <c r="L45" s="561"/>
      <c r="M45" s="561"/>
      <c r="N45" s="561"/>
      <c r="O45" s="561"/>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O47"/>
  <sheetViews>
    <sheetView showGridLines="0" zoomScale="80" zoomScaleNormal="80" workbookViewId="0"/>
  </sheetViews>
  <sheetFormatPr defaultColWidth="8.85546875" defaultRowHeight="15"/>
  <cols>
    <col min="1" max="1" width="8.85546875" style="481"/>
    <col min="2" max="2" width="87.5703125" style="452" bestFit="1" customWidth="1"/>
    <col min="3" max="8" width="15.42578125" style="552" customWidth="1"/>
    <col min="9" max="16384" width="8.85546875" style="452"/>
  </cols>
  <sheetData>
    <row r="1" spans="1:15">
      <c r="A1" s="116" t="s">
        <v>30</v>
      </c>
      <c r="B1" s="451" t="str">
        <f>'Info '!C2</f>
        <v>JSC Cartu Bank</v>
      </c>
      <c r="C1" s="553"/>
    </row>
    <row r="2" spans="1:15">
      <c r="A2" s="116" t="s">
        <v>31</v>
      </c>
      <c r="B2" s="533">
        <f>'1. key ratios '!B2</f>
        <v>45747</v>
      </c>
      <c r="C2" s="553"/>
    </row>
    <row r="3" spans="1:15" ht="15.75" thickBot="1">
      <c r="A3" s="452"/>
    </row>
    <row r="4" spans="1:15">
      <c r="A4" s="725" t="s">
        <v>6</v>
      </c>
      <c r="B4" s="726" t="s">
        <v>94</v>
      </c>
      <c r="C4" s="727" t="s">
        <v>522</v>
      </c>
      <c r="D4" s="727"/>
      <c r="E4" s="727"/>
      <c r="F4" s="727" t="s">
        <v>523</v>
      </c>
      <c r="G4" s="727"/>
      <c r="H4" s="728"/>
    </row>
    <row r="5" spans="1:15">
      <c r="A5" s="725"/>
      <c r="B5" s="726"/>
      <c r="C5" s="564" t="s">
        <v>32</v>
      </c>
      <c r="D5" s="564" t="s">
        <v>33</v>
      </c>
      <c r="E5" s="564" t="s">
        <v>34</v>
      </c>
      <c r="F5" s="564" t="s">
        <v>32</v>
      </c>
      <c r="G5" s="564" t="s">
        <v>33</v>
      </c>
      <c r="H5" s="564" t="s">
        <v>34</v>
      </c>
    </row>
    <row r="6" spans="1:15">
      <c r="A6" s="325">
        <v>1</v>
      </c>
      <c r="B6" s="312" t="s">
        <v>621</v>
      </c>
      <c r="C6" s="571">
        <v>0</v>
      </c>
      <c r="D6" s="571">
        <v>0</v>
      </c>
      <c r="E6" s="572">
        <f t="shared" ref="E6:E43" si="0">C6+D6</f>
        <v>0</v>
      </c>
      <c r="F6" s="571">
        <v>0</v>
      </c>
      <c r="G6" s="571">
        <v>0</v>
      </c>
      <c r="H6" s="573">
        <f t="shared" ref="H6:H43" si="1">F6+G6</f>
        <v>0</v>
      </c>
      <c r="J6" s="552"/>
      <c r="K6" s="552"/>
      <c r="L6" s="552"/>
      <c r="M6" s="552"/>
      <c r="N6" s="552"/>
      <c r="O6" s="552"/>
    </row>
    <row r="7" spans="1:15">
      <c r="A7" s="325">
        <v>2</v>
      </c>
      <c r="B7" s="312" t="s">
        <v>183</v>
      </c>
      <c r="C7" s="571">
        <v>0</v>
      </c>
      <c r="D7" s="571">
        <v>0</v>
      </c>
      <c r="E7" s="572">
        <f t="shared" si="0"/>
        <v>0</v>
      </c>
      <c r="F7" s="571">
        <v>0</v>
      </c>
      <c r="G7" s="571">
        <v>0</v>
      </c>
      <c r="H7" s="573">
        <f t="shared" si="1"/>
        <v>0</v>
      </c>
      <c r="J7" s="552"/>
      <c r="K7" s="552"/>
      <c r="L7" s="552"/>
      <c r="M7" s="552"/>
      <c r="N7" s="552"/>
      <c r="O7" s="552"/>
    </row>
    <row r="8" spans="1:15">
      <c r="A8" s="325">
        <v>3</v>
      </c>
      <c r="B8" s="312" t="s">
        <v>193</v>
      </c>
      <c r="C8" s="571">
        <f>C9+C10</f>
        <v>133618660.49992223</v>
      </c>
      <c r="D8" s="571">
        <f>D9+D10</f>
        <v>435451708.00232792</v>
      </c>
      <c r="E8" s="572">
        <f t="shared" si="0"/>
        <v>569070368.50225019</v>
      </c>
      <c r="F8" s="571">
        <f>F9+F10</f>
        <v>111114230.37159829</v>
      </c>
      <c r="G8" s="571">
        <f>G9+G10</f>
        <v>316479419.94260895</v>
      </c>
      <c r="H8" s="573">
        <f t="shared" si="1"/>
        <v>427593650.31420726</v>
      </c>
      <c r="J8" s="552"/>
      <c r="K8" s="552"/>
      <c r="L8" s="552"/>
      <c r="M8" s="552"/>
      <c r="N8" s="552"/>
      <c r="O8" s="552"/>
    </row>
    <row r="9" spans="1:15">
      <c r="A9" s="325">
        <v>3.1</v>
      </c>
      <c r="B9" s="311" t="s">
        <v>184</v>
      </c>
      <c r="C9" s="571">
        <v>4518649.03</v>
      </c>
      <c r="D9" s="571">
        <v>313842.15000000002</v>
      </c>
      <c r="E9" s="572">
        <f t="shared" si="0"/>
        <v>4832491.1800000006</v>
      </c>
      <c r="F9" s="571">
        <v>5140262.040000001</v>
      </c>
      <c r="G9" s="571">
        <v>306336.56</v>
      </c>
      <c r="H9" s="573">
        <f t="shared" si="1"/>
        <v>5446598.6000000006</v>
      </c>
      <c r="J9" s="552"/>
      <c r="K9" s="552"/>
      <c r="L9" s="552"/>
      <c r="M9" s="552"/>
      <c r="N9" s="552"/>
      <c r="O9" s="552"/>
    </row>
    <row r="10" spans="1:15">
      <c r="A10" s="325">
        <v>3.2</v>
      </c>
      <c r="B10" s="311" t="s">
        <v>180</v>
      </c>
      <c r="C10" s="571">
        <v>129100011.46992223</v>
      </c>
      <c r="D10" s="571">
        <v>435137865.85232794</v>
      </c>
      <c r="E10" s="572">
        <f t="shared" si="0"/>
        <v>564237877.32225013</v>
      </c>
      <c r="F10" s="571">
        <v>105973968.33159828</v>
      </c>
      <c r="G10" s="571">
        <v>316173083.38260895</v>
      </c>
      <c r="H10" s="573">
        <f t="shared" si="1"/>
        <v>422147051.71420723</v>
      </c>
      <c r="J10" s="552"/>
      <c r="K10" s="552"/>
      <c r="L10" s="552"/>
      <c r="M10" s="552"/>
      <c r="N10" s="552"/>
      <c r="O10" s="552"/>
    </row>
    <row r="11" spans="1:15">
      <c r="A11" s="325">
        <v>4</v>
      </c>
      <c r="B11" s="312" t="s">
        <v>182</v>
      </c>
      <c r="C11" s="571">
        <f>C12+C13</f>
        <v>0</v>
      </c>
      <c r="D11" s="571">
        <f>D12+D13</f>
        <v>0</v>
      </c>
      <c r="E11" s="572">
        <f t="shared" si="0"/>
        <v>0</v>
      </c>
      <c r="F11" s="571">
        <f>F12+F13</f>
        <v>0</v>
      </c>
      <c r="G11" s="571">
        <f>G12+G13</f>
        <v>0</v>
      </c>
      <c r="H11" s="573">
        <f t="shared" si="1"/>
        <v>0</v>
      </c>
      <c r="J11" s="552"/>
      <c r="K11" s="552"/>
      <c r="L11" s="552"/>
      <c r="M11" s="552"/>
      <c r="N11" s="552"/>
      <c r="O11" s="552"/>
    </row>
    <row r="12" spans="1:15">
      <c r="A12" s="325">
        <v>4.0999999999999996</v>
      </c>
      <c r="B12" s="311" t="s">
        <v>166</v>
      </c>
      <c r="C12" s="571">
        <v>0</v>
      </c>
      <c r="D12" s="571">
        <v>0</v>
      </c>
      <c r="E12" s="572">
        <f t="shared" si="0"/>
        <v>0</v>
      </c>
      <c r="F12" s="571">
        <v>0</v>
      </c>
      <c r="G12" s="571">
        <v>0</v>
      </c>
      <c r="H12" s="573">
        <f t="shared" si="1"/>
        <v>0</v>
      </c>
      <c r="J12" s="552"/>
      <c r="K12" s="552"/>
      <c r="L12" s="552"/>
      <c r="M12" s="552"/>
      <c r="N12" s="552"/>
      <c r="O12" s="552"/>
    </row>
    <row r="13" spans="1:15">
      <c r="A13" s="325">
        <v>4.2</v>
      </c>
      <c r="B13" s="311" t="s">
        <v>167</v>
      </c>
      <c r="C13" s="571">
        <v>0</v>
      </c>
      <c r="D13" s="571">
        <v>0</v>
      </c>
      <c r="E13" s="572">
        <f t="shared" si="0"/>
        <v>0</v>
      </c>
      <c r="F13" s="571">
        <v>0</v>
      </c>
      <c r="G13" s="571">
        <v>0</v>
      </c>
      <c r="H13" s="573">
        <f t="shared" si="1"/>
        <v>0</v>
      </c>
      <c r="J13" s="552"/>
      <c r="K13" s="552"/>
      <c r="L13" s="552"/>
      <c r="M13" s="552"/>
      <c r="N13" s="552"/>
      <c r="O13" s="552"/>
    </row>
    <row r="14" spans="1:15">
      <c r="A14" s="325">
        <v>5</v>
      </c>
      <c r="B14" s="312" t="s">
        <v>192</v>
      </c>
      <c r="C14" s="571">
        <f>C15+C16+C17+C23+C24+C25+C26</f>
        <v>330307384.18007255</v>
      </c>
      <c r="D14" s="571">
        <f>D15+D16+D17+D23+D24+D25+D26</f>
        <v>2647751679.2730246</v>
      </c>
      <c r="E14" s="572">
        <f t="shared" si="0"/>
        <v>2978059063.4530973</v>
      </c>
      <c r="F14" s="571">
        <f>F15+F16+F17+F23+F24+F25+F26</f>
        <v>207096091.19292709</v>
      </c>
      <c r="G14" s="571">
        <f>G15+G16+G17+G23+G24+G25+G26</f>
        <v>2004544418.5439138</v>
      </c>
      <c r="H14" s="573">
        <f t="shared" si="1"/>
        <v>2211640509.7368407</v>
      </c>
      <c r="J14" s="552"/>
      <c r="K14" s="552"/>
      <c r="L14" s="552"/>
      <c r="M14" s="552"/>
      <c r="N14" s="552"/>
      <c r="O14" s="552"/>
    </row>
    <row r="15" spans="1:15">
      <c r="A15" s="325">
        <v>5.0999999999999996</v>
      </c>
      <c r="B15" s="313" t="s">
        <v>170</v>
      </c>
      <c r="C15" s="571">
        <v>49907497.089999996</v>
      </c>
      <c r="D15" s="571">
        <v>29282328.700715996</v>
      </c>
      <c r="E15" s="572">
        <f t="shared" si="0"/>
        <v>79189825.790715992</v>
      </c>
      <c r="F15" s="571">
        <v>44317669.449999996</v>
      </c>
      <c r="G15" s="571">
        <v>30538233.799384993</v>
      </c>
      <c r="H15" s="573">
        <f t="shared" si="1"/>
        <v>74855903.249384984</v>
      </c>
      <c r="J15" s="552"/>
      <c r="K15" s="552"/>
      <c r="L15" s="552"/>
      <c r="M15" s="552"/>
      <c r="N15" s="552"/>
      <c r="O15" s="552"/>
    </row>
    <row r="16" spans="1:15">
      <c r="A16" s="325">
        <v>5.2</v>
      </c>
      <c r="B16" s="313" t="s">
        <v>169</v>
      </c>
      <c r="C16" s="571">
        <v>0</v>
      </c>
      <c r="D16" s="571">
        <v>0</v>
      </c>
      <c r="E16" s="572">
        <f t="shared" si="0"/>
        <v>0</v>
      </c>
      <c r="F16" s="571">
        <v>0</v>
      </c>
      <c r="G16" s="571">
        <v>0</v>
      </c>
      <c r="H16" s="573">
        <f t="shared" si="1"/>
        <v>0</v>
      </c>
      <c r="J16" s="552"/>
      <c r="K16" s="552"/>
      <c r="L16" s="552"/>
      <c r="M16" s="552"/>
      <c r="N16" s="552"/>
      <c r="O16" s="552"/>
    </row>
    <row r="17" spans="1:15">
      <c r="A17" s="325">
        <v>5.3</v>
      </c>
      <c r="B17" s="313" t="s">
        <v>168</v>
      </c>
      <c r="C17" s="571">
        <f>C18+C19+C20+C21+C22</f>
        <v>6000102.2199999997</v>
      </c>
      <c r="D17" s="571">
        <f>D18+D19+D20+D21+D22</f>
        <v>1874999397.0909352</v>
      </c>
      <c r="E17" s="572">
        <f t="shared" si="0"/>
        <v>1880999499.3109353</v>
      </c>
      <c r="F17" s="571">
        <f>F18+F19+F20+F21+F22</f>
        <v>5959526.7999999998</v>
      </c>
      <c r="G17" s="571">
        <f>G18+G19+G20+G21+G22</f>
        <v>1451809881.3189077</v>
      </c>
      <c r="H17" s="573">
        <f t="shared" si="1"/>
        <v>1457769408.1189077</v>
      </c>
      <c r="J17" s="552"/>
      <c r="K17" s="552"/>
      <c r="L17" s="552"/>
      <c r="M17" s="552"/>
      <c r="N17" s="552"/>
      <c r="O17" s="552"/>
    </row>
    <row r="18" spans="1:15">
      <c r="A18" s="325" t="s">
        <v>15</v>
      </c>
      <c r="B18" s="314" t="s">
        <v>36</v>
      </c>
      <c r="C18" s="571">
        <v>139471.92000000001</v>
      </c>
      <c r="D18" s="571">
        <v>199622108.76126915</v>
      </c>
      <c r="E18" s="572">
        <f t="shared" si="0"/>
        <v>199761580.68126914</v>
      </c>
      <c r="F18" s="571">
        <v>97030.8</v>
      </c>
      <c r="G18" s="571">
        <v>168501100.60059923</v>
      </c>
      <c r="H18" s="573">
        <f t="shared" si="1"/>
        <v>168598131.40059924</v>
      </c>
      <c r="J18" s="552"/>
      <c r="K18" s="552"/>
      <c r="L18" s="552"/>
      <c r="M18" s="552"/>
      <c r="N18" s="552"/>
      <c r="O18" s="552"/>
    </row>
    <row r="19" spans="1:15">
      <c r="A19" s="325" t="s">
        <v>16</v>
      </c>
      <c r="B19" s="314" t="s">
        <v>37</v>
      </c>
      <c r="C19" s="571">
        <v>816353.5</v>
      </c>
      <c r="D19" s="571">
        <v>962772763.29233229</v>
      </c>
      <c r="E19" s="572">
        <f t="shared" si="0"/>
        <v>963589116.79233229</v>
      </c>
      <c r="F19" s="571">
        <v>819371.2</v>
      </c>
      <c r="G19" s="571">
        <v>664048442.72992098</v>
      </c>
      <c r="H19" s="573">
        <f t="shared" si="1"/>
        <v>664867813.92992103</v>
      </c>
      <c r="J19" s="552"/>
      <c r="K19" s="552"/>
      <c r="L19" s="552"/>
      <c r="M19" s="552"/>
      <c r="N19" s="552"/>
      <c r="O19" s="552"/>
    </row>
    <row r="20" spans="1:15">
      <c r="A20" s="325" t="s">
        <v>17</v>
      </c>
      <c r="B20" s="314" t="s">
        <v>38</v>
      </c>
      <c r="C20" s="571">
        <v>0</v>
      </c>
      <c r="D20" s="571">
        <v>163307253.26570001</v>
      </c>
      <c r="E20" s="572">
        <f t="shared" si="0"/>
        <v>163307253.26570001</v>
      </c>
      <c r="F20" s="571">
        <v>0</v>
      </c>
      <c r="G20" s="571">
        <v>149037106.73990005</v>
      </c>
      <c r="H20" s="573">
        <f t="shared" si="1"/>
        <v>149037106.73990005</v>
      </c>
      <c r="J20" s="552"/>
      <c r="K20" s="552"/>
      <c r="L20" s="552"/>
      <c r="M20" s="552"/>
      <c r="N20" s="552"/>
      <c r="O20" s="552"/>
    </row>
    <row r="21" spans="1:15">
      <c r="A21" s="325" t="s">
        <v>18</v>
      </c>
      <c r="B21" s="314" t="s">
        <v>39</v>
      </c>
      <c r="C21" s="571">
        <v>5044276.8</v>
      </c>
      <c r="D21" s="571">
        <v>512081282.5968169</v>
      </c>
      <c r="E21" s="572">
        <f t="shared" si="0"/>
        <v>517125559.39681691</v>
      </c>
      <c r="F21" s="571">
        <v>5043124.8</v>
      </c>
      <c r="G21" s="571">
        <v>417535721.33779305</v>
      </c>
      <c r="H21" s="573">
        <f t="shared" si="1"/>
        <v>422578846.13779306</v>
      </c>
      <c r="J21" s="552"/>
      <c r="K21" s="552"/>
      <c r="L21" s="552"/>
      <c r="M21" s="552"/>
      <c r="N21" s="552"/>
      <c r="O21" s="552"/>
    </row>
    <row r="22" spans="1:15">
      <c r="A22" s="325" t="s">
        <v>19</v>
      </c>
      <c r="B22" s="314" t="s">
        <v>40</v>
      </c>
      <c r="C22" s="571">
        <v>0</v>
      </c>
      <c r="D22" s="571">
        <v>37215989.174816579</v>
      </c>
      <c r="E22" s="572">
        <f t="shared" si="0"/>
        <v>37215989.174816579</v>
      </c>
      <c r="F22" s="571">
        <v>0</v>
      </c>
      <c r="G22" s="571">
        <v>52687509.910694309</v>
      </c>
      <c r="H22" s="573">
        <f t="shared" si="1"/>
        <v>52687509.910694309</v>
      </c>
      <c r="J22" s="552"/>
      <c r="K22" s="552"/>
      <c r="L22" s="552"/>
      <c r="M22" s="552"/>
      <c r="N22" s="552"/>
      <c r="O22" s="552"/>
    </row>
    <row r="23" spans="1:15">
      <c r="A23" s="325">
        <v>5.4</v>
      </c>
      <c r="B23" s="313" t="s">
        <v>171</v>
      </c>
      <c r="C23" s="571">
        <v>200185218.87007254</v>
      </c>
      <c r="D23" s="571">
        <v>367193820.42095304</v>
      </c>
      <c r="E23" s="572">
        <f t="shared" si="0"/>
        <v>567379039.29102564</v>
      </c>
      <c r="F23" s="571">
        <v>114699551.93292712</v>
      </c>
      <c r="G23" s="571">
        <v>356048707.2500211</v>
      </c>
      <c r="H23" s="573">
        <f t="shared" si="1"/>
        <v>470748259.18294823</v>
      </c>
      <c r="J23" s="552"/>
      <c r="K23" s="552"/>
      <c r="L23" s="552"/>
      <c r="M23" s="552"/>
      <c r="N23" s="552"/>
      <c r="O23" s="552"/>
    </row>
    <row r="24" spans="1:15">
      <c r="A24" s="325">
        <v>5.5</v>
      </c>
      <c r="B24" s="313" t="s">
        <v>172</v>
      </c>
      <c r="C24" s="571">
        <v>19126543</v>
      </c>
      <c r="D24" s="571">
        <v>351704747.80612004</v>
      </c>
      <c r="E24" s="572">
        <f t="shared" si="0"/>
        <v>370831290.80612004</v>
      </c>
      <c r="F24" s="571">
        <v>18726543.009999998</v>
      </c>
      <c r="G24" s="571">
        <v>136206990.8906</v>
      </c>
      <c r="H24" s="573">
        <f t="shared" si="1"/>
        <v>154933533.90059999</v>
      </c>
      <c r="J24" s="552"/>
      <c r="K24" s="552"/>
      <c r="L24" s="552"/>
      <c r="M24" s="552"/>
      <c r="N24" s="552"/>
      <c r="O24" s="552"/>
    </row>
    <row r="25" spans="1:15">
      <c r="A25" s="325">
        <v>5.6</v>
      </c>
      <c r="B25" s="313" t="s">
        <v>173</v>
      </c>
      <c r="C25" s="571">
        <v>0</v>
      </c>
      <c r="D25" s="571">
        <v>4150950</v>
      </c>
      <c r="E25" s="572">
        <f t="shared" si="0"/>
        <v>4150950</v>
      </c>
      <c r="F25" s="571">
        <v>0</v>
      </c>
      <c r="G25" s="571">
        <v>4177715</v>
      </c>
      <c r="H25" s="573">
        <f t="shared" si="1"/>
        <v>4177715</v>
      </c>
      <c r="J25" s="552"/>
      <c r="K25" s="552"/>
      <c r="L25" s="552"/>
      <c r="M25" s="552"/>
      <c r="N25" s="552"/>
      <c r="O25" s="552"/>
    </row>
    <row r="26" spans="1:15">
      <c r="A26" s="325">
        <v>5.7</v>
      </c>
      <c r="B26" s="313" t="s">
        <v>40</v>
      </c>
      <c r="C26" s="571">
        <v>55088023</v>
      </c>
      <c r="D26" s="571">
        <v>20420435.254299998</v>
      </c>
      <c r="E26" s="572">
        <f t="shared" si="0"/>
        <v>75508458.254299998</v>
      </c>
      <c r="F26" s="571">
        <v>23392800</v>
      </c>
      <c r="G26" s="571">
        <v>25762890.284999996</v>
      </c>
      <c r="H26" s="573">
        <f t="shared" si="1"/>
        <v>49155690.284999996</v>
      </c>
      <c r="J26" s="552"/>
      <c r="K26" s="552"/>
      <c r="L26" s="552"/>
      <c r="M26" s="552"/>
      <c r="N26" s="552"/>
      <c r="O26" s="552"/>
    </row>
    <row r="27" spans="1:15">
      <c r="A27" s="325">
        <v>6</v>
      </c>
      <c r="B27" s="483" t="s">
        <v>622</v>
      </c>
      <c r="C27" s="571">
        <v>20135701.550000001</v>
      </c>
      <c r="D27" s="571">
        <v>31752865.143855006</v>
      </c>
      <c r="E27" s="572">
        <f t="shared" si="0"/>
        <v>51888566.693855003</v>
      </c>
      <c r="F27" s="571">
        <v>13782246.75</v>
      </c>
      <c r="G27" s="571">
        <v>12664602.013116</v>
      </c>
      <c r="H27" s="573">
        <f t="shared" si="1"/>
        <v>26446848.763116002</v>
      </c>
      <c r="J27" s="552"/>
      <c r="K27" s="552"/>
      <c r="L27" s="552"/>
      <c r="M27" s="552"/>
      <c r="N27" s="552"/>
      <c r="O27" s="552"/>
    </row>
    <row r="28" spans="1:15">
      <c r="A28" s="325">
        <v>7</v>
      </c>
      <c r="B28" s="483" t="s">
        <v>623</v>
      </c>
      <c r="C28" s="571">
        <v>55929431.839999996</v>
      </c>
      <c r="D28" s="571">
        <v>95767296.299999997</v>
      </c>
      <c r="E28" s="572">
        <f t="shared" si="0"/>
        <v>151696728.13999999</v>
      </c>
      <c r="F28" s="571">
        <v>90928441.5</v>
      </c>
      <c r="G28" s="571">
        <v>70445533.479999989</v>
      </c>
      <c r="H28" s="573">
        <f t="shared" si="1"/>
        <v>161373974.97999999</v>
      </c>
      <c r="J28" s="552"/>
      <c r="K28" s="552"/>
      <c r="L28" s="552"/>
      <c r="M28" s="552"/>
      <c r="N28" s="552"/>
      <c r="O28" s="552"/>
    </row>
    <row r="29" spans="1:15">
      <c r="A29" s="325">
        <v>8</v>
      </c>
      <c r="B29" s="483" t="s">
        <v>181</v>
      </c>
      <c r="C29" s="571">
        <v>0</v>
      </c>
      <c r="D29" s="571">
        <v>0</v>
      </c>
      <c r="E29" s="572">
        <f t="shared" si="0"/>
        <v>0</v>
      </c>
      <c r="F29" s="571">
        <v>0</v>
      </c>
      <c r="G29" s="571">
        <v>0</v>
      </c>
      <c r="H29" s="573">
        <f t="shared" si="1"/>
        <v>0</v>
      </c>
      <c r="J29" s="552"/>
      <c r="K29" s="552"/>
      <c r="L29" s="552"/>
      <c r="M29" s="552"/>
      <c r="N29" s="552"/>
      <c r="O29" s="552"/>
    </row>
    <row r="30" spans="1:15">
      <c r="A30" s="325">
        <v>9</v>
      </c>
      <c r="B30" s="484" t="s">
        <v>198</v>
      </c>
      <c r="C30" s="571">
        <f>C31+C32+C33+C34+C35+C36+C37</f>
        <v>0</v>
      </c>
      <c r="D30" s="571">
        <f>D31+D32+D33+D34+D35+D36+D37</f>
        <v>0</v>
      </c>
      <c r="E30" s="572">
        <f t="shared" si="0"/>
        <v>0</v>
      </c>
      <c r="F30" s="571">
        <f>F31+F32+F33+F34+F35+F36+F37</f>
        <v>0</v>
      </c>
      <c r="G30" s="571">
        <f>G31+G32+G33+G34+G35+G36+G37</f>
        <v>0</v>
      </c>
      <c r="H30" s="573">
        <f t="shared" si="1"/>
        <v>0</v>
      </c>
      <c r="J30" s="552"/>
      <c r="K30" s="552"/>
      <c r="L30" s="552"/>
      <c r="M30" s="552"/>
      <c r="N30" s="552"/>
      <c r="O30" s="552"/>
    </row>
    <row r="31" spans="1:15">
      <c r="A31" s="325">
        <v>9.1</v>
      </c>
      <c r="B31" s="315" t="s">
        <v>188</v>
      </c>
      <c r="C31" s="571">
        <v>0</v>
      </c>
      <c r="D31" s="571">
        <v>0</v>
      </c>
      <c r="E31" s="572">
        <f t="shared" si="0"/>
        <v>0</v>
      </c>
      <c r="F31" s="571">
        <v>0</v>
      </c>
      <c r="G31" s="571">
        <v>0</v>
      </c>
      <c r="H31" s="573">
        <f t="shared" si="1"/>
        <v>0</v>
      </c>
      <c r="J31" s="552"/>
      <c r="K31" s="552"/>
      <c r="L31" s="552"/>
      <c r="M31" s="552"/>
      <c r="N31" s="552"/>
      <c r="O31" s="552"/>
    </row>
    <row r="32" spans="1:15">
      <c r="A32" s="325">
        <v>9.1999999999999993</v>
      </c>
      <c r="B32" s="315" t="s">
        <v>189</v>
      </c>
      <c r="C32" s="571">
        <v>0</v>
      </c>
      <c r="D32" s="571">
        <v>0</v>
      </c>
      <c r="E32" s="572">
        <f t="shared" si="0"/>
        <v>0</v>
      </c>
      <c r="F32" s="571">
        <v>0</v>
      </c>
      <c r="G32" s="571">
        <v>0</v>
      </c>
      <c r="H32" s="573">
        <f t="shared" si="1"/>
        <v>0</v>
      </c>
      <c r="J32" s="552"/>
      <c r="K32" s="552"/>
      <c r="L32" s="552"/>
      <c r="M32" s="552"/>
      <c r="N32" s="552"/>
      <c r="O32" s="552"/>
    </row>
    <row r="33" spans="1:15">
      <c r="A33" s="325">
        <v>9.3000000000000007</v>
      </c>
      <c r="B33" s="315" t="s">
        <v>185</v>
      </c>
      <c r="C33" s="571">
        <v>0</v>
      </c>
      <c r="D33" s="571">
        <v>0</v>
      </c>
      <c r="E33" s="572">
        <f t="shared" si="0"/>
        <v>0</v>
      </c>
      <c r="F33" s="571">
        <v>0</v>
      </c>
      <c r="G33" s="571">
        <v>0</v>
      </c>
      <c r="H33" s="573">
        <f t="shared" si="1"/>
        <v>0</v>
      </c>
      <c r="J33" s="552"/>
      <c r="K33" s="552"/>
      <c r="L33" s="552"/>
      <c r="M33" s="552"/>
      <c r="N33" s="552"/>
      <c r="O33" s="552"/>
    </row>
    <row r="34" spans="1:15">
      <c r="A34" s="325">
        <v>9.4</v>
      </c>
      <c r="B34" s="315" t="s">
        <v>186</v>
      </c>
      <c r="C34" s="571">
        <v>0</v>
      </c>
      <c r="D34" s="571">
        <v>0</v>
      </c>
      <c r="E34" s="572">
        <f t="shared" si="0"/>
        <v>0</v>
      </c>
      <c r="F34" s="571">
        <v>0</v>
      </c>
      <c r="G34" s="571">
        <v>0</v>
      </c>
      <c r="H34" s="573">
        <f t="shared" si="1"/>
        <v>0</v>
      </c>
      <c r="J34" s="552"/>
      <c r="K34" s="552"/>
      <c r="L34" s="552"/>
      <c r="M34" s="552"/>
      <c r="N34" s="552"/>
      <c r="O34" s="552"/>
    </row>
    <row r="35" spans="1:15">
      <c r="A35" s="325">
        <v>9.5</v>
      </c>
      <c r="B35" s="315" t="s">
        <v>187</v>
      </c>
      <c r="C35" s="571">
        <v>0</v>
      </c>
      <c r="D35" s="571">
        <v>0</v>
      </c>
      <c r="E35" s="572">
        <f t="shared" si="0"/>
        <v>0</v>
      </c>
      <c r="F35" s="571">
        <v>0</v>
      </c>
      <c r="G35" s="571">
        <v>0</v>
      </c>
      <c r="H35" s="573">
        <f t="shared" si="1"/>
        <v>0</v>
      </c>
      <c r="J35" s="552"/>
      <c r="K35" s="552"/>
      <c r="L35" s="552"/>
      <c r="M35" s="552"/>
      <c r="N35" s="552"/>
      <c r="O35" s="552"/>
    </row>
    <row r="36" spans="1:15">
      <c r="A36" s="325">
        <v>9.6</v>
      </c>
      <c r="B36" s="315" t="s">
        <v>190</v>
      </c>
      <c r="C36" s="571">
        <v>0</v>
      </c>
      <c r="D36" s="571">
        <v>0</v>
      </c>
      <c r="E36" s="572">
        <f t="shared" si="0"/>
        <v>0</v>
      </c>
      <c r="F36" s="571">
        <v>0</v>
      </c>
      <c r="G36" s="571">
        <v>0</v>
      </c>
      <c r="H36" s="573">
        <f t="shared" si="1"/>
        <v>0</v>
      </c>
      <c r="J36" s="552"/>
      <c r="K36" s="552"/>
      <c r="L36" s="552"/>
      <c r="M36" s="552"/>
      <c r="N36" s="552"/>
      <c r="O36" s="552"/>
    </row>
    <row r="37" spans="1:15">
      <c r="A37" s="325">
        <v>9.6999999999999993</v>
      </c>
      <c r="B37" s="315" t="s">
        <v>191</v>
      </c>
      <c r="C37" s="571">
        <v>0</v>
      </c>
      <c r="D37" s="571">
        <v>0</v>
      </c>
      <c r="E37" s="572">
        <f t="shared" si="0"/>
        <v>0</v>
      </c>
      <c r="F37" s="571">
        <v>0</v>
      </c>
      <c r="G37" s="571">
        <v>0</v>
      </c>
      <c r="H37" s="573">
        <f t="shared" si="1"/>
        <v>0</v>
      </c>
      <c r="J37" s="552"/>
      <c r="K37" s="552"/>
      <c r="L37" s="552"/>
      <c r="M37" s="552"/>
      <c r="N37" s="552"/>
      <c r="O37" s="552"/>
    </row>
    <row r="38" spans="1:15">
      <c r="A38" s="325">
        <v>10</v>
      </c>
      <c r="B38" s="312" t="s">
        <v>194</v>
      </c>
      <c r="C38" s="574">
        <f>C41+C42</f>
        <v>29616228.979431756</v>
      </c>
      <c r="D38" s="574">
        <f>D41+D42</f>
        <v>81054538.202010006</v>
      </c>
      <c r="E38" s="575">
        <f t="shared" si="0"/>
        <v>110670767.18144175</v>
      </c>
      <c r="F38" s="574">
        <f>F41+F42</f>
        <v>31623438.339431755</v>
      </c>
      <c r="G38" s="574">
        <f>G41+G42</f>
        <v>84622650.435210019</v>
      </c>
      <c r="H38" s="573">
        <f t="shared" si="1"/>
        <v>116246088.77464178</v>
      </c>
      <c r="J38" s="552"/>
      <c r="K38" s="552"/>
      <c r="L38" s="552"/>
      <c r="M38" s="552"/>
      <c r="N38" s="552"/>
      <c r="O38" s="552"/>
    </row>
    <row r="39" spans="1:15">
      <c r="A39" s="325">
        <v>10.1</v>
      </c>
      <c r="B39" s="315" t="s">
        <v>195</v>
      </c>
      <c r="C39" s="571">
        <v>584.51</v>
      </c>
      <c r="D39" s="571">
        <v>1176940.6165</v>
      </c>
      <c r="E39" s="572">
        <f t="shared" si="0"/>
        <v>1177525.1265</v>
      </c>
      <c r="F39" s="571">
        <v>0</v>
      </c>
      <c r="G39" s="571">
        <v>1365217.257</v>
      </c>
      <c r="H39" s="573">
        <f t="shared" si="1"/>
        <v>1365217.257</v>
      </c>
      <c r="J39" s="552"/>
      <c r="K39" s="552"/>
      <c r="L39" s="552"/>
      <c r="M39" s="552"/>
      <c r="N39" s="552"/>
      <c r="O39" s="552"/>
    </row>
    <row r="40" spans="1:15">
      <c r="A40" s="325">
        <v>10.199999999999999</v>
      </c>
      <c r="B40" s="315" t="s">
        <v>196</v>
      </c>
      <c r="C40" s="571">
        <v>421.62</v>
      </c>
      <c r="D40" s="571">
        <v>2.8199999999999999E-2</v>
      </c>
      <c r="E40" s="572">
        <f t="shared" si="0"/>
        <v>421.64820000000003</v>
      </c>
      <c r="F40" s="571">
        <v>27968.99</v>
      </c>
      <c r="G40" s="571">
        <v>47030.8753</v>
      </c>
      <c r="H40" s="573">
        <f t="shared" si="1"/>
        <v>74999.865300000005</v>
      </c>
      <c r="J40" s="552"/>
      <c r="K40" s="552"/>
      <c r="L40" s="552"/>
      <c r="M40" s="552"/>
      <c r="N40" s="552"/>
      <c r="O40" s="552"/>
    </row>
    <row r="41" spans="1:15">
      <c r="A41" s="325">
        <v>10.3</v>
      </c>
      <c r="B41" s="315" t="s">
        <v>199</v>
      </c>
      <c r="C41" s="571">
        <v>12657252.300000003</v>
      </c>
      <c r="D41" s="571">
        <v>32871590.113699988</v>
      </c>
      <c r="E41" s="572">
        <f t="shared" si="0"/>
        <v>45528842.413699992</v>
      </c>
      <c r="F41" s="571">
        <v>13458451.570000002</v>
      </c>
      <c r="G41" s="571">
        <v>31919637.627399992</v>
      </c>
      <c r="H41" s="573">
        <f t="shared" si="1"/>
        <v>45378089.197399996</v>
      </c>
      <c r="J41" s="552"/>
      <c r="K41" s="552"/>
      <c r="L41" s="552"/>
      <c r="M41" s="552"/>
      <c r="N41" s="552"/>
      <c r="O41" s="552"/>
    </row>
    <row r="42" spans="1:15" ht="25.5">
      <c r="A42" s="325">
        <v>10.4</v>
      </c>
      <c r="B42" s="315" t="s">
        <v>200</v>
      </c>
      <c r="C42" s="571">
        <v>16958976.679431751</v>
      </c>
      <c r="D42" s="571">
        <v>48182948.088310011</v>
      </c>
      <c r="E42" s="572">
        <f t="shared" si="0"/>
        <v>65141924.767741762</v>
      </c>
      <c r="F42" s="571">
        <v>18164986.769431751</v>
      </c>
      <c r="G42" s="571">
        <v>52703012.807810023</v>
      </c>
      <c r="H42" s="573">
        <f t="shared" si="1"/>
        <v>70867999.577241778</v>
      </c>
      <c r="J42" s="552"/>
      <c r="K42" s="552"/>
      <c r="L42" s="552"/>
      <c r="M42" s="552"/>
      <c r="N42" s="552"/>
      <c r="O42" s="552"/>
    </row>
    <row r="43" spans="1:15" ht="15.75" thickBot="1">
      <c r="A43" s="325">
        <v>11</v>
      </c>
      <c r="B43" s="96" t="s">
        <v>197</v>
      </c>
      <c r="C43" s="571">
        <v>0</v>
      </c>
      <c r="D43" s="571">
        <v>0</v>
      </c>
      <c r="E43" s="572">
        <f t="shared" si="0"/>
        <v>0</v>
      </c>
      <c r="F43" s="571">
        <v>0</v>
      </c>
      <c r="G43" s="571">
        <v>0</v>
      </c>
      <c r="H43" s="573">
        <f t="shared" si="1"/>
        <v>0</v>
      </c>
      <c r="J43" s="552"/>
      <c r="K43" s="552"/>
      <c r="L43" s="552"/>
      <c r="M43" s="552"/>
      <c r="N43" s="552"/>
      <c r="O43" s="552"/>
    </row>
    <row r="44" spans="1:15">
      <c r="C44" s="576"/>
      <c r="D44" s="576"/>
      <c r="E44" s="576"/>
      <c r="F44" s="576"/>
      <c r="G44" s="576"/>
      <c r="H44" s="576"/>
    </row>
    <row r="45" spans="1:15">
      <c r="C45" s="576"/>
      <c r="D45" s="576"/>
      <c r="E45" s="576"/>
      <c r="F45" s="576"/>
      <c r="G45" s="576"/>
      <c r="H45" s="576"/>
    </row>
    <row r="46" spans="1:15">
      <c r="C46" s="576"/>
      <c r="D46" s="576"/>
      <c r="E46" s="576"/>
      <c r="F46" s="576"/>
      <c r="G46" s="576"/>
      <c r="H46" s="576"/>
    </row>
    <row r="47" spans="1:15">
      <c r="C47" s="576"/>
      <c r="D47" s="576"/>
      <c r="E47" s="576"/>
      <c r="F47" s="576"/>
      <c r="G47" s="576"/>
      <c r="H47" s="576"/>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M29"/>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9.5703125" style="4" bestFit="1" customWidth="1"/>
    <col min="2" max="2" width="93.5703125" style="4" customWidth="1"/>
    <col min="3" max="4" width="14.85546875" style="563" bestFit="1" customWidth="1"/>
    <col min="5" max="7" width="14.85546875" style="577" bestFit="1" customWidth="1"/>
    <col min="8" max="11" width="9.85546875" style="19" customWidth="1"/>
    <col min="12" max="16384" width="9.140625" style="19"/>
  </cols>
  <sheetData>
    <row r="1" spans="1:13">
      <c r="A1" s="2" t="s">
        <v>30</v>
      </c>
      <c r="B1" s="3" t="str">
        <f>'Info '!C2</f>
        <v>JSC Cartu Bank</v>
      </c>
      <c r="C1" s="562"/>
    </row>
    <row r="2" spans="1:13">
      <c r="A2" s="2" t="s">
        <v>31</v>
      </c>
      <c r="B2" s="532">
        <f>'1. key ratios '!B2</f>
        <v>45747</v>
      </c>
      <c r="C2" s="562"/>
    </row>
    <row r="3" spans="1:13">
      <c r="A3" s="2"/>
      <c r="B3" s="3"/>
      <c r="C3" s="562"/>
    </row>
    <row r="4" spans="1:13" ht="15" customHeight="1" thickBot="1">
      <c r="A4" s="4" t="s">
        <v>96</v>
      </c>
      <c r="B4" s="79" t="s">
        <v>174</v>
      </c>
      <c r="C4" s="578" t="s">
        <v>35</v>
      </c>
    </row>
    <row r="5" spans="1:13" ht="15" customHeight="1">
      <c r="A5" s="114" t="s">
        <v>6</v>
      </c>
      <c r="B5" s="115"/>
      <c r="C5" s="579" t="str">
        <f>INT((MONTH($B$2))/3)&amp;"Q"&amp;"-"&amp;YEAR($B$2)</f>
        <v>1Q-2025</v>
      </c>
      <c r="D5" s="579" t="str">
        <f>IF(INT(MONTH($B$2))=3, "4"&amp;"Q"&amp;"-"&amp;YEAR($B$2)-1, IF(INT(MONTH($B$2))=6, "1"&amp;"Q"&amp;"-"&amp;YEAR($B$2), IF(INT(MONTH($B$2))=9, "2"&amp;"Q"&amp;"-"&amp;YEAR($B$2),IF(INT(MONTH($B$2))=12, "3"&amp;"Q"&amp;"-"&amp;YEAR($B$2), 0))))</f>
        <v>4Q-2024</v>
      </c>
      <c r="E5" s="579" t="str">
        <f>IF(INT(MONTH($B$2))=3, "3"&amp;"Q"&amp;"-"&amp;YEAR($B$2)-1, IF(INT(MONTH($B$2))=6, "4"&amp;"Q"&amp;"-"&amp;YEAR($B$2)-1, IF(INT(MONTH($B$2))=9, "1"&amp;"Q"&amp;"-"&amp;YEAR($B$2),IF(INT(MONTH($B$2))=12, "2"&amp;"Q"&amp;"-"&amp;YEAR($B$2), 0))))</f>
        <v>3Q-2024</v>
      </c>
      <c r="F5" s="579" t="str">
        <f>IF(INT(MONTH($B$2))=3, "2"&amp;"Q"&amp;"-"&amp;YEAR($B$2)-1, IF(INT(MONTH($B$2))=6, "3"&amp;"Q"&amp;"-"&amp;YEAR($B$2)-1, IF(INT(MONTH($B$2))=9, "4"&amp;"Q"&amp;"-"&amp;YEAR($B$2)-1,IF(INT(MONTH($B$2))=12, "1"&amp;"Q"&amp;"-"&amp;YEAR($B$2), 0))))</f>
        <v>2Q-2024</v>
      </c>
      <c r="G5" s="580" t="str">
        <f>IF(INT(MONTH($B$2))=3, "1"&amp;"Q"&amp;"-"&amp;YEAR($B$2)-1, IF(INT(MONTH($B$2))=6, "2"&amp;"Q"&amp;"-"&amp;YEAR($B$2)-1, IF(INT(MONTH($B$2))=9, "3"&amp;"Q"&amp;"-"&amp;YEAR($B$2)-1,IF(INT(MONTH($B$2))=12, "4"&amp;"Q"&amp;"-"&amp;YEAR($B$2)-1, 0))))</f>
        <v>1Q-2024</v>
      </c>
    </row>
    <row r="6" spans="1:13" ht="15" customHeight="1">
      <c r="A6" s="22">
        <v>1</v>
      </c>
      <c r="B6" s="188" t="s">
        <v>178</v>
      </c>
      <c r="C6" s="581">
        <f>C7+C9+C10</f>
        <v>1561412237.4625614</v>
      </c>
      <c r="D6" s="582">
        <f>D7+D9+D10</f>
        <v>1747754425.9974732</v>
      </c>
      <c r="E6" s="582">
        <f t="shared" ref="E6:G6" si="0">E7+E9+E10</f>
        <v>1470141039.2617598</v>
      </c>
      <c r="F6" s="582">
        <f t="shared" si="0"/>
        <v>1398657832.8015645</v>
      </c>
      <c r="G6" s="583">
        <f t="shared" si="0"/>
        <v>1420401901.6419873</v>
      </c>
      <c r="I6" s="590"/>
      <c r="J6" s="590"/>
      <c r="K6" s="590"/>
      <c r="L6" s="590"/>
      <c r="M6" s="590"/>
    </row>
    <row r="7" spans="1:13" ht="15" customHeight="1">
      <c r="A7" s="22">
        <v>1.1000000000000001</v>
      </c>
      <c r="B7" s="188" t="s">
        <v>745</v>
      </c>
      <c r="C7" s="584">
        <v>1456185478.304728</v>
      </c>
      <c r="D7" s="585">
        <v>1644294820.9230633</v>
      </c>
      <c r="E7" s="584">
        <v>1363564643.8547225</v>
      </c>
      <c r="F7" s="584">
        <v>1310286369.6710038</v>
      </c>
      <c r="G7" s="586">
        <v>1333641061.7994041</v>
      </c>
      <c r="I7" s="590"/>
      <c r="J7" s="590"/>
      <c r="K7" s="590"/>
      <c r="L7" s="590"/>
      <c r="M7" s="590"/>
    </row>
    <row r="8" spans="1:13">
      <c r="A8" s="22" t="s">
        <v>14</v>
      </c>
      <c r="B8" s="188" t="s">
        <v>95</v>
      </c>
      <c r="C8" s="584">
        <v>23805750</v>
      </c>
      <c r="D8" s="585">
        <v>23805750</v>
      </c>
      <c r="E8" s="584">
        <v>23805750</v>
      </c>
      <c r="F8" s="584">
        <v>23805750</v>
      </c>
      <c r="G8" s="586">
        <v>23430750</v>
      </c>
      <c r="I8" s="590"/>
      <c r="J8" s="590"/>
      <c r="K8" s="590"/>
      <c r="L8" s="590"/>
      <c r="M8" s="590"/>
    </row>
    <row r="9" spans="1:13" ht="15" customHeight="1">
      <c r="A9" s="22">
        <v>1.2</v>
      </c>
      <c r="B9" s="189" t="s">
        <v>94</v>
      </c>
      <c r="C9" s="584">
        <v>105226759.15783325</v>
      </c>
      <c r="D9" s="585">
        <v>103459605.07441007</v>
      </c>
      <c r="E9" s="584">
        <v>106576395.40703729</v>
      </c>
      <c r="F9" s="584">
        <v>88371463.130560666</v>
      </c>
      <c r="G9" s="586">
        <v>86760839.84258309</v>
      </c>
      <c r="I9" s="590"/>
      <c r="J9" s="590"/>
      <c r="K9" s="590"/>
      <c r="L9" s="590"/>
      <c r="M9" s="590"/>
    </row>
    <row r="10" spans="1:13" ht="15" customHeight="1">
      <c r="A10" s="22">
        <v>1.3</v>
      </c>
      <c r="B10" s="188" t="s">
        <v>28</v>
      </c>
      <c r="C10" s="584">
        <v>0</v>
      </c>
      <c r="D10" s="585">
        <v>0</v>
      </c>
      <c r="E10" s="584">
        <v>0</v>
      </c>
      <c r="F10" s="584">
        <v>0</v>
      </c>
      <c r="G10" s="586">
        <v>0</v>
      </c>
      <c r="I10" s="590"/>
      <c r="J10" s="590"/>
      <c r="K10" s="590"/>
      <c r="L10" s="590"/>
      <c r="M10" s="590"/>
    </row>
    <row r="11" spans="1:13" ht="15" customHeight="1">
      <c r="A11" s="22">
        <v>2</v>
      </c>
      <c r="B11" s="188" t="s">
        <v>175</v>
      </c>
      <c r="C11" s="584">
        <v>13332341.836037362</v>
      </c>
      <c r="D11" s="585">
        <v>7684024.8357931608</v>
      </c>
      <c r="E11" s="584">
        <v>6001625.6953501338</v>
      </c>
      <c r="F11" s="584">
        <v>7276819.1953398287</v>
      </c>
      <c r="G11" s="586">
        <v>11124182.229466965</v>
      </c>
      <c r="I11" s="590"/>
      <c r="J11" s="590"/>
      <c r="K11" s="590"/>
      <c r="L11" s="590"/>
      <c r="M11" s="590"/>
    </row>
    <row r="12" spans="1:13" ht="15" customHeight="1">
      <c r="A12" s="22">
        <v>3</v>
      </c>
      <c r="B12" s="188" t="s">
        <v>176</v>
      </c>
      <c r="C12" s="584">
        <v>158841985.05413476</v>
      </c>
      <c r="D12" s="585">
        <v>158841985.05413476</v>
      </c>
      <c r="E12" s="584">
        <v>135448763.36904073</v>
      </c>
      <c r="F12" s="584">
        <v>135448763.36904073</v>
      </c>
      <c r="G12" s="586">
        <v>135448763.36904073</v>
      </c>
      <c r="I12" s="590"/>
      <c r="J12" s="590"/>
      <c r="K12" s="590"/>
      <c r="L12" s="590"/>
      <c r="M12" s="590"/>
    </row>
    <row r="13" spans="1:13" ht="15" customHeight="1" thickBot="1">
      <c r="A13" s="24">
        <v>4</v>
      </c>
      <c r="B13" s="25" t="s">
        <v>177</v>
      </c>
      <c r="C13" s="587">
        <f>C6+C11+C12</f>
        <v>1733586564.3527336</v>
      </c>
      <c r="D13" s="588">
        <f>D6+D11+D12</f>
        <v>1914280435.8874013</v>
      </c>
      <c r="E13" s="588">
        <f t="shared" ref="E13:G13" si="1">E6+E11+E12</f>
        <v>1611591428.3261507</v>
      </c>
      <c r="F13" s="588">
        <f t="shared" si="1"/>
        <v>1541383415.3659451</v>
      </c>
      <c r="G13" s="589">
        <f t="shared" si="1"/>
        <v>1566974847.240495</v>
      </c>
      <c r="I13" s="590"/>
      <c r="J13" s="590"/>
      <c r="K13" s="590"/>
      <c r="L13" s="590"/>
      <c r="M13" s="590"/>
    </row>
    <row r="14" spans="1:13">
      <c r="B14" s="27"/>
    </row>
    <row r="15" spans="1:13">
      <c r="B15" s="27"/>
    </row>
    <row r="16" spans="1:13">
      <c r="B16" s="27"/>
      <c r="E16" s="563"/>
      <c r="F16" s="563"/>
      <c r="G16" s="563"/>
    </row>
    <row r="17" spans="1:7">
      <c r="A17" s="19"/>
      <c r="B17" s="19"/>
      <c r="E17" s="563"/>
      <c r="F17" s="563"/>
      <c r="G17" s="563"/>
    </row>
    <row r="18" spans="1:7">
      <c r="A18" s="19"/>
      <c r="B18" s="19"/>
      <c r="E18" s="563"/>
      <c r="F18" s="563"/>
      <c r="G18" s="563"/>
    </row>
    <row r="19" spans="1:7">
      <c r="A19" s="19"/>
      <c r="B19" s="19"/>
      <c r="E19" s="563"/>
      <c r="F19" s="563"/>
      <c r="G19" s="563"/>
    </row>
    <row r="20" spans="1:7">
      <c r="A20" s="19"/>
      <c r="B20" s="19"/>
      <c r="E20" s="563"/>
      <c r="F20" s="563"/>
      <c r="G20" s="563"/>
    </row>
    <row r="21" spans="1:7">
      <c r="A21" s="19"/>
      <c r="B21" s="19"/>
      <c r="E21" s="563"/>
      <c r="F21" s="563"/>
      <c r="G21" s="563"/>
    </row>
    <row r="22" spans="1:7">
      <c r="A22" s="19"/>
      <c r="B22" s="19"/>
      <c r="E22" s="563"/>
      <c r="F22" s="563"/>
      <c r="G22" s="563"/>
    </row>
    <row r="23" spans="1:7">
      <c r="A23" s="19"/>
      <c r="B23" s="19"/>
      <c r="E23" s="563"/>
      <c r="F23" s="563"/>
      <c r="G23" s="563"/>
    </row>
    <row r="24" spans="1:7" ht="11.25">
      <c r="A24" s="19"/>
      <c r="B24" s="19"/>
      <c r="C24" s="577"/>
      <c r="D24" s="577"/>
    </row>
    <row r="25" spans="1:7" ht="11.25">
      <c r="A25" s="19"/>
      <c r="B25" s="19"/>
      <c r="C25" s="577"/>
      <c r="D25" s="577"/>
    </row>
    <row r="26" spans="1:7" ht="11.25">
      <c r="A26" s="19"/>
      <c r="B26" s="19"/>
      <c r="C26" s="577"/>
      <c r="D26" s="577"/>
    </row>
    <row r="27" spans="1:7" ht="11.25">
      <c r="A27" s="19"/>
      <c r="B27" s="19"/>
      <c r="C27" s="577"/>
      <c r="D27" s="577"/>
    </row>
    <row r="28" spans="1:7" ht="11.25">
      <c r="A28" s="19"/>
      <c r="B28" s="19"/>
      <c r="C28" s="577"/>
      <c r="D28" s="577"/>
    </row>
    <row r="29" spans="1:7" ht="11.25">
      <c r="A29" s="19"/>
      <c r="B29" s="19"/>
      <c r="C29" s="577"/>
      <c r="D29" s="57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4"/>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9.5703125" style="4" bestFit="1" customWidth="1"/>
    <col min="2" max="2" width="64.28515625" style="4" customWidth="1"/>
    <col min="3" max="3" width="96.140625" style="4" customWidth="1"/>
    <col min="4" max="16384" width="9.140625" style="5"/>
  </cols>
  <sheetData>
    <row r="1" spans="1:8">
      <c r="A1" s="2" t="s">
        <v>30</v>
      </c>
      <c r="B1" s="3" t="str">
        <f>'Info '!C2</f>
        <v>JSC Cartu Bank</v>
      </c>
    </row>
    <row r="2" spans="1:8">
      <c r="A2" s="2" t="s">
        <v>31</v>
      </c>
      <c r="B2" s="532">
        <f>'1. key ratios '!B2</f>
        <v>45747</v>
      </c>
    </row>
    <row r="4" spans="1:8" ht="27.95" customHeight="1" thickBot="1">
      <c r="A4" s="28" t="s">
        <v>41</v>
      </c>
      <c r="B4" s="29" t="s">
        <v>151</v>
      </c>
      <c r="C4" s="30"/>
    </row>
    <row r="5" spans="1:8">
      <c r="A5" s="31"/>
      <c r="B5" s="216" t="s">
        <v>42</v>
      </c>
      <c r="C5" s="217" t="s">
        <v>335</v>
      </c>
    </row>
    <row r="6" spans="1:8">
      <c r="A6" s="32">
        <v>1</v>
      </c>
      <c r="B6" s="33" t="s">
        <v>753</v>
      </c>
      <c r="C6" s="34" t="s">
        <v>756</v>
      </c>
    </row>
    <row r="7" spans="1:8">
      <c r="A7" s="32">
        <v>2</v>
      </c>
      <c r="B7" s="33" t="s">
        <v>757</v>
      </c>
      <c r="C7" s="34" t="s">
        <v>758</v>
      </c>
    </row>
    <row r="8" spans="1:8">
      <c r="A8" s="32">
        <v>3</v>
      </c>
      <c r="B8" s="33" t="s">
        <v>759</v>
      </c>
      <c r="C8" s="34" t="s">
        <v>760</v>
      </c>
    </row>
    <row r="9" spans="1:8">
      <c r="A9" s="32">
        <v>4</v>
      </c>
      <c r="B9" s="33" t="s">
        <v>761</v>
      </c>
      <c r="C9" s="34" t="s">
        <v>758</v>
      </c>
    </row>
    <row r="10" spans="1:8">
      <c r="A10" s="32">
        <v>5</v>
      </c>
      <c r="B10" s="33" t="s">
        <v>779</v>
      </c>
      <c r="C10" s="34" t="s">
        <v>760</v>
      </c>
    </row>
    <row r="11" spans="1:8">
      <c r="A11" s="32">
        <v>6</v>
      </c>
      <c r="B11" s="33"/>
      <c r="C11" s="34"/>
    </row>
    <row r="12" spans="1:8">
      <c r="A12" s="32">
        <v>7</v>
      </c>
      <c r="B12" s="33"/>
      <c r="C12" s="34"/>
      <c r="H12" s="35"/>
    </row>
    <row r="13" spans="1:8">
      <c r="A13" s="32">
        <v>8</v>
      </c>
      <c r="B13" s="33"/>
      <c r="C13" s="34"/>
    </row>
    <row r="14" spans="1:8">
      <c r="A14" s="32">
        <v>9</v>
      </c>
      <c r="B14" s="33"/>
      <c r="C14" s="34"/>
    </row>
    <row r="15" spans="1:8">
      <c r="A15" s="32">
        <v>10</v>
      </c>
      <c r="B15" s="33"/>
      <c r="C15" s="34"/>
    </row>
    <row r="16" spans="1:8">
      <c r="A16" s="32"/>
      <c r="B16" s="218"/>
      <c r="C16" s="219"/>
    </row>
    <row r="17" spans="1:3">
      <c r="A17" s="32"/>
      <c r="B17" s="102" t="s">
        <v>43</v>
      </c>
      <c r="C17" s="220" t="s">
        <v>336</v>
      </c>
    </row>
    <row r="18" spans="1:3">
      <c r="A18" s="32">
        <v>1</v>
      </c>
      <c r="B18" s="33" t="s">
        <v>754</v>
      </c>
      <c r="C18" s="36" t="s">
        <v>762</v>
      </c>
    </row>
    <row r="19" spans="1:3">
      <c r="A19" s="32">
        <v>2</v>
      </c>
      <c r="B19" s="33" t="s">
        <v>763</v>
      </c>
      <c r="C19" s="36" t="s">
        <v>764</v>
      </c>
    </row>
    <row r="20" spans="1:3">
      <c r="A20" s="32">
        <v>3</v>
      </c>
      <c r="B20" s="33" t="s">
        <v>765</v>
      </c>
      <c r="C20" s="36" t="s">
        <v>766</v>
      </c>
    </row>
    <row r="21" spans="1:3">
      <c r="A21" s="32">
        <v>4</v>
      </c>
      <c r="B21" s="33" t="s">
        <v>767</v>
      </c>
      <c r="C21" s="36" t="s">
        <v>768</v>
      </c>
    </row>
    <row r="22" spans="1:3">
      <c r="A22" s="32">
        <v>5</v>
      </c>
      <c r="B22" s="33" t="s">
        <v>769</v>
      </c>
      <c r="C22" s="36" t="s">
        <v>770</v>
      </c>
    </row>
    <row r="23" spans="1:3">
      <c r="A23" s="32">
        <v>6</v>
      </c>
      <c r="B23" s="33" t="s">
        <v>771</v>
      </c>
      <c r="C23" s="36" t="s">
        <v>772</v>
      </c>
    </row>
    <row r="24" spans="1:3">
      <c r="A24" s="32">
        <v>7</v>
      </c>
      <c r="B24" s="33"/>
      <c r="C24" s="36"/>
    </row>
    <row r="25" spans="1:3">
      <c r="A25" s="32">
        <v>8</v>
      </c>
      <c r="B25" s="33"/>
      <c r="C25" s="36"/>
    </row>
    <row r="26" spans="1:3">
      <c r="A26" s="32">
        <v>9</v>
      </c>
      <c r="B26" s="33"/>
      <c r="C26" s="36"/>
    </row>
    <row r="27" spans="1:3" ht="15.75" customHeight="1">
      <c r="A27" s="32">
        <v>10</v>
      </c>
      <c r="B27" s="33"/>
      <c r="C27" s="37"/>
    </row>
    <row r="28" spans="1:3" ht="15.75" customHeight="1">
      <c r="A28" s="32"/>
      <c r="B28" s="33"/>
      <c r="C28" s="37"/>
    </row>
    <row r="29" spans="1:3" ht="30" customHeight="1">
      <c r="A29" s="32"/>
      <c r="B29" s="729" t="s">
        <v>44</v>
      </c>
      <c r="C29" s="730"/>
    </row>
    <row r="30" spans="1:3">
      <c r="A30" s="32">
        <v>1</v>
      </c>
      <c r="B30" s="536" t="s">
        <v>773</v>
      </c>
      <c r="C30" s="537">
        <v>1</v>
      </c>
    </row>
    <row r="31" spans="1:3" ht="15.75" customHeight="1">
      <c r="A31" s="32"/>
      <c r="B31" s="33"/>
      <c r="C31" s="34"/>
    </row>
    <row r="32" spans="1:3" ht="29.25" customHeight="1">
      <c r="A32" s="32"/>
      <c r="B32" s="729" t="s">
        <v>45</v>
      </c>
      <c r="C32" s="730"/>
    </row>
    <row r="33" spans="1:3">
      <c r="A33" s="32">
        <v>1</v>
      </c>
      <c r="B33" s="536" t="s">
        <v>774</v>
      </c>
      <c r="C33" s="538">
        <v>0.35</v>
      </c>
    </row>
    <row r="34" spans="1:3" ht="15" thickBot="1">
      <c r="A34" s="38"/>
      <c r="B34" s="39"/>
      <c r="C34" s="40"/>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I53"/>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9.5703125" style="4" bestFit="1" customWidth="1"/>
    <col min="2" max="2" width="54.140625" style="4" customWidth="1"/>
    <col min="3" max="3" width="28" style="563" customWidth="1"/>
    <col min="4" max="4" width="22.42578125" style="563" customWidth="1"/>
    <col min="5" max="5" width="22.140625" style="563" customWidth="1"/>
    <col min="6" max="6" width="12" style="5" bestFit="1" customWidth="1"/>
    <col min="7" max="7" width="19.140625" style="5" bestFit="1" customWidth="1"/>
    <col min="8" max="16384" width="9.140625" style="5"/>
  </cols>
  <sheetData>
    <row r="1" spans="1:9">
      <c r="A1" s="26" t="s">
        <v>30</v>
      </c>
      <c r="B1" s="3" t="str">
        <f>'Info '!C2</f>
        <v>JSC Cartu Bank</v>
      </c>
    </row>
    <row r="2" spans="1:9" s="2" customFormat="1" ht="15.75" customHeight="1">
      <c r="A2" s="26" t="s">
        <v>31</v>
      </c>
      <c r="B2" s="532">
        <f>'1. key ratios '!B2</f>
        <v>45747</v>
      </c>
      <c r="C2" s="562"/>
      <c r="D2" s="562"/>
      <c r="E2" s="562"/>
    </row>
    <row r="3" spans="1:9" s="2" customFormat="1" ht="15.75" customHeight="1">
      <c r="A3" s="26"/>
      <c r="C3" s="562"/>
      <c r="D3" s="562"/>
      <c r="E3" s="562"/>
    </row>
    <row r="4" spans="1:9" s="2" customFormat="1" ht="15.75" customHeight="1" thickBot="1">
      <c r="A4" s="144" t="s">
        <v>99</v>
      </c>
      <c r="B4" s="736" t="s">
        <v>212</v>
      </c>
      <c r="C4" s="737"/>
      <c r="D4" s="737"/>
      <c r="E4" s="737"/>
    </row>
    <row r="5" spans="1:9" s="42" customFormat="1" ht="17.45" customHeight="1">
      <c r="A5" s="105"/>
      <c r="B5" s="106"/>
      <c r="C5" s="569" t="s">
        <v>0</v>
      </c>
      <c r="D5" s="569" t="s">
        <v>1</v>
      </c>
      <c r="E5" s="570" t="s">
        <v>2</v>
      </c>
    </row>
    <row r="6" spans="1:9" ht="14.45" customHeight="1">
      <c r="A6" s="90"/>
      <c r="B6" s="731" t="s">
        <v>219</v>
      </c>
      <c r="C6" s="733" t="s">
        <v>624</v>
      </c>
      <c r="D6" s="734" t="s">
        <v>98</v>
      </c>
      <c r="E6" s="735"/>
    </row>
    <row r="7" spans="1:9" ht="99.6" customHeight="1">
      <c r="A7" s="90"/>
      <c r="B7" s="732"/>
      <c r="C7" s="733"/>
      <c r="D7" s="592" t="s">
        <v>97</v>
      </c>
      <c r="E7" s="833" t="s">
        <v>220</v>
      </c>
    </row>
    <row r="8" spans="1:9" ht="21">
      <c r="A8" s="274">
        <v>1</v>
      </c>
      <c r="B8" s="275" t="s">
        <v>525</v>
      </c>
      <c r="C8" s="593">
        <f>SUM(C9:C11)</f>
        <v>614885522.81033564</v>
      </c>
      <c r="D8" s="593">
        <f>SUM(D9:D11)</f>
        <v>0</v>
      </c>
      <c r="E8" s="834">
        <f>SUM(E9:E11)</f>
        <v>614885522.81033564</v>
      </c>
      <c r="G8" s="591"/>
      <c r="H8" s="591"/>
      <c r="I8" s="591"/>
    </row>
    <row r="9" spans="1:9" ht="15">
      <c r="A9" s="274">
        <v>1.1000000000000001</v>
      </c>
      <c r="B9" s="276" t="s">
        <v>526</v>
      </c>
      <c r="C9" s="593">
        <v>46297032.326199993</v>
      </c>
      <c r="D9" s="593">
        <v>0</v>
      </c>
      <c r="E9" s="834">
        <v>46297032.326199993</v>
      </c>
      <c r="G9" s="591"/>
      <c r="H9" s="591"/>
      <c r="I9" s="591"/>
    </row>
    <row r="10" spans="1:9" ht="15">
      <c r="A10" s="274">
        <v>1.2</v>
      </c>
      <c r="B10" s="276" t="s">
        <v>527</v>
      </c>
      <c r="C10" s="593">
        <v>284804637.23051971</v>
      </c>
      <c r="D10" s="593">
        <v>0</v>
      </c>
      <c r="E10" s="834">
        <v>284804637.23051971</v>
      </c>
      <c r="G10" s="591"/>
      <c r="H10" s="591"/>
      <c r="I10" s="591"/>
    </row>
    <row r="11" spans="1:9" ht="15">
      <c r="A11" s="274">
        <v>1.3</v>
      </c>
      <c r="B11" s="276" t="s">
        <v>528</v>
      </c>
      <c r="C11" s="593">
        <v>283783853.25361586</v>
      </c>
      <c r="D11" s="593">
        <v>0</v>
      </c>
      <c r="E11" s="834">
        <v>283783853.25361586</v>
      </c>
      <c r="G11" s="591"/>
      <c r="H11" s="591"/>
      <c r="I11" s="591"/>
    </row>
    <row r="12" spans="1:9" ht="15">
      <c r="A12" s="274">
        <v>2</v>
      </c>
      <c r="B12" s="277" t="s">
        <v>529</v>
      </c>
      <c r="C12" s="593">
        <v>0</v>
      </c>
      <c r="D12" s="593">
        <v>0</v>
      </c>
      <c r="E12" s="834">
        <v>0</v>
      </c>
      <c r="G12" s="591"/>
      <c r="H12" s="591"/>
      <c r="I12" s="591"/>
    </row>
    <row r="13" spans="1:9" ht="15">
      <c r="A13" s="274">
        <v>2.1</v>
      </c>
      <c r="B13" s="278" t="s">
        <v>530</v>
      </c>
      <c r="C13" s="594">
        <v>0</v>
      </c>
      <c r="D13" s="594">
        <v>0</v>
      </c>
      <c r="E13" s="834">
        <v>0</v>
      </c>
      <c r="G13" s="591"/>
      <c r="H13" s="591"/>
      <c r="I13" s="591"/>
    </row>
    <row r="14" spans="1:9" ht="21">
      <c r="A14" s="274">
        <v>3</v>
      </c>
      <c r="B14" s="279" t="s">
        <v>531</v>
      </c>
      <c r="C14" s="594">
        <v>0</v>
      </c>
      <c r="D14" s="594">
        <v>0</v>
      </c>
      <c r="E14" s="834">
        <v>0</v>
      </c>
      <c r="G14" s="591"/>
      <c r="H14" s="591"/>
      <c r="I14" s="591"/>
    </row>
    <row r="15" spans="1:9" ht="21">
      <c r="A15" s="274">
        <v>4</v>
      </c>
      <c r="B15" s="280" t="s">
        <v>532</v>
      </c>
      <c r="C15" s="594">
        <v>0</v>
      </c>
      <c r="D15" s="594">
        <v>0</v>
      </c>
      <c r="E15" s="834">
        <v>0</v>
      </c>
      <c r="G15" s="591"/>
      <c r="H15" s="591"/>
      <c r="I15" s="591"/>
    </row>
    <row r="16" spans="1:9" ht="21">
      <c r="A16" s="274">
        <v>5</v>
      </c>
      <c r="B16" s="281" t="s">
        <v>533</v>
      </c>
      <c r="C16" s="594">
        <f>SUM(C17:C19)</f>
        <v>7408054.2999999998</v>
      </c>
      <c r="D16" s="594">
        <f>SUM(D17:D19)</f>
        <v>21959.87840556982</v>
      </c>
      <c r="E16" s="834">
        <f>SUM(E17:E19)</f>
        <v>7386094.4215944298</v>
      </c>
      <c r="G16" s="591"/>
      <c r="H16" s="591"/>
      <c r="I16" s="591"/>
    </row>
    <row r="17" spans="1:9" ht="15">
      <c r="A17" s="274">
        <v>5.0999999999999996</v>
      </c>
      <c r="B17" s="282" t="s">
        <v>534</v>
      </c>
      <c r="C17" s="594">
        <v>175637.53</v>
      </c>
      <c r="D17" s="594">
        <v>0</v>
      </c>
      <c r="E17" s="834">
        <v>175637.53</v>
      </c>
      <c r="G17" s="591"/>
      <c r="H17" s="591"/>
      <c r="I17" s="591"/>
    </row>
    <row r="18" spans="1:9" ht="15">
      <c r="A18" s="274">
        <v>5.2</v>
      </c>
      <c r="B18" s="282" t="s">
        <v>535</v>
      </c>
      <c r="C18" s="594">
        <v>7232416.7699999996</v>
      </c>
      <c r="D18" s="594">
        <v>21959.87840556982</v>
      </c>
      <c r="E18" s="834">
        <v>7210456.8915944295</v>
      </c>
      <c r="G18" s="591"/>
      <c r="H18" s="591"/>
      <c r="I18" s="591"/>
    </row>
    <row r="19" spans="1:9" ht="15">
      <c r="A19" s="274">
        <v>5.3</v>
      </c>
      <c r="B19" s="283" t="s">
        <v>536</v>
      </c>
      <c r="C19" s="594">
        <v>0</v>
      </c>
      <c r="D19" s="594">
        <v>0</v>
      </c>
      <c r="E19" s="834">
        <v>0</v>
      </c>
      <c r="G19" s="591"/>
      <c r="H19" s="591"/>
      <c r="I19" s="591"/>
    </row>
    <row r="20" spans="1:9" ht="15">
      <c r="A20" s="274">
        <v>6</v>
      </c>
      <c r="B20" s="279" t="s">
        <v>537</v>
      </c>
      <c r="C20" s="594">
        <f>SUM(C21:C22)</f>
        <v>1100414094.1733408</v>
      </c>
      <c r="D20" s="594">
        <f>SUM(D21:D22)</f>
        <v>0</v>
      </c>
      <c r="E20" s="834">
        <f>SUM(E21:E22)</f>
        <v>1100414094.1733408</v>
      </c>
      <c r="G20" s="591"/>
      <c r="H20" s="591"/>
      <c r="I20" s="591"/>
    </row>
    <row r="21" spans="1:9" ht="15">
      <c r="A21" s="274">
        <v>6.1</v>
      </c>
      <c r="B21" s="282" t="s">
        <v>535</v>
      </c>
      <c r="C21" s="594">
        <v>60336411.374246351</v>
      </c>
      <c r="D21" s="594">
        <v>0</v>
      </c>
      <c r="E21" s="834">
        <v>60336411.374246351</v>
      </c>
      <c r="G21" s="591"/>
      <c r="H21" s="591"/>
      <c r="I21" s="591"/>
    </row>
    <row r="22" spans="1:9" ht="15">
      <c r="A22" s="274">
        <v>6.2</v>
      </c>
      <c r="B22" s="283" t="s">
        <v>536</v>
      </c>
      <c r="C22" s="594">
        <v>1040077682.7990946</v>
      </c>
      <c r="D22" s="594">
        <v>0</v>
      </c>
      <c r="E22" s="834">
        <v>1040077682.7990946</v>
      </c>
      <c r="G22" s="591"/>
      <c r="H22" s="591"/>
      <c r="I22" s="591"/>
    </row>
    <row r="23" spans="1:9" ht="21">
      <c r="A23" s="274">
        <v>7</v>
      </c>
      <c r="B23" s="277" t="s">
        <v>538</v>
      </c>
      <c r="C23" s="594">
        <v>9522300</v>
      </c>
      <c r="D23" s="594">
        <v>0</v>
      </c>
      <c r="E23" s="834">
        <v>9522300</v>
      </c>
      <c r="G23" s="591"/>
      <c r="H23" s="591"/>
      <c r="I23" s="591"/>
    </row>
    <row r="24" spans="1:9" ht="21">
      <c r="A24" s="274">
        <v>8</v>
      </c>
      <c r="B24" s="284" t="s">
        <v>539</v>
      </c>
      <c r="C24" s="594">
        <v>0</v>
      </c>
      <c r="D24" s="594">
        <v>0</v>
      </c>
      <c r="E24" s="834">
        <v>0</v>
      </c>
      <c r="G24" s="591"/>
      <c r="H24" s="591"/>
      <c r="I24" s="591"/>
    </row>
    <row r="25" spans="1:9" ht="15">
      <c r="A25" s="274">
        <v>9</v>
      </c>
      <c r="B25" s="280" t="s">
        <v>540</v>
      </c>
      <c r="C25" s="594">
        <f>SUM(C26:C27)</f>
        <v>22057337.192990594</v>
      </c>
      <c r="D25" s="594">
        <f>SUM(D26:D27)</f>
        <v>0</v>
      </c>
      <c r="E25" s="834">
        <f>SUM(E26:E27)</f>
        <v>22057337.192990594</v>
      </c>
      <c r="G25" s="591"/>
      <c r="H25" s="591"/>
      <c r="I25" s="591"/>
    </row>
    <row r="26" spans="1:9" ht="15">
      <c r="A26" s="274">
        <v>9.1</v>
      </c>
      <c r="B26" s="282" t="s">
        <v>541</v>
      </c>
      <c r="C26" s="594">
        <v>22057337.192990594</v>
      </c>
      <c r="D26" s="594">
        <v>0</v>
      </c>
      <c r="E26" s="834">
        <v>22057337.192990594</v>
      </c>
      <c r="G26" s="591"/>
      <c r="H26" s="591"/>
      <c r="I26" s="591"/>
    </row>
    <row r="27" spans="1:9" ht="15">
      <c r="A27" s="274">
        <v>9.1999999999999993</v>
      </c>
      <c r="B27" s="282" t="s">
        <v>542</v>
      </c>
      <c r="C27" s="594">
        <v>0</v>
      </c>
      <c r="D27" s="594">
        <v>0</v>
      </c>
      <c r="E27" s="834">
        <v>0</v>
      </c>
      <c r="G27" s="591"/>
      <c r="H27" s="591"/>
      <c r="I27" s="591"/>
    </row>
    <row r="28" spans="1:9" ht="15">
      <c r="A28" s="274">
        <v>10</v>
      </c>
      <c r="B28" s="280" t="s">
        <v>543</v>
      </c>
      <c r="C28" s="594">
        <f>SUM(C29:C30)</f>
        <v>12350414.350000001</v>
      </c>
      <c r="D28" s="594">
        <f>SUM(D29:D30)</f>
        <v>12350414.350000003</v>
      </c>
      <c r="E28" s="834">
        <f>SUM(E29:E30)</f>
        <v>0</v>
      </c>
      <c r="G28" s="591"/>
      <c r="H28" s="591"/>
      <c r="I28" s="591"/>
    </row>
    <row r="29" spans="1:9" ht="15">
      <c r="A29" s="274">
        <v>10.1</v>
      </c>
      <c r="B29" s="282" t="s">
        <v>544</v>
      </c>
      <c r="C29" s="594">
        <v>0</v>
      </c>
      <c r="D29" s="594">
        <v>0</v>
      </c>
      <c r="E29" s="834">
        <v>0</v>
      </c>
      <c r="G29" s="591"/>
      <c r="H29" s="591"/>
      <c r="I29" s="591"/>
    </row>
    <row r="30" spans="1:9" ht="15">
      <c r="A30" s="274">
        <v>10.199999999999999</v>
      </c>
      <c r="B30" s="282" t="s">
        <v>545</v>
      </c>
      <c r="C30" s="594">
        <v>12350414.350000001</v>
      </c>
      <c r="D30" s="594">
        <v>12350414.350000003</v>
      </c>
      <c r="E30" s="834">
        <v>0</v>
      </c>
      <c r="G30" s="591"/>
      <c r="H30" s="591"/>
      <c r="I30" s="591"/>
    </row>
    <row r="31" spans="1:9" ht="15">
      <c r="A31" s="274">
        <v>11</v>
      </c>
      <c r="B31" s="280" t="s">
        <v>546</v>
      </c>
      <c r="C31" s="594">
        <f>SUM(C32:C33)</f>
        <v>8513796.4670122191</v>
      </c>
      <c r="D31" s="594">
        <f>SUM(D32:D33)</f>
        <v>0</v>
      </c>
      <c r="E31" s="834">
        <f>SUM(E32:E33)</f>
        <v>8513796.4670122191</v>
      </c>
      <c r="G31" s="591"/>
      <c r="H31" s="591"/>
      <c r="I31" s="591"/>
    </row>
    <row r="32" spans="1:9" ht="15">
      <c r="A32" s="274">
        <v>11.1</v>
      </c>
      <c r="B32" s="282" t="s">
        <v>547</v>
      </c>
      <c r="C32" s="594">
        <v>8513796.4670122191</v>
      </c>
      <c r="D32" s="594">
        <v>0</v>
      </c>
      <c r="E32" s="834">
        <v>8513796.4670122191</v>
      </c>
      <c r="G32" s="591"/>
      <c r="H32" s="591"/>
      <c r="I32" s="591"/>
    </row>
    <row r="33" spans="1:9" ht="15">
      <c r="A33" s="274">
        <v>11.2</v>
      </c>
      <c r="B33" s="282" t="s">
        <v>548</v>
      </c>
      <c r="C33" s="594">
        <v>0</v>
      </c>
      <c r="D33" s="594">
        <v>0</v>
      </c>
      <c r="E33" s="834">
        <v>0</v>
      </c>
      <c r="G33" s="591"/>
      <c r="H33" s="591"/>
      <c r="I33" s="591"/>
    </row>
    <row r="34" spans="1:9" ht="15">
      <c r="A34" s="274">
        <v>13</v>
      </c>
      <c r="B34" s="280" t="s">
        <v>549</v>
      </c>
      <c r="C34" s="594">
        <v>46888607.682966106</v>
      </c>
      <c r="D34" s="594">
        <v>0</v>
      </c>
      <c r="E34" s="834">
        <v>46888607.682966106</v>
      </c>
      <c r="G34" s="591"/>
      <c r="H34" s="591"/>
      <c r="I34" s="591"/>
    </row>
    <row r="35" spans="1:9" ht="15">
      <c r="A35" s="274">
        <v>13.1</v>
      </c>
      <c r="B35" s="285" t="s">
        <v>550</v>
      </c>
      <c r="C35" s="594">
        <v>45010351.173766114</v>
      </c>
      <c r="D35" s="594">
        <v>0</v>
      </c>
      <c r="E35" s="834">
        <v>45010351.173766114</v>
      </c>
      <c r="G35" s="591"/>
      <c r="H35" s="591"/>
      <c r="I35" s="591"/>
    </row>
    <row r="36" spans="1:9" ht="15">
      <c r="A36" s="274">
        <v>13.2</v>
      </c>
      <c r="B36" s="285" t="s">
        <v>551</v>
      </c>
      <c r="C36" s="594">
        <v>0</v>
      </c>
      <c r="D36" s="594">
        <v>0</v>
      </c>
      <c r="E36" s="834">
        <v>0</v>
      </c>
      <c r="G36" s="591"/>
      <c r="H36" s="591"/>
      <c r="I36" s="591"/>
    </row>
    <row r="37" spans="1:9" ht="26.25" thickBot="1">
      <c r="A37" s="93"/>
      <c r="B37" s="145" t="s">
        <v>221</v>
      </c>
      <c r="C37" s="595">
        <f>SUM(C8,C12,C14,C15,C16,C20,C23,C24,C25,C28,C31,C34)</f>
        <v>1822040126.976645</v>
      </c>
      <c r="D37" s="595">
        <f>SUM(D8,D12,D14,D15,D16,D20,D23,D24,D25,D28,D31,D34)</f>
        <v>12372374.228405572</v>
      </c>
      <c r="E37" s="835">
        <f>SUM(E8,E12,E14,E15,E16,E20,E23,E24,E25,E28,E31,E34)</f>
        <v>1809667752.7482395</v>
      </c>
      <c r="G37" s="591"/>
      <c r="H37" s="591"/>
      <c r="I37" s="591"/>
    </row>
    <row r="38" spans="1:9">
      <c r="A38" s="5"/>
      <c r="B38" s="5"/>
      <c r="C38" s="551"/>
      <c r="D38" s="551"/>
      <c r="E38" s="551"/>
    </row>
    <row r="39" spans="1:9">
      <c r="A39" s="5"/>
      <c r="B39" s="5"/>
      <c r="C39" s="551"/>
      <c r="D39" s="551"/>
      <c r="E39" s="551"/>
    </row>
    <row r="41" spans="1:9" s="4" customFormat="1">
      <c r="B41" s="44"/>
      <c r="C41" s="563"/>
      <c r="D41" s="563"/>
      <c r="E41" s="563"/>
      <c r="F41" s="5"/>
      <c r="G41" s="5"/>
    </row>
    <row r="42" spans="1:9" s="4" customFormat="1">
      <c r="B42" s="44"/>
      <c r="C42" s="563"/>
      <c r="D42" s="563"/>
      <c r="E42" s="563"/>
      <c r="F42" s="5"/>
      <c r="G42" s="5"/>
    </row>
    <row r="43" spans="1:9" s="4" customFormat="1">
      <c r="B43" s="44"/>
      <c r="C43" s="563"/>
      <c r="D43" s="563"/>
      <c r="E43" s="563"/>
      <c r="F43" s="5"/>
      <c r="G43" s="5"/>
    </row>
    <row r="44" spans="1:9" s="4" customFormat="1">
      <c r="B44" s="44"/>
      <c r="C44" s="563"/>
      <c r="D44" s="563"/>
      <c r="E44" s="563"/>
      <c r="F44" s="5"/>
      <c r="G44" s="5"/>
    </row>
    <row r="45" spans="1:9" s="4" customFormat="1">
      <c r="B45" s="44"/>
      <c r="C45" s="563"/>
      <c r="D45" s="563"/>
      <c r="E45" s="563"/>
      <c r="F45" s="5"/>
      <c r="G45" s="5"/>
    </row>
    <row r="46" spans="1:9" s="4" customFormat="1">
      <c r="B46" s="44"/>
      <c r="C46" s="563"/>
      <c r="D46" s="563"/>
      <c r="E46" s="563"/>
      <c r="F46" s="5"/>
      <c r="G46" s="5"/>
    </row>
    <row r="47" spans="1:9" s="4" customFormat="1">
      <c r="B47" s="44"/>
      <c r="C47" s="563"/>
      <c r="D47" s="563"/>
      <c r="E47" s="563"/>
      <c r="F47" s="5"/>
      <c r="G47" s="5"/>
    </row>
    <row r="48" spans="1:9" s="4" customFormat="1">
      <c r="B48" s="44"/>
      <c r="C48" s="563"/>
      <c r="D48" s="563"/>
      <c r="E48" s="563"/>
      <c r="F48" s="5"/>
      <c r="G48" s="5"/>
    </row>
    <row r="49" spans="2:7" s="4" customFormat="1">
      <c r="B49" s="44"/>
      <c r="C49" s="563"/>
      <c r="D49" s="563"/>
      <c r="E49" s="563"/>
      <c r="F49" s="5"/>
      <c r="G49" s="5"/>
    </row>
    <row r="50" spans="2:7" s="4" customFormat="1">
      <c r="B50" s="44"/>
      <c r="C50" s="563"/>
      <c r="D50" s="563"/>
      <c r="E50" s="563"/>
      <c r="F50" s="5"/>
      <c r="G50" s="5"/>
    </row>
    <row r="51" spans="2:7" s="4" customFormat="1">
      <c r="B51" s="44"/>
      <c r="C51" s="563"/>
      <c r="D51" s="563"/>
      <c r="E51" s="563"/>
      <c r="F51" s="5"/>
      <c r="G51" s="5"/>
    </row>
    <row r="52" spans="2:7" s="4" customFormat="1">
      <c r="B52" s="44"/>
      <c r="C52" s="563"/>
      <c r="D52" s="563"/>
      <c r="E52" s="563"/>
      <c r="F52" s="5"/>
      <c r="G52" s="5"/>
    </row>
    <row r="53" spans="2:7" s="4" customFormat="1">
      <c r="B53" s="44"/>
      <c r="C53" s="563"/>
      <c r="D53" s="563"/>
      <c r="E53" s="563"/>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Cartu Bank</v>
      </c>
    </row>
    <row r="2" spans="1:6" s="2" customFormat="1" ht="15.75" customHeight="1">
      <c r="A2" s="2" t="s">
        <v>31</v>
      </c>
      <c r="B2" s="532">
        <f>'1. key ratios '!B2</f>
        <v>45747</v>
      </c>
      <c r="C2" s="4"/>
      <c r="D2" s="4"/>
      <c r="E2" s="4"/>
      <c r="F2" s="4"/>
    </row>
    <row r="3" spans="1:6" s="2" customFormat="1" ht="15.75" customHeight="1">
      <c r="C3" s="4"/>
      <c r="D3" s="4"/>
      <c r="E3" s="4"/>
      <c r="F3" s="4"/>
    </row>
    <row r="4" spans="1:6" s="2" customFormat="1" ht="13.5" thickBot="1">
      <c r="A4" s="2" t="s">
        <v>46</v>
      </c>
      <c r="B4" s="146" t="s">
        <v>518</v>
      </c>
      <c r="C4" s="41" t="s">
        <v>35</v>
      </c>
      <c r="D4" s="4"/>
      <c r="E4" s="4"/>
      <c r="F4" s="4"/>
    </row>
    <row r="5" spans="1:6">
      <c r="A5" s="110">
        <v>1</v>
      </c>
      <c r="B5" s="147" t="s">
        <v>520</v>
      </c>
      <c r="C5" s="111">
        <f>'7. LI1 '!E37</f>
        <v>1809667752.7482395</v>
      </c>
      <c r="D5" s="563"/>
      <c r="E5" s="596"/>
    </row>
    <row r="6" spans="1:6">
      <c r="A6" s="45">
        <v>2.1</v>
      </c>
      <c r="B6" s="91" t="s">
        <v>201</v>
      </c>
      <c r="C6" s="597">
        <v>203090491.26299775</v>
      </c>
      <c r="D6" s="563"/>
      <c r="E6" s="596"/>
    </row>
    <row r="7" spans="1:6" s="27" customFormat="1" outlineLevel="1">
      <c r="A7" s="22">
        <v>2.2000000000000002</v>
      </c>
      <c r="B7" s="23" t="s">
        <v>202</v>
      </c>
      <c r="C7" s="597">
        <v>0</v>
      </c>
      <c r="D7" s="563"/>
      <c r="E7" s="596"/>
    </row>
    <row r="8" spans="1:6" s="27" customFormat="1">
      <c r="A8" s="22">
        <v>3</v>
      </c>
      <c r="B8" s="108" t="s">
        <v>519</v>
      </c>
      <c r="C8" s="598">
        <f>SUM(C5:C7)</f>
        <v>2012758244.0112371</v>
      </c>
      <c r="D8" s="563"/>
      <c r="E8" s="596"/>
    </row>
    <row r="9" spans="1:6">
      <c r="A9" s="45">
        <v>4</v>
      </c>
      <c r="B9" s="46" t="s">
        <v>48</v>
      </c>
      <c r="C9" s="597">
        <v>0</v>
      </c>
      <c r="D9" s="563"/>
      <c r="E9" s="596"/>
    </row>
    <row r="10" spans="1:6" s="27" customFormat="1" outlineLevel="1">
      <c r="A10" s="22">
        <v>5.0999999999999996</v>
      </c>
      <c r="B10" s="23" t="s">
        <v>203</v>
      </c>
      <c r="C10" s="599">
        <v>-91519693.949966714</v>
      </c>
      <c r="D10" s="563"/>
      <c r="E10" s="596"/>
    </row>
    <row r="11" spans="1:6" s="27" customFormat="1" outlineLevel="1">
      <c r="A11" s="22">
        <v>5.2</v>
      </c>
      <c r="B11" s="23" t="s">
        <v>204</v>
      </c>
      <c r="C11" s="599">
        <v>0</v>
      </c>
      <c r="D11" s="563"/>
      <c r="E11" s="596"/>
    </row>
    <row r="12" spans="1:6" s="27" customFormat="1">
      <c r="A12" s="22">
        <v>6</v>
      </c>
      <c r="B12" s="107" t="s">
        <v>746</v>
      </c>
      <c r="C12" s="599">
        <v>0</v>
      </c>
      <c r="D12" s="563"/>
      <c r="E12" s="596"/>
    </row>
    <row r="13" spans="1:6" s="27" customFormat="1" ht="13.5" thickBot="1">
      <c r="A13" s="24">
        <v>7</v>
      </c>
      <c r="B13" s="109" t="s">
        <v>164</v>
      </c>
      <c r="C13" s="600">
        <f>SUM(C8:C12)</f>
        <v>1921238550.0612705</v>
      </c>
      <c r="D13" s="563"/>
      <c r="E13" s="596"/>
    </row>
    <row r="15" spans="1:6">
      <c r="B15" s="27"/>
    </row>
    <row r="17" spans="1:2" ht="15">
      <c r="A17" s="116"/>
      <c r="B17" s="117"/>
    </row>
    <row r="18" spans="1:2" ht="15">
      <c r="A18" s="121"/>
      <c r="B18" s="122"/>
    </row>
    <row r="19" spans="1:2">
      <c r="A19" s="123"/>
      <c r="B19" s="118"/>
    </row>
    <row r="20" spans="1:2">
      <c r="A20" s="124"/>
      <c r="B20" s="119"/>
    </row>
    <row r="21" spans="1:2">
      <c r="A21" s="124"/>
      <c r="B21" s="122"/>
    </row>
    <row r="22" spans="1:2">
      <c r="A22" s="123"/>
      <c r="B22" s="120"/>
    </row>
    <row r="23" spans="1:2">
      <c r="A23" s="124"/>
      <c r="B23" s="119"/>
    </row>
    <row r="24" spans="1:2">
      <c r="A24" s="124"/>
      <c r="B24" s="119"/>
    </row>
    <row r="25" spans="1:2">
      <c r="A25" s="124"/>
      <c r="B25" s="125"/>
    </row>
    <row r="26" spans="1:2">
      <c r="A26" s="124"/>
      <c r="B26" s="122"/>
    </row>
    <row r="27" spans="1:2">
      <c r="B27" s="44"/>
    </row>
    <row r="28" spans="1:2">
      <c r="B28" s="44"/>
    </row>
    <row r="29" spans="1:2">
      <c r="B29" s="44"/>
    </row>
    <row r="30" spans="1:2">
      <c r="B30" s="44"/>
    </row>
    <row r="31" spans="1:2">
      <c r="B31" s="44"/>
    </row>
    <row r="32" spans="1:2">
      <c r="B32" s="44"/>
    </row>
    <row r="33" spans="2:2">
      <c r="B33" s="44"/>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2025-04-30T18:08:27Z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