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4636D2D8-83AD-40A7-A388-C9078AE4B6EF}" xr6:coauthVersionLast="47" xr6:coauthVersionMax="47" xr10:uidLastSave="{00000000-0000-0000-0000-000000000000}"/>
  <bookViews>
    <workbookView xWindow="28680" yWindow="-120" windowWidth="29040" windowHeight="15990" tabRatio="919"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91" l="1"/>
  <c r="H20" i="91"/>
  <c r="H19" i="91"/>
  <c r="H18" i="91"/>
  <c r="H17" i="91"/>
  <c r="H16" i="91"/>
  <c r="H15" i="91"/>
  <c r="H14" i="91"/>
  <c r="H13" i="91"/>
  <c r="H12" i="91"/>
  <c r="H11" i="91"/>
  <c r="H10" i="91"/>
  <c r="H9" i="91"/>
  <c r="H8" i="91"/>
  <c r="G21" i="99"/>
  <c r="G34" i="100"/>
  <c r="C20" i="69"/>
  <c r="C27" i="69"/>
  <c r="C29" i="69"/>
  <c r="G6" i="86"/>
  <c r="G13" i="86" s="1"/>
  <c r="F6" i="86"/>
  <c r="F13" i="86" s="1"/>
  <c r="E6" i="86"/>
  <c r="E13" i="86" s="1"/>
  <c r="D6" i="86"/>
  <c r="D13" i="86" s="1"/>
  <c r="C6" i="86"/>
  <c r="C13" i="86" s="1"/>
  <c r="H53" i="75"/>
  <c r="E53" i="75"/>
  <c r="H52" i="75"/>
  <c r="E52" i="75"/>
  <c r="H51" i="75"/>
  <c r="E51" i="75"/>
  <c r="H50" i="75"/>
  <c r="E50" i="75"/>
  <c r="H49" i="75"/>
  <c r="E49" i="75"/>
  <c r="H48" i="75"/>
  <c r="E48" i="75"/>
  <c r="E45" i="75" s="1"/>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85"/>
  <c r="E66" i="85"/>
  <c r="H64" i="85"/>
  <c r="E64" i="85"/>
  <c r="G61" i="85"/>
  <c r="H61" i="85" s="1"/>
  <c r="F61" i="85"/>
  <c r="D61" i="85"/>
  <c r="C61" i="85"/>
  <c r="H60" i="85"/>
  <c r="E60" i="85"/>
  <c r="H59" i="85"/>
  <c r="E59" i="85"/>
  <c r="H58" i="85"/>
  <c r="E58" i="85"/>
  <c r="G53" i="85"/>
  <c r="F53" i="85"/>
  <c r="D53" i="85"/>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F34" i="85"/>
  <c r="F45" i="85" s="1"/>
  <c r="D34" i="85"/>
  <c r="D45" i="85" s="1"/>
  <c r="D54" i="85" s="1"/>
  <c r="C34" i="85"/>
  <c r="C45" i="85" s="1"/>
  <c r="G30" i="85"/>
  <c r="F30" i="85"/>
  <c r="D30" i="85"/>
  <c r="C30" i="85"/>
  <c r="H29" i="85"/>
  <c r="E29" i="85"/>
  <c r="H28" i="85"/>
  <c r="E28" i="85"/>
  <c r="H27" i="85"/>
  <c r="E27" i="85"/>
  <c r="H26" i="85"/>
  <c r="E26" i="85"/>
  <c r="H25" i="85"/>
  <c r="E25" i="85"/>
  <c r="H24" i="85"/>
  <c r="E24" i="85"/>
  <c r="H21" i="85"/>
  <c r="E21" i="85"/>
  <c r="H20" i="85"/>
  <c r="E20" i="85"/>
  <c r="H19" i="85"/>
  <c r="E19" i="85"/>
  <c r="H18" i="85"/>
  <c r="E18" i="85"/>
  <c r="H17" i="85"/>
  <c r="E17" i="85"/>
  <c r="H16" i="85"/>
  <c r="E16" i="85"/>
  <c r="H15" i="85"/>
  <c r="E15" i="85"/>
  <c r="H14" i="85"/>
  <c r="E14" i="85"/>
  <c r="H13" i="85"/>
  <c r="E13" i="85"/>
  <c r="H12" i="85"/>
  <c r="E12" i="85"/>
  <c r="H11" i="85"/>
  <c r="E11" i="85"/>
  <c r="H10" i="85"/>
  <c r="E10" i="85"/>
  <c r="G9" i="85"/>
  <c r="G22" i="85" s="1"/>
  <c r="G31" i="85" s="1"/>
  <c r="F9" i="85"/>
  <c r="D9" i="85"/>
  <c r="D22" i="85" s="1"/>
  <c r="D31" i="85" s="1"/>
  <c r="D56" i="85" s="1"/>
  <c r="C9" i="85"/>
  <c r="H8" i="85"/>
  <c r="E8" i="85"/>
  <c r="D41" i="83"/>
  <c r="F40" i="83"/>
  <c r="H40" i="83" s="1"/>
  <c r="E40" i="83"/>
  <c r="H39" i="83"/>
  <c r="E39" i="83"/>
  <c r="H38" i="83"/>
  <c r="E38" i="83"/>
  <c r="C53" i="69" s="1"/>
  <c r="H37" i="83"/>
  <c r="E37" i="83"/>
  <c r="C50" i="69" s="1"/>
  <c r="H36" i="83"/>
  <c r="E36" i="83"/>
  <c r="C49" i="69" s="1"/>
  <c r="H35" i="83"/>
  <c r="E35" i="83"/>
  <c r="C48" i="69" s="1"/>
  <c r="H34" i="83"/>
  <c r="E34" i="83"/>
  <c r="C47" i="69" s="1"/>
  <c r="H33" i="83"/>
  <c r="E33" i="83"/>
  <c r="C46" i="69" s="1"/>
  <c r="G31" i="83"/>
  <c r="G41" i="83" s="1"/>
  <c r="F31" i="83"/>
  <c r="F41" i="83" s="1"/>
  <c r="H41" i="83" s="1"/>
  <c r="D31" i="83"/>
  <c r="C31" i="83"/>
  <c r="E31" i="83" s="1"/>
  <c r="H30" i="83"/>
  <c r="E30" i="83"/>
  <c r="C43" i="69" s="1"/>
  <c r="C44" i="69" s="1"/>
  <c r="H29" i="83"/>
  <c r="E29" i="83"/>
  <c r="C41" i="69" s="1"/>
  <c r="H28" i="83"/>
  <c r="E28" i="83"/>
  <c r="C40" i="69" s="1"/>
  <c r="H27" i="83"/>
  <c r="E27" i="83"/>
  <c r="C39" i="69" s="1"/>
  <c r="H26" i="83"/>
  <c r="E26" i="83"/>
  <c r="C38" i="69" s="1"/>
  <c r="H25" i="83"/>
  <c r="E25" i="83"/>
  <c r="C37" i="69" s="1"/>
  <c r="H24" i="83"/>
  <c r="E24" i="83"/>
  <c r="C36" i="69" s="1"/>
  <c r="H23" i="83"/>
  <c r="E23" i="83"/>
  <c r="C35" i="69" s="1"/>
  <c r="H22" i="83"/>
  <c r="E22" i="83"/>
  <c r="C34" i="69" s="1"/>
  <c r="H19" i="83"/>
  <c r="E19" i="83"/>
  <c r="C28" i="69" s="1"/>
  <c r="C32" i="69" s="1"/>
  <c r="H18" i="83"/>
  <c r="E18" i="83"/>
  <c r="C26" i="69" s="1"/>
  <c r="H17" i="83"/>
  <c r="E17" i="83"/>
  <c r="H16" i="83"/>
  <c r="E16" i="83"/>
  <c r="C19" i="69" s="1"/>
  <c r="H15" i="83"/>
  <c r="E15" i="83"/>
  <c r="C18" i="69" s="1"/>
  <c r="G14" i="83"/>
  <c r="G20" i="83" s="1"/>
  <c r="F14" i="83"/>
  <c r="F20" i="83" s="1"/>
  <c r="D14" i="83"/>
  <c r="D20" i="83" s="1"/>
  <c r="C14" i="83"/>
  <c r="E14" i="83" s="1"/>
  <c r="H13" i="83"/>
  <c r="E13" i="83"/>
  <c r="H12" i="83"/>
  <c r="E12" i="83"/>
  <c r="C13" i="69" s="1"/>
  <c r="C17" i="69" s="1"/>
  <c r="H11" i="83"/>
  <c r="E11" i="83"/>
  <c r="C10" i="69" s="1"/>
  <c r="C12" i="69" s="1"/>
  <c r="H10" i="83"/>
  <c r="E10" i="83"/>
  <c r="C9" i="69" s="1"/>
  <c r="H9" i="83"/>
  <c r="E9" i="83"/>
  <c r="C8" i="69" s="1"/>
  <c r="H8" i="83"/>
  <c r="E8" i="83"/>
  <c r="C7" i="69" s="1"/>
  <c r="H7" i="83"/>
  <c r="E7" i="83"/>
  <c r="C6" i="69" s="1"/>
  <c r="C45" i="69" l="1"/>
  <c r="G54" i="85"/>
  <c r="G56" i="85" s="1"/>
  <c r="G63" i="85" s="1"/>
  <c r="G65" i="85" s="1"/>
  <c r="G67" i="85" s="1"/>
  <c r="D63" i="85"/>
  <c r="D65" i="85" s="1"/>
  <c r="D67" i="85" s="1"/>
  <c r="H9" i="85"/>
  <c r="H30" i="85"/>
  <c r="E61" i="85"/>
  <c r="C55" i="69"/>
  <c r="E9" i="85"/>
  <c r="E30" i="85"/>
  <c r="E53" i="85"/>
  <c r="C20" i="83"/>
  <c r="E20" i="83" s="1"/>
  <c r="H31" i="83"/>
  <c r="C41" i="83"/>
  <c r="E41" i="83" s="1"/>
  <c r="H53" i="85"/>
  <c r="C33" i="69"/>
  <c r="F54" i="85"/>
  <c r="H45" i="85"/>
  <c r="E45" i="85"/>
  <c r="C54" i="85"/>
  <c r="E54" i="85" s="1"/>
  <c r="C22" i="85"/>
  <c r="E34" i="85"/>
  <c r="F22" i="85"/>
  <c r="H34" i="85"/>
  <c r="H20" i="83"/>
  <c r="H14" i="83"/>
  <c r="H54" i="85" l="1"/>
  <c r="H22" i="85"/>
  <c r="F31" i="85"/>
  <c r="E22" i="85"/>
  <c r="C31" i="85"/>
  <c r="C56" i="85" l="1"/>
  <c r="E31" i="85"/>
  <c r="F56" i="85"/>
  <c r="H31" i="85"/>
  <c r="F63" i="85" l="1"/>
  <c r="H56" i="85"/>
  <c r="E56" i="85"/>
  <c r="C63" i="85"/>
  <c r="C65" i="85" l="1"/>
  <c r="E63" i="85"/>
  <c r="F65" i="85"/>
  <c r="H63" i="85"/>
  <c r="F67" i="85" l="1"/>
  <c r="H67" i="85" s="1"/>
  <c r="H65" i="85"/>
  <c r="C67" i="85"/>
  <c r="E67" i="85" s="1"/>
  <c r="E65" i="85"/>
  <c r="C22" i="103" l="1"/>
  <c r="D22" i="103"/>
  <c r="E22" i="103"/>
  <c r="G22" i="103"/>
  <c r="L22" i="103"/>
  <c r="U22" i="103"/>
  <c r="I13" i="99"/>
  <c r="C35" i="95" l="1"/>
  <c r="C12" i="101" l="1"/>
  <c r="C10" i="102"/>
  <c r="S21" i="90" l="1"/>
  <c r="S20" i="90"/>
  <c r="S19" i="90"/>
  <c r="S18" i="90"/>
  <c r="S17" i="90"/>
  <c r="S16" i="90"/>
  <c r="S15" i="90"/>
  <c r="S14" i="90"/>
  <c r="S13" i="90"/>
  <c r="S12" i="90"/>
  <c r="S11" i="90"/>
  <c r="S10" i="90"/>
  <c r="S9" i="90"/>
  <c r="S8" i="90"/>
  <c r="N33" i="105" l="1"/>
  <c r="M33" i="105"/>
  <c r="L33" i="105"/>
  <c r="K33" i="105"/>
  <c r="J33" i="105"/>
  <c r="I33" i="105"/>
  <c r="H33" i="105"/>
  <c r="G33" i="105"/>
  <c r="F33" i="105"/>
  <c r="E33" i="105"/>
  <c r="D33" i="105"/>
  <c r="C33" i="105"/>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16" i="93"/>
  <c r="D16" i="93"/>
  <c r="E16" i="93"/>
  <c r="F16" i="93"/>
  <c r="G16" i="93"/>
  <c r="H16" i="93"/>
  <c r="I16" i="93"/>
  <c r="J16" i="93"/>
  <c r="K16" i="93"/>
  <c r="B2" i="107" l="1"/>
  <c r="B2" i="75" l="1"/>
  <c r="B2" i="97" l="1"/>
  <c r="B2" i="95"/>
  <c r="B2" i="92"/>
  <c r="B2" i="93"/>
  <c r="B2" i="91"/>
  <c r="B2" i="64"/>
  <c r="B2" i="90"/>
  <c r="B2" i="69"/>
  <c r="B2" i="94"/>
  <c r="B2" i="89"/>
  <c r="B2" i="73"/>
  <c r="B2" i="88"/>
  <c r="B2" i="52"/>
  <c r="B2" i="86"/>
  <c r="C19" i="102" l="1"/>
  <c r="D12" i="101"/>
  <c r="C19" i="101"/>
  <c r="D7" i="101"/>
  <c r="H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F21" i="99"/>
  <c r="E21" i="99"/>
  <c r="D21" i="99"/>
  <c r="C21" i="99"/>
  <c r="I20" i="99"/>
  <c r="I19" i="99"/>
  <c r="I18" i="99"/>
  <c r="I17" i="99"/>
  <c r="I16" i="99"/>
  <c r="I15" i="99"/>
  <c r="I14" i="99"/>
  <c r="I12" i="99"/>
  <c r="I11" i="99"/>
  <c r="I10" i="99"/>
  <c r="I9" i="99"/>
  <c r="I8" i="99"/>
  <c r="I7" i="99"/>
  <c r="I21" i="99" l="1"/>
  <c r="I34" i="100"/>
  <c r="D19" i="101"/>
  <c r="G22" i="98"/>
  <c r="F22" i="98"/>
  <c r="E22" i="98"/>
  <c r="D22" i="98"/>
  <c r="C22" i="98"/>
  <c r="C30" i="95"/>
  <c r="K23" i="93"/>
  <c r="J23" i="93"/>
  <c r="I23" i="93"/>
  <c r="H23" i="93"/>
  <c r="G23" i="93"/>
  <c r="F23" i="93"/>
  <c r="K21" i="93"/>
  <c r="K24" i="93" s="1"/>
  <c r="J21" i="93"/>
  <c r="J24" i="93" s="1"/>
  <c r="I21" i="93"/>
  <c r="I24" i="93" s="1"/>
  <c r="H21" i="93"/>
  <c r="H24" i="93" s="1"/>
  <c r="G21" i="93"/>
  <c r="G24" i="93" s="1"/>
  <c r="F21" i="93"/>
  <c r="F24" i="93" s="1"/>
  <c r="E21" i="93"/>
  <c r="D21" i="93"/>
  <c r="C21" i="93"/>
  <c r="G22" i="9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S22" i="90"/>
  <c r="R22" i="90"/>
  <c r="Q22" i="90"/>
  <c r="P22" i="90"/>
  <c r="O22" i="90"/>
  <c r="N22" i="90"/>
  <c r="M22" i="90"/>
  <c r="L22" i="90"/>
  <c r="K22" i="90"/>
  <c r="J22" i="90"/>
  <c r="I22" i="90"/>
  <c r="H22" i="90"/>
  <c r="G22" i="90"/>
  <c r="F22" i="90"/>
  <c r="E22" i="90"/>
  <c r="D22" i="90"/>
  <c r="C22" i="90"/>
  <c r="C21" i="94"/>
  <c r="D21" i="94" s="1"/>
  <c r="C20" i="94"/>
  <c r="C19" i="94"/>
  <c r="E21" i="88"/>
  <c r="D21" i="88"/>
  <c r="C21" i="88"/>
  <c r="B2" i="85"/>
  <c r="G25" i="93" l="1"/>
  <c r="H25" i="93"/>
  <c r="H22" i="98"/>
  <c r="I25" i="93"/>
  <c r="J25" i="93"/>
  <c r="D19" i="94"/>
  <c r="H22" i="91"/>
  <c r="K25" i="93"/>
  <c r="V21" i="64"/>
  <c r="D16" i="94"/>
  <c r="D8" i="94"/>
  <c r="D7" i="94"/>
  <c r="D15" i="94"/>
  <c r="D12" i="94"/>
  <c r="D17" i="94"/>
  <c r="D13" i="94"/>
  <c r="D11" i="94"/>
  <c r="D9" i="94"/>
  <c r="D20" i="94"/>
  <c r="F25" i="93"/>
  <c r="G39" i="97"/>
  <c r="B2" i="106" l="1"/>
  <c r="B2" i="105"/>
  <c r="B2" i="104"/>
  <c r="B2" i="103"/>
  <c r="B2" i="102"/>
  <c r="B2" i="101"/>
  <c r="B2" i="100"/>
  <c r="B2" i="99"/>
  <c r="B2" i="98"/>
  <c r="B1" i="97" l="1"/>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B1" i="107" s="1"/>
  <c r="B1" i="106" l="1"/>
  <c r="B1" i="100"/>
  <c r="B1" i="105"/>
  <c r="B1" i="99"/>
  <c r="B1" i="103"/>
  <c r="B1" i="104"/>
  <c r="B1" i="102"/>
  <c r="B1" i="101"/>
  <c r="C8" i="95"/>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K7" i="92"/>
  <c r="J7" i="92"/>
  <c r="I7" i="92"/>
  <c r="H7" i="92"/>
  <c r="H21" i="92" s="1"/>
  <c r="G7" i="92"/>
  <c r="G21" i="92" s="1"/>
  <c r="F7" i="92"/>
  <c r="C7" i="92"/>
  <c r="F21" i="92" l="1"/>
  <c r="L21" i="92"/>
  <c r="K21" i="92"/>
  <c r="E14" i="92"/>
  <c r="N14" i="92"/>
  <c r="J21" i="92"/>
  <c r="E7" i="92"/>
  <c r="I21" i="92"/>
  <c r="M21" i="92"/>
  <c r="C21" i="92"/>
  <c r="N7" i="92"/>
  <c r="N21" i="92" l="1"/>
  <c r="E21" i="92"/>
  <c r="C12" i="95" s="1"/>
  <c r="C18" i="95" s="1"/>
  <c r="C36" i="95" s="1"/>
  <c r="C38" i="95" s="1"/>
  <c r="C5" i="73"/>
  <c r="C12" i="89" l="1"/>
  <c r="C6" i="89"/>
  <c r="C28" i="89" l="1"/>
  <c r="C31" i="89"/>
  <c r="C30" i="89" s="1"/>
  <c r="C35" i="89"/>
  <c r="C43" i="89"/>
  <c r="C47" i="89"/>
  <c r="C41" i="89" l="1"/>
  <c r="C8" i="73"/>
  <c r="C13" i="73" s="1"/>
  <c r="C52" i="89"/>
</calcChain>
</file>

<file path=xl/sharedStrings.xml><?xml version="1.0" encoding="utf-8"?>
<sst xmlns="http://schemas.openxmlformats.org/spreadsheetml/2006/main" count="1181" uniqueCount="781">
  <si>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</si>
  <si>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</si>
  <si>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</si>
  <si>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</si>
  <si>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</si>
  <si>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</si>
  <si>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</si>
  <si>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</si>
  <si>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</si>
  <si>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</si>
  <si>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</si>
  <si>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</si>
  <si>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</si>
  <si>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</si>
  <si>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</si>
  <si>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</si>
  <si>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</si>
  <si>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</si>
  <si>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</si>
  <si>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</si>
  <si>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</si>
  <si>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</si>
  <si>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</si>
  <si>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</si>
  <si>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</si>
  <si>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</si>
  <si>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</si>
  <si>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</si>
  <si>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</si>
  <si>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</si>
  <si>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</si>
  <si>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</si>
  <si>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</si>
  <si>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</si>
  <si>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</si>
  <si>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</si>
  <si>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</si>
  <si>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</si>
  <si>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</si>
  <si>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</si>
  <si>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</si>
  <si>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</si>
  <si>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</si>
  <si>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</si>
  <si>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</si>
  <si>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</si>
  <si>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</si>
  <si>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</si>
  <si>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</si>
  <si>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</si>
  <si>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</si>
  <si>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</si>
  <si>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</si>
  <si>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</si>
  <si>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</si>
  <si>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</si>
  <si>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</si>
  <si>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</si>
  <si>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</si>
  <si>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</si>
  <si>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</si>
  <si>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</si>
  <si>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</si>
  <si>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</si>
  <si>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</si>
  <si>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</si>
  <si>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</si>
  <si>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</si>
  <si>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</si>
  <si>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</si>
  <si>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</si>
  <si>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</si>
  <si>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</si>
  <si>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</si>
  <si>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</si>
  <si>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</si>
  <si>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</si>
  <si>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</si>
  <si>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</si>
  <si>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</si>
  <si>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</si>
  <si>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</si>
  <si>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</si>
  <si>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</si>
  <si>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</si>
  <si>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</si>
  <si>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</si>
  <si>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</si>
  <si>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</si>
  <si>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</si>
  <si>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</si>
  <si>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</si>
  <si>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</si>
  <si>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</si>
  <si>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</si>
  <si>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</si>
  <si>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</si>
  <si>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</si>
  <si>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</si>
  <si>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</si>
  <si>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</si>
  <si>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</si>
  <si>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</si>
  <si>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</si>
  <si>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</si>
  <si>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</si>
  <si>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</si>
  <si>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</si>
  <si>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</si>
  <si>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</si>
  <si>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</si>
  <si>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</si>
  <si>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</si>
  <si>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</si>
  <si>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</si>
  <si>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</si>
  <si>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</si>
  <si>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</si>
  <si>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</si>
  <si>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</si>
  <si>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</si>
  <si>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</si>
  <si>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</si>
  <si>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</si>
  <si>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</si>
  <si>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</si>
  <si>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</si>
  <si>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</si>
  <si>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</si>
  <si>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</si>
  <si>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</si>
  <si>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</si>
  <si>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</si>
  <si>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</si>
  <si>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</si>
  <si>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</si>
  <si>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</si>
  <si>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</si>
  <si>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</si>
  <si>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</si>
  <si>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</si>
  <si>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</si>
  <si>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</si>
  <si>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</si>
  <si>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</si>
  <si>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</si>
  <si>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</si>
  <si>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</si>
  <si>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</si>
  <si>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</si>
  <si>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</si>
  <si>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</si>
  <si>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</si>
  <si>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</si>
  <si>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</si>
  <si>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</si>
  <si>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</si>
  <si>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</si>
  <si>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</si>
  <si>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</si>
  <si>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</si>
  <si>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</si>
  <si>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</si>
  <si>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</si>
  <si>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</si>
  <si>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</si>
  <si>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</si>
  <si>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</si>
  <si>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</si>
  <si>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</si>
  <si>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</si>
  <si>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</si>
  <si>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</si>
  <si>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</si>
  <si>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</si>
  <si>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</si>
  <si>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</si>
  <si>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</si>
  <si>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</si>
  <si>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</si>
  <si>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</si>
  <si>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</si>
  <si>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</si>
  <si>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</si>
  <si>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</si>
  <si>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</si>
  <si>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</si>
  <si>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</si>
  <si>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</si>
  <si>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</si>
  <si>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</si>
  <si>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</si>
  <si>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</si>
  <si>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</si>
  <si>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</si>
  <si>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</si>
  <si>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</si>
  <si>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</si>
  <si>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</si>
  <si>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</si>
  <si>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</si>
  <si>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</si>
  <si>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</si>
  <si>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</si>
  <si>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</si>
  <si>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</si>
  <si>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</si>
  <si>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</si>
  <si>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</si>
  <si>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</si>
  <si>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</si>
  <si>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</si>
  <si>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</si>
  <si>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</si>
  <si>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</si>
  <si>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</si>
  <si>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</si>
  <si>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</si>
  <si>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</si>
  <si>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</si>
  <si>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</si>
  <si>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</si>
  <si>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</si>
  <si>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</si>
  <si>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</si>
  <si>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</si>
  <si>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</si>
  <si>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</si>
  <si>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</si>
  <si>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</si>
  <si>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</si>
  <si>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</si>
  <si>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</si>
  <si>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</si>
  <si>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</si>
  <si>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</si>
  <si>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</si>
  <si>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</si>
  <si>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</si>
  <si>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</si>
  <si>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</si>
  <si>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</si>
  <si>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</si>
  <si>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</si>
  <si>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</si>
  <si>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</si>
  <si>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</si>
  <si>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</si>
  <si>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</si>
  <si>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</si>
  <si>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</si>
  <si>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</si>
  <si>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</si>
  <si>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</si>
  <si>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</si>
  <si>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</si>
  <si>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</si>
  <si>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</si>
  <si>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</si>
  <si>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</si>
  <si>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</si>
  <si>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</si>
  <si>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</si>
  <si>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</si>
  <si>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</si>
  <si>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</si>
  <si>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</si>
  <si>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</si>
  <si>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</si>
  <si>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</si>
  <si>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</si>
  <si>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</si>
  <si>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</si>
  <si>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</si>
  <si>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</si>
  <si>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</si>
  <si>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</si>
  <si>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</si>
  <si>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</si>
  <si>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</si>
  <si>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</si>
  <si>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</si>
  <si>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</si>
  <si>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</si>
  <si>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</si>
  <si>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</si>
  <si>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</si>
  <si>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</si>
  <si>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</si>
  <si>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</si>
  <si>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</si>
  <si>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</si>
  <si>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</si>
  <si>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</si>
  <si>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</si>
  <si>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</si>
  <si>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</si>
  <si>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</si>
  <si>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</si>
  <si>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</si>
  <si>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</si>
  <si>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</si>
  <si>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</si>
  <si>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</si>
  <si>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</si>
  <si>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</si>
  <si>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</si>
  <si>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</si>
  <si>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</si>
  <si>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</si>
  <si>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</si>
  <si>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</si>
  <si>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</si>
  <si>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</si>
  <si>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</si>
  <si>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</si>
  <si>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</si>
  <si>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</si>
  <si>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</si>
  <si>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</si>
  <si>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</si>
  <si>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</si>
  <si>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</si>
  <si>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</si>
  <si>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</si>
  <si>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</si>
  <si>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</si>
  <si>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</si>
  <si>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</si>
  <si>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</si>
  <si>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</si>
  <si>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</si>
  <si>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</si>
  <si>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</si>
  <si>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</si>
  <si>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</si>
  <si>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</si>
  <si>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</si>
  <si>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</si>
  <si>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</si>
  <si>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</si>
  <si>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</si>
  <si>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</si>
  <si>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</si>
  <si>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</si>
  <si>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</si>
  <si>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</si>
  <si>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</si>
  <si>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</si>
  <si>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</si>
  <si>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</si>
  <si>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</si>
  <si>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</si>
  <si>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</si>
  <si>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</si>
  <si>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</si>
  <si>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</si>
  <si>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</si>
  <si>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</si>
  <si>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</si>
  <si>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</si>
  <si>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</si>
  <si>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</si>
  <si>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</si>
  <si>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</si>
  <si>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</si>
  <si>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</si>
  <si>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</si>
  <si>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</si>
  <si>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</si>
  <si>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</si>
  <si>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</si>
  <si>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</si>
  <si>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</si>
  <si>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</si>
  <si>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</si>
  <si>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</si>
  <si>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</si>
  <si>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</si>
  <si>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</si>
  <si>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</si>
  <si>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</si>
  <si>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</si>
  <si>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</si>
  <si>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</si>
  <si>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</si>
  <si>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</si>
  <si>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</si>
  <si>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</si>
  <si>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</si>
  <si>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</si>
  <si>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</si>
  <si>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</si>
  <si>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</si>
  <si>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</si>
  <si>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</si>
  <si>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</si>
  <si>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</si>
  <si>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</si>
  <si>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</si>
  <si>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</si>
  <si>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</si>
  <si>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</si>
  <si>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</si>
  <si>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</si>
  <si>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</si>
  <si>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</si>
  <si>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</si>
  <si>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</si>
  <si>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</si>
  <si>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</si>
  <si>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</si>
  <si>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</si>
  <si>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</si>
  <si>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</si>
  <si>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</si>
  <si>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</si>
  <si>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</si>
  <si>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</si>
  <si>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</si>
  <si>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</si>
  <si>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</si>
  <si>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</si>
  <si>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</si>
  <si>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</si>
  <si>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</si>
  <si>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</si>
  <si>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</si>
  <si>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</si>
  <si>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</si>
  <si>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</si>
  <si>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</si>
  <si>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</si>
  <si>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</si>
  <si>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</si>
  <si>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</si>
  <si>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</si>
  <si>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</si>
  <si>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</si>
  <si>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</si>
  <si>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</si>
  <si>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</si>
  <si>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</si>
  <si>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</si>
  <si>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</si>
  <si>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</si>
  <si>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</si>
  <si>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</si>
  <si>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</si>
  <si>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</si>
  <si>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</si>
  <si>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</si>
  <si>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</si>
  <si>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</si>
  <si>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</si>
  <si>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</si>
  <si>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</si>
  <si>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</si>
  <si>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</si>
  <si>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</si>
  <si>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</si>
  <si>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</si>
  <si>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</si>
  <si>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</si>
  <si>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</si>
  <si>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</si>
  <si>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</si>
  <si>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</si>
  <si>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</si>
  <si>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</si>
  <si>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</si>
  <si>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</si>
  <si>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</si>
  <si>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</si>
  <si>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</si>
  <si>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</si>
  <si>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</si>
  <si>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</si>
  <si>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</si>
  <si>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</si>
  <si>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</si>
  <si>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</si>
  <si>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</si>
  <si>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</si>
  <si>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</si>
  <si>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</si>
  <si>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</si>
  <si>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</si>
  <si>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</si>
  <si>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</si>
  <si>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</si>
  <si>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</si>
  <si>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</si>
  <si>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</si>
  <si>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</si>
  <si>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</si>
  <si>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</si>
  <si>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</si>
  <si>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</si>
  <si>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</si>
  <si>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</si>
  <si>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</si>
  <si>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</si>
  <si>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</si>
  <si>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</si>
  <si>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</si>
  <si>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</si>
  <si>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</si>
  <si>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</si>
  <si>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</si>
  <si>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</si>
  <si>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</si>
  <si>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</si>
  <si>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</si>
  <si>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</si>
  <si>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</si>
  <si>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</si>
  <si>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</si>
  <si>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</si>
  <si>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</si>
  <si>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</si>
  <si>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</si>
  <si>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</si>
  <si>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</si>
  <si>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</si>
  <si>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</si>
  <si>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</si>
  <si>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</si>
  <si>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</si>
  <si>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</si>
  <si>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</si>
  <si>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</si>
  <si>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</si>
  <si>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</si>
  <si>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</si>
  <si>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</si>
  <si>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</si>
  <si>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</si>
  <si>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</si>
  <si>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</si>
  <si>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</si>
  <si>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</si>
  <si>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</si>
  <si>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</si>
  <si>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</si>
  <si>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</si>
  <si>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</si>
  <si>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</si>
  <si>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</si>
  <si>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</si>
  <si>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</si>
  <si>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</si>
  <si>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</si>
  <si>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</si>
  <si>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</si>
  <si>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</si>
  <si>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</si>
  <si>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</si>
  <si>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</si>
  <si>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</si>
  <si>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</si>
  <si>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</si>
  <si>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</si>
  <si>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</si>
  <si>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</si>
  <si>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</si>
  <si>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</si>
  <si>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</si>
  <si>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</si>
  <si>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</si>
  <si>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</si>
  <si>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</si>
  <si>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</si>
  <si>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</si>
  <si>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</si>
  <si>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</si>
  <si>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</si>
  <si>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</si>
  <si>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</si>
  <si>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</si>
  <si>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</si>
  <si>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</si>
  <si>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</si>
  <si>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</si>
  <si>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</si>
  <si>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</si>
  <si>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</si>
  <si>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</si>
  <si>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</si>
  <si>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</si>
  <si>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</si>
  <si>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</si>
  <si>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</si>
  <si>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</si>
  <si>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</si>
  <si>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</si>
  <si>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</si>
  <si>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</si>
  <si>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</si>
  <si>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</si>
  <si>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</si>
  <si>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</si>
  <si>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</si>
  <si>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</si>
  <si>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</si>
  <si>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</si>
  <si>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</si>
  <si>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</si>
  <si>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</si>
  <si>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</si>
  <si>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</si>
  <si>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</si>
  <si>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</si>
  <si>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</si>
  <si>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</si>
  <si>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</si>
  <si>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</si>
  <si>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</si>
  <si>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</si>
  <si>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</si>
  <si>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</si>
  <si>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</si>
  <si>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</si>
  <si>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</si>
  <si>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</si>
  <si>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</si>
  <si>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</si>
  <si>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</si>
  <si>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</si>
  <si>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</si>
  <si>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</si>
  <si>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</si>
  <si>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</si>
  <si>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</si>
  <si>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</si>
  <si>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</si>
  <si>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</si>
  <si>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</si>
  <si>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</si>
  <si>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</si>
  <si>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</si>
  <si>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</si>
  <si>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</si>
  <si>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</si>
  <si>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</si>
  <si>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</si>
  <si>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</si>
  <si>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</si>
  <si>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</si>
  <si>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</si>
  <si>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</si>
  <si>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</si>
  <si>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</si>
  <si>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</si>
  <si>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</si>
  <si>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</si>
  <si>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</si>
  <si>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</si>
  <si>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</si>
  <si>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</si>
  <si>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</si>
  <si>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</si>
  <si>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</si>
  <si>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</si>
  <si>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</si>
  <si>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</si>
  <si>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</si>
  <si>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</si>
  <si>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</si>
  <si>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</si>
  <si>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</si>
  <si>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</si>
  <si>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</si>
  <si>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</si>
  <si>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</si>
  <si>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</si>
  <si>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</si>
  <si>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</si>
  <si>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</si>
  <si>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</si>
  <si>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</si>
  <si>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</si>
  <si>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</si>
  <si>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</si>
  <si>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</si>
  <si>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</si>
  <si>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</si>
  <si>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</si>
  <si>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</si>
  <si>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</si>
  <si>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</si>
  <si>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</si>
  <si>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</si>
  <si>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</si>
  <si>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</si>
  <si>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</si>
  <si>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</si>
  <si>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</si>
  <si>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</si>
  <si>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</si>
  <si>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</si>
  <si>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</si>
  <si>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</si>
  <si>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</si>
  <si>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</si>
  <si>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</si>
  <si>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</si>
  <si>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</si>
  <si>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</si>
  <si>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</si>
  <si>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</si>
  <si>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CARTU BANK</t>
  </si>
  <si>
    <t>Nikoloz Chkhetiani</t>
  </si>
  <si>
    <t>Nato Khaindrava</t>
  </si>
  <si>
    <t>www.cartubank.ge</t>
  </si>
  <si>
    <t xml:space="preserve">  </t>
  </si>
  <si>
    <t>Non-independent chair</t>
  </si>
  <si>
    <t>Besik Demetrashvili</t>
  </si>
  <si>
    <t>Non-independent member</t>
  </si>
  <si>
    <t>Temur Kobakhidze</t>
  </si>
  <si>
    <t>Independent member</t>
  </si>
  <si>
    <t>Zaza Verdzeuli</t>
  </si>
  <si>
    <t>Tea Jokhadze</t>
  </si>
  <si>
    <t>General Director</t>
  </si>
  <si>
    <t>Givi Lebanidze</t>
  </si>
  <si>
    <t>Financial Director</t>
  </si>
  <si>
    <t>Beka Kvaratskhelia</t>
  </si>
  <si>
    <t>Risk Director</t>
  </si>
  <si>
    <t xml:space="preserve">Zurab Gogua </t>
  </si>
  <si>
    <t>Commercial Director</t>
  </si>
  <si>
    <t>David Galuashvili</t>
  </si>
  <si>
    <t xml:space="preserve">N(N)LP INTERNATIONAL CHARITY FUND "CARTU"                                                           </t>
  </si>
  <si>
    <t xml:space="preserve">Uta Ivanishvili </t>
  </si>
  <si>
    <t>Table 9 (Capital), N39</t>
  </si>
  <si>
    <t>Table 9 (Capital), N15</t>
  </si>
  <si>
    <t>Table 9 (Capital), N37</t>
  </si>
  <si>
    <t>Table 9 (Capital), N2</t>
  </si>
  <si>
    <t>Table 9 (Capital), N5</t>
  </si>
  <si>
    <t>Table 9 (Capital), N6</t>
  </si>
  <si>
    <t>Of which common reserves</t>
  </si>
  <si>
    <t>Net Investment Securities</t>
  </si>
  <si>
    <t>6.2.1</t>
  </si>
  <si>
    <t>6.2.2</t>
  </si>
  <si>
    <t>Of which the COVID 19 reserve</t>
  </si>
  <si>
    <t xml:space="preserve"> Significant Investments Reserves</t>
  </si>
  <si>
    <t>Investments Reserves</t>
  </si>
  <si>
    <t>Including deferred tax assets</t>
  </si>
  <si>
    <t xml:space="preserve"> Significant Reserves</t>
  </si>
  <si>
    <t>Net Other Assets</t>
  </si>
  <si>
    <t>Of which offblance liabilities reserves</t>
  </si>
  <si>
    <t>Of which Regulatory Reserves</t>
  </si>
  <si>
    <t>Of which Special Funds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</si>
  <si>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</si>
  <si>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</si>
  <si>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</si>
  <si>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</si>
  <si>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</si>
  <si>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</si>
  <si>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</si>
  <si>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</si>
  <si>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</si>
  <si>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</si>
  <si>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</si>
  <si>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</si>
  <si>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</si>
  <si>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</si>
  <si>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</si>
  <si>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</si>
  <si>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</si>
  <si>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</si>
  <si>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</si>
  <si>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</si>
  <si>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</si>
  <si>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</si>
  <si>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</si>
  <si>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</si>
  <si>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X</t>
  </si>
  <si>
    <t>Table 9 (Capital), N8</t>
  </si>
  <si>
    <t>Grigol Katsia</t>
  </si>
  <si>
    <t>Operations Director</t>
  </si>
  <si>
    <t>Electronic Commerce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</si>
</sst>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i/>
      <sz val="10"/>
      <color rgb="FFFF0000"/>
      <name val="Calibri"/>
      <family val="2"/>
      <scheme val="minor"/>
    </font>
    <font>
      <sz val="10"/>
      <color theme="1"/>
      <name val="Sylfaen"/>
      <family val="1"/>
    </font>
    <font>
      <i/>
      <sz val="10"/>
      <name val="Sylfaen"/>
      <family val="1"/>
    </font>
    <font>
      <i/>
      <sz val="10"/>
      <color theme="1"/>
      <name val="Sylfaen"/>
      <family val="1"/>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47">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3" xfId="0" applyFont="1" applyBorder="1"/>
    <xf numFmtId="193" fontId="2" fillId="36" borderId="25" xfId="7"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85" fillId="0" borderId="0" xfId="0" applyFont="1" applyAlignment="1">
      <alignment wrapText="1"/>
    </xf>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6"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4" xfId="0" applyNumberFormat="1" applyFont="1" applyBorder="1" applyAlignment="1">
      <alignment horizontal="center"/>
    </xf>
    <xf numFmtId="193" fontId="87" fillId="0" borderId="13" xfId="0" applyNumberFormat="1" applyFont="1" applyBorder="1" applyAlignment="1">
      <alignment vertical="center"/>
    </xf>
    <xf numFmtId="167" fontId="87" fillId="0" borderId="64"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7"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93" fontId="84" fillId="0" borderId="17" xfId="0" applyNumberFormat="1" applyFont="1" applyBorder="1" applyAlignment="1">
      <alignment vertic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8"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8"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4"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4" xfId="0" applyFont="1" applyFill="1" applyBorder="1" applyAlignment="1">
      <alignment horizontal="left"/>
    </xf>
    <xf numFmtId="0" fontId="99"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6" xfId="0" applyFont="1" applyBorder="1" applyAlignment="1">
      <alignment vertical="center"/>
    </xf>
    <xf numFmtId="0" fontId="4" fillId="0" borderId="86"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8"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27" xfId="20" applyBorder="1"/>
    <xf numFmtId="169" fontId="9" fillId="37" borderId="94" xfId="20" applyBorder="1"/>
    <xf numFmtId="169" fontId="9" fillId="37" borderId="28" xfId="20" applyBorder="1"/>
    <xf numFmtId="0" fontId="3" fillId="0" borderId="96" xfId="0" applyFont="1" applyBorder="1" applyAlignment="1">
      <alignment horizontal="center" vertical="center"/>
    </xf>
    <xf numFmtId="0" fontId="3" fillId="0" borderId="97" xfId="0" applyFont="1" applyBorder="1" applyAlignment="1">
      <alignment vertical="center"/>
    </xf>
    <xf numFmtId="169" fontId="9" fillId="37" borderId="33" xfId="20" applyBorder="1"/>
    <xf numFmtId="0" fontId="4" fillId="0" borderId="0" xfId="0" applyFont="1" applyAlignment="1">
      <alignment horizontal="center"/>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6" xfId="0" applyFont="1" applyBorder="1"/>
    <xf numFmtId="0" fontId="84" fillId="0" borderId="86" xfId="0" applyFont="1" applyBorder="1" applyAlignment="1">
      <alignment horizontal="left" indent="1"/>
    </xf>
    <xf numFmtId="0" fontId="87" fillId="0" borderId="86" xfId="0" applyFont="1" applyBorder="1" applyAlignment="1">
      <alignment horizontal="left" indent="1"/>
    </xf>
    <xf numFmtId="193" fontId="86"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3" fillId="36" borderId="25"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4" xfId="20964" applyFont="1" applyFill="1" applyBorder="1">
      <alignment vertical="center"/>
    </xf>
    <xf numFmtId="0" fontId="45" fillId="77" borderId="105" xfId="20964" applyFont="1" applyFill="1" applyBorder="1">
      <alignment vertical="center"/>
    </xf>
    <xf numFmtId="0" fontId="45" fillId="77" borderId="102" xfId="20964" applyFont="1" applyFill="1" applyBorder="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164" fontId="105" fillId="0" borderId="103" xfId="7" applyNumberFormat="1" applyFont="1" applyFill="1" applyBorder="1" applyAlignment="1" applyProtection="1">
      <alignment horizontal="right" vertical="center"/>
      <protection locked="0"/>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Border="1" applyAlignment="1">
      <alignment horizontal="center" vertical="center"/>
    </xf>
    <xf numFmtId="0" fontId="105" fillId="0" borderId="102" xfId="20964" applyFont="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lignment vertical="center"/>
    </xf>
    <xf numFmtId="0" fontId="104" fillId="77" borderId="104" xfId="20964" applyFont="1" applyFill="1" applyBorder="1">
      <alignment vertical="center"/>
    </xf>
    <xf numFmtId="0" fontId="104" fillId="77" borderId="105" xfId="20964" applyFont="1" applyFill="1" applyBorder="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Border="1" applyAlignment="1">
      <alignment horizontal="left" vertical="center" wrapText="1"/>
    </xf>
    <xf numFmtId="0" fontId="4" fillId="36" borderId="103" xfId="0" applyFont="1" applyFill="1" applyBorder="1" applyAlignment="1">
      <alignment horizontal="left" vertical="center" wrapText="1"/>
    </xf>
    <xf numFmtId="0" fontId="3" fillId="0" borderId="103" xfId="0" applyFont="1" applyBorder="1" applyAlignment="1">
      <alignment horizontal="lef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xf numFmtId="169" fontId="2" fillId="37" borderId="100"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0" borderId="103" xfId="0" applyFont="1" applyBorder="1" applyAlignment="1">
      <alignment horizontal="center"/>
    </xf>
    <xf numFmtId="0" fontId="3" fillId="3" borderId="6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164" fontId="3" fillId="0" borderId="87" xfId="7" applyNumberFormat="1" applyFont="1" applyBorder="1"/>
    <xf numFmtId="0" fontId="99" fillId="0" borderId="103" xfId="0" applyFont="1" applyBorder="1" applyAlignment="1">
      <alignment horizontal="left" wrapText="1" indent="2"/>
    </xf>
    <xf numFmtId="0" fontId="4" fillId="0" borderId="21" xfId="0" applyFont="1" applyBorder="1"/>
    <xf numFmtId="0" fontId="4" fillId="0" borderId="103" xfId="0" applyFont="1" applyBorder="1" applyAlignment="1">
      <alignment wrapText="1"/>
    </xf>
    <xf numFmtId="164" fontId="4" fillId="0" borderId="87" xfId="7" applyNumberFormat="1" applyFont="1" applyBorder="1"/>
    <xf numFmtId="0" fontId="111" fillId="3" borderId="68"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99" fillId="0" borderId="103" xfId="0" applyFont="1" applyBorder="1" applyAlignment="1">
      <alignment horizontal="left" wrapText="1" indent="4"/>
    </xf>
    <xf numFmtId="0" fontId="3" fillId="3" borderId="0" xfId="0" applyFont="1" applyFill="1" applyAlignment="1">
      <alignment wrapText="1"/>
    </xf>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xf numFmtId="0" fontId="114" fillId="0" borderId="0" xfId="11" applyFont="1"/>
    <xf numFmtId="0" fontId="117" fillId="0" borderId="118" xfId="13" applyFont="1" applyBorder="1" applyAlignment="1" applyProtection="1">
      <alignment horizontal="left" vertical="center" wrapText="1"/>
      <protection locked="0"/>
    </xf>
    <xf numFmtId="49" fontId="117" fillId="0" borderId="118" xfId="5" applyNumberFormat="1" applyFont="1" applyBorder="1" applyAlignment="1" applyProtection="1">
      <alignment horizontal="right" vertical="center"/>
      <protection locked="0"/>
    </xf>
    <xf numFmtId="49" fontId="118" fillId="0" borderId="118" xfId="5" applyNumberFormat="1" applyFont="1" applyBorder="1" applyAlignment="1" applyProtection="1">
      <alignment horizontal="right" vertical="center"/>
      <protection locked="0"/>
    </xf>
    <xf numFmtId="0" fontId="113" fillId="0" borderId="118" xfId="0" applyFont="1" applyBorder="1"/>
    <xf numFmtId="49" fontId="117" fillId="0" borderId="118" xfId="5" applyNumberFormat="1" applyFont="1" applyBorder="1" applyAlignment="1" applyProtection="1">
      <alignment horizontal="right" vertical="center" wrapText="1"/>
      <protection locked="0"/>
    </xf>
    <xf numFmtId="49" fontId="118" fillId="0" borderId="118" xfId="5" applyNumberFormat="1" applyFont="1" applyBorder="1" applyAlignment="1" applyProtection="1">
      <alignment horizontal="right" vertical="center" wrapText="1"/>
      <protection locked="0"/>
    </xf>
    <xf numFmtId="0" fontId="113" fillId="0" borderId="0" xfId="0" applyFont="1"/>
    <xf numFmtId="0" fontId="112" fillId="0" borderId="118" xfId="0" applyFont="1" applyBorder="1" applyAlignment="1">
      <alignment horizontal="left" vertical="center" wrapText="1"/>
    </xf>
    <xf numFmtId="0" fontId="116" fillId="0" borderId="118" xfId="0" applyFont="1" applyBorder="1"/>
    <xf numFmtId="0" fontId="115" fillId="0" borderId="118" xfId="0" applyFont="1" applyBorder="1" applyAlignment="1">
      <alignment horizontal="left" indent="1"/>
    </xf>
    <xf numFmtId="0" fontId="115" fillId="0" borderId="118" xfId="0" applyFont="1" applyBorder="1" applyAlignment="1">
      <alignment horizontal="left" wrapText="1" indent="1"/>
    </xf>
    <xf numFmtId="0" fontId="112" fillId="0" borderId="118" xfId="0" applyFont="1" applyBorder="1" applyAlignment="1">
      <alignment horizontal="left" indent="1"/>
    </xf>
    <xf numFmtId="0" fontId="112" fillId="0" borderId="118" xfId="0" applyFont="1" applyBorder="1" applyAlignment="1">
      <alignment horizontal="left" wrapText="1" indent="2"/>
    </xf>
    <xf numFmtId="0" fontId="115" fillId="0" borderId="118" xfId="0" applyFont="1" applyBorder="1" applyAlignment="1">
      <alignment horizontal="left" vertical="center" indent="1"/>
    </xf>
    <xf numFmtId="0" fontId="113" fillId="0" borderId="118" xfId="0" applyFont="1" applyBorder="1" applyAlignment="1">
      <alignment horizontal="left" wrapText="1"/>
    </xf>
    <xf numFmtId="0" fontId="113" fillId="0" borderId="118" xfId="0" applyFont="1" applyBorder="1" applyAlignment="1">
      <alignment horizontal="left" wrapText="1" indent="2"/>
    </xf>
    <xf numFmtId="49" fontId="113" fillId="0" borderId="118" xfId="0" applyNumberFormat="1" applyFont="1" applyBorder="1" applyAlignment="1">
      <alignment horizontal="left" indent="3"/>
    </xf>
    <xf numFmtId="49" fontId="113" fillId="0" borderId="118" xfId="0" applyNumberFormat="1" applyFont="1" applyBorder="1" applyAlignment="1">
      <alignment horizontal="left" indent="1"/>
    </xf>
    <xf numFmtId="49" fontId="113" fillId="0" borderId="118" xfId="0" applyNumberFormat="1" applyFont="1" applyBorder="1" applyAlignment="1">
      <alignment horizontal="left" vertical="top" wrapText="1" indent="2"/>
    </xf>
    <xf numFmtId="49" fontId="113" fillId="0" borderId="118" xfId="0" applyNumberFormat="1" applyFont="1" applyBorder="1" applyAlignment="1">
      <alignment horizontal="left" wrapText="1" indent="3"/>
    </xf>
    <xf numFmtId="49" fontId="113" fillId="0" borderId="118" xfId="0" applyNumberFormat="1" applyFont="1" applyBorder="1" applyAlignment="1">
      <alignment horizontal="left" wrapText="1" indent="2"/>
    </xf>
    <xf numFmtId="0" fontId="113" fillId="0" borderId="118" xfId="0" applyFont="1" applyBorder="1" applyAlignment="1">
      <alignment horizontal="left" wrapText="1" indent="1"/>
    </xf>
    <xf numFmtId="49" fontId="113" fillId="0" borderId="118" xfId="0" applyNumberFormat="1" applyFont="1" applyBorder="1" applyAlignment="1">
      <alignment horizontal="left" wrapText="1" indent="1"/>
    </xf>
    <xf numFmtId="0" fontId="115" fillId="0" borderId="74" xfId="0" applyFont="1" applyBorder="1" applyAlignment="1">
      <alignment horizontal="left" vertical="center" wrapText="1"/>
    </xf>
    <xf numFmtId="0" fontId="113" fillId="0" borderId="119" xfId="0" applyFont="1" applyBorder="1" applyAlignment="1">
      <alignment horizontal="center" vertical="center" wrapText="1"/>
    </xf>
    <xf numFmtId="0" fontId="115" fillId="0" borderId="118" xfId="0" applyFont="1" applyBorder="1" applyAlignment="1">
      <alignment horizontal="left" vertical="center" wrapText="1"/>
    </xf>
    <xf numFmtId="0" fontId="113" fillId="0" borderId="118" xfId="0" applyFont="1" applyBorder="1" applyAlignment="1">
      <alignment horizontal="left" indent="1"/>
    </xf>
    <xf numFmtId="0" fontId="6" fillId="0" borderId="118" xfId="17" applyBorder="1" applyAlignment="1" applyProtection="1"/>
    <xf numFmtId="0" fontId="116" fillId="0" borderId="11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0" fontId="119" fillId="0" borderId="118"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8" xfId="0" applyFont="1" applyBorder="1" applyAlignment="1">
      <alignment horizontal="center" vertical="center"/>
    </xf>
    <xf numFmtId="0" fontId="113" fillId="0" borderId="118" xfId="0" applyFont="1" applyBorder="1" applyAlignment="1">
      <alignment horizontal="center" vertical="center" wrapText="1"/>
    </xf>
    <xf numFmtId="0" fontId="116" fillId="0" borderId="0" xfId="0" applyFont="1"/>
    <xf numFmtId="0" fontId="113" fillId="0" borderId="118" xfId="0" applyFont="1" applyBorder="1" applyAlignment="1">
      <alignment wrapText="1"/>
    </xf>
    <xf numFmtId="0" fontId="113" fillId="0" borderId="118"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8" xfId="0" applyNumberFormat="1" applyFont="1" applyBorder="1" applyAlignment="1">
      <alignment horizontal="center" vertical="center" wrapText="1"/>
    </xf>
    <xf numFmtId="0" fontId="113" fillId="0" borderId="118" xfId="0" applyFont="1" applyBorder="1" applyAlignment="1">
      <alignment horizontal="center"/>
    </xf>
    <xf numFmtId="0" fontId="113" fillId="0" borderId="7" xfId="0" applyFont="1" applyBorder="1"/>
    <xf numFmtId="0" fontId="113" fillId="0" borderId="118"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8" xfId="0" applyFont="1" applyBorder="1" applyAlignment="1">
      <alignment horizontal="center" vertical="center" wrapText="1"/>
    </xf>
    <xf numFmtId="0" fontId="85" fillId="0" borderId="118" xfId="0" applyFont="1" applyBorder="1"/>
    <xf numFmtId="193" fontId="3" fillId="0" borderId="118" xfId="0" applyNumberFormat="1" applyFont="1" applyBorder="1" applyAlignment="1" applyProtection="1">
      <alignment vertical="center" wrapText="1"/>
      <protection locked="0"/>
    </xf>
    <xf numFmtId="193" fontId="3" fillId="0" borderId="87" xfId="0" applyNumberFormat="1" applyFont="1" applyBorder="1" applyAlignment="1" applyProtection="1">
      <alignment vertical="center" wrapText="1"/>
      <protection locked="0"/>
    </xf>
    <xf numFmtId="169" fontId="9" fillId="37" borderId="0" xfId="20"/>
    <xf numFmtId="169" fontId="9" fillId="37" borderId="100" xfId="20" applyBorder="1"/>
    <xf numFmtId="10" fontId="3" fillId="0" borderId="118" xfId="20962" applyNumberFormat="1" applyFont="1" applyBorder="1" applyAlignment="1" applyProtection="1">
      <alignment vertical="center" wrapText="1"/>
      <protection locked="0"/>
    </xf>
    <xf numFmtId="10" fontId="3" fillId="0" borderId="87" xfId="20962" applyNumberFormat="1" applyFont="1" applyBorder="1" applyAlignment="1" applyProtection="1">
      <alignment vertical="center" wrapText="1"/>
      <protection locked="0"/>
    </xf>
    <xf numFmtId="10" fontId="3" fillId="0" borderId="118" xfId="20962" applyNumberFormat="1" applyFont="1" applyFill="1" applyBorder="1" applyAlignment="1" applyProtection="1">
      <alignment vertical="center" wrapText="1"/>
      <protection locked="0"/>
    </xf>
    <xf numFmtId="10" fontId="3" fillId="0" borderId="87" xfId="20962" applyNumberFormat="1" applyFont="1" applyFill="1" applyBorder="1" applyAlignment="1" applyProtection="1">
      <alignment vertical="center" wrapText="1"/>
      <protection locked="0"/>
    </xf>
    <xf numFmtId="10" fontId="122" fillId="2" borderId="87" xfId="20962" applyNumberFormat="1" applyFont="1" applyFill="1" applyBorder="1" applyAlignment="1" applyProtection="1">
      <alignment vertical="center"/>
      <protection locked="0"/>
    </xf>
    <xf numFmtId="193" fontId="94" fillId="2" borderId="118" xfId="0" applyNumberFormat="1" applyFont="1" applyFill="1" applyBorder="1" applyAlignment="1" applyProtection="1">
      <alignment vertical="center"/>
      <protection locked="0"/>
    </xf>
    <xf numFmtId="193" fontId="94" fillId="2" borderId="87" xfId="0" applyNumberFormat="1" applyFont="1" applyFill="1" applyBorder="1" applyAlignment="1" applyProtection="1">
      <alignment vertical="center"/>
      <protection locked="0"/>
    </xf>
    <xf numFmtId="193" fontId="122" fillId="2" borderId="118" xfId="0" applyNumberFormat="1" applyFont="1" applyFill="1" applyBorder="1" applyAlignment="1" applyProtection="1">
      <alignment vertical="center"/>
      <protection locked="0"/>
    </xf>
    <xf numFmtId="193" fontId="122" fillId="2" borderId="87" xfId="0" applyNumberFormat="1" applyFont="1" applyFill="1" applyBorder="1" applyAlignment="1" applyProtection="1">
      <alignment vertical="center"/>
      <protection locked="0"/>
    </xf>
    <xf numFmtId="9" fontId="122" fillId="2" borderId="25" xfId="20962" applyFont="1" applyFill="1" applyBorder="1" applyAlignment="1" applyProtection="1">
      <alignment vertical="center"/>
      <protection locked="0"/>
    </xf>
    <xf numFmtId="9" fontId="122" fillId="2" borderId="26" xfId="20962" applyFont="1" applyFill="1" applyBorder="1" applyAlignment="1" applyProtection="1">
      <alignment vertical="center"/>
      <protection locked="0"/>
    </xf>
    <xf numFmtId="193" fontId="94" fillId="0" borderId="118" xfId="0" applyNumberFormat="1" applyFont="1" applyBorder="1" applyAlignment="1" applyProtection="1">
      <alignment vertical="center"/>
      <protection locked="0"/>
    </xf>
    <xf numFmtId="193" fontId="94" fillId="0" borderId="87" xfId="0" applyNumberFormat="1" applyFont="1" applyBorder="1" applyAlignment="1" applyProtection="1">
      <alignment vertical="center"/>
      <protection locked="0"/>
    </xf>
    <xf numFmtId="193" fontId="122" fillId="0" borderId="118" xfId="0" applyNumberFormat="1" applyFont="1" applyBorder="1" applyAlignment="1" applyProtection="1">
      <alignment vertical="center"/>
      <protection locked="0"/>
    </xf>
    <xf numFmtId="193" fontId="122" fillId="0" borderId="87" xfId="0" applyNumberFormat="1" applyFont="1" applyBorder="1" applyAlignment="1" applyProtection="1">
      <alignment vertical="center"/>
      <protection locked="0"/>
    </xf>
    <xf numFmtId="9" fontId="122" fillId="0" borderId="25" xfId="20962" applyFont="1" applyFill="1" applyBorder="1" applyAlignment="1" applyProtection="1">
      <alignment vertical="center"/>
      <protection locked="0"/>
    </xf>
    <xf numFmtId="9" fontId="122" fillId="0" borderId="26" xfId="20962" applyFont="1" applyFill="1" applyBorder="1" applyAlignment="1" applyProtection="1">
      <alignment vertical="center"/>
      <protection locked="0"/>
    </xf>
    <xf numFmtId="193" fontId="94" fillId="0" borderId="118" xfId="7" applyNumberFormat="1" applyFont="1" applyFill="1" applyBorder="1" applyAlignment="1" applyProtection="1">
      <alignment horizontal="right"/>
    </xf>
    <xf numFmtId="193" fontId="94" fillId="36" borderId="118" xfId="7" applyNumberFormat="1" applyFont="1" applyFill="1" applyBorder="1" applyAlignment="1" applyProtection="1">
      <alignment horizontal="right"/>
    </xf>
    <xf numFmtId="193" fontId="94" fillId="0" borderId="122" xfId="0" applyNumberFormat="1" applyFont="1" applyBorder="1" applyAlignment="1">
      <alignment horizontal="right"/>
    </xf>
    <xf numFmtId="193" fontId="94" fillId="0" borderId="118" xfId="0" applyNumberFormat="1" applyFont="1" applyBorder="1" applyAlignment="1">
      <alignment horizontal="right"/>
    </xf>
    <xf numFmtId="193" fontId="2" fillId="36" borderId="87" xfId="0" applyNumberFormat="1" applyFont="1" applyFill="1" applyBorder="1" applyAlignment="1">
      <alignment horizontal="right"/>
    </xf>
    <xf numFmtId="193" fontId="94" fillId="0" borderId="118" xfId="7" applyNumberFormat="1" applyFont="1" applyFill="1" applyBorder="1" applyAlignment="1" applyProtection="1">
      <alignment horizontal="right"/>
      <protection locked="0"/>
    </xf>
    <xf numFmtId="193" fontId="94" fillId="0" borderId="122" xfId="0" applyNumberFormat="1" applyFont="1" applyBorder="1" applyAlignment="1" applyProtection="1">
      <alignment horizontal="right"/>
      <protection locked="0"/>
    </xf>
    <xf numFmtId="193" fontId="94" fillId="0" borderId="118" xfId="0" applyNumberFormat="1" applyFont="1" applyBorder="1" applyAlignment="1" applyProtection="1">
      <alignment horizontal="right"/>
      <protection locked="0"/>
    </xf>
    <xf numFmtId="193" fontId="2" fillId="0" borderId="87" xfId="0" applyNumberFormat="1" applyFont="1" applyBorder="1" applyAlignment="1">
      <alignment horizontal="right"/>
    </xf>
    <xf numFmtId="193" fontId="2" fillId="36" borderId="26" xfId="0" applyNumberFormat="1" applyFont="1" applyFill="1" applyBorder="1" applyAlignment="1">
      <alignment horizontal="right"/>
    </xf>
    <xf numFmtId="0" fontId="2" fillId="0" borderId="120" xfId="0" applyFont="1" applyBorder="1" applyAlignment="1">
      <alignment wrapText="1"/>
    </xf>
    <xf numFmtId="0" fontId="84" fillId="0" borderId="90" xfId="0" applyFont="1" applyBorder="1"/>
    <xf numFmtId="0" fontId="2" fillId="0" borderId="90" xfId="0" applyFont="1" applyBorder="1"/>
    <xf numFmtId="9" fontId="84" fillId="0" borderId="90" xfId="20962" applyFont="1" applyBorder="1" applyAlignment="1"/>
    <xf numFmtId="167" fontId="3" fillId="0" borderId="118" xfId="0" applyNumberFormat="1" applyFont="1" applyBorder="1" applyAlignment="1">
      <alignment horizontal="center" vertical="center"/>
    </xf>
    <xf numFmtId="167" fontId="3" fillId="0" borderId="87" xfId="0" applyNumberFormat="1" applyFont="1" applyBorder="1" applyAlignment="1">
      <alignment horizontal="center" vertical="center"/>
    </xf>
    <xf numFmtId="167" fontId="99" fillId="0" borderId="118" xfId="0" applyNumberFormat="1" applyFont="1" applyBorder="1" applyAlignment="1">
      <alignment horizontal="center" vertical="center"/>
    </xf>
    <xf numFmtId="167" fontId="125" fillId="0" borderId="118" xfId="0" applyNumberFormat="1" applyFont="1" applyBorder="1" applyAlignment="1">
      <alignment horizontal="center" vertical="center"/>
    </xf>
    <xf numFmtId="167" fontId="7" fillId="0" borderId="118" xfId="0" applyNumberFormat="1" applyFont="1" applyBorder="1" applyAlignment="1">
      <alignment horizontal="center" vertical="center"/>
    </xf>
    <xf numFmtId="167" fontId="7" fillId="0" borderId="87" xfId="0" applyNumberFormat="1" applyFont="1" applyBorder="1" applyAlignment="1">
      <alignment horizontal="center" vertical="center"/>
    </xf>
    <xf numFmtId="193" fontId="0" fillId="0" borderId="87" xfId="0" applyNumberFormat="1" applyBorder="1"/>
    <xf numFmtId="193" fontId="0" fillId="0" borderId="87" xfId="0" applyNumberFormat="1" applyBorder="1" applyAlignment="1">
      <alignment wrapText="1"/>
    </xf>
    <xf numFmtId="193" fontId="96" fillId="3" borderId="87" xfId="2" applyNumberFormat="1" applyFont="1" applyFill="1" applyBorder="1" applyAlignment="1" applyProtection="1">
      <alignment vertical="top"/>
      <protection locked="0"/>
    </xf>
    <xf numFmtId="193" fontId="96" fillId="3" borderId="87" xfId="2" applyNumberFormat="1" applyFont="1" applyFill="1" applyBorder="1" applyAlignment="1" applyProtection="1">
      <alignment vertical="top" wrapText="1"/>
      <protection locked="0"/>
    </xf>
    <xf numFmtId="10" fontId="96" fillId="0" borderId="118" xfId="20962" applyNumberFormat="1" applyFont="1" applyFill="1" applyBorder="1" applyAlignment="1">
      <alignment horizontal="center" vertical="center" wrapText="1"/>
    </xf>
    <xf numFmtId="164" fontId="3" fillId="0" borderId="87" xfId="7" applyNumberFormat="1" applyFont="1" applyFill="1" applyBorder="1" applyAlignment="1">
      <alignment horizontal="right" vertical="center" wrapText="1"/>
    </xf>
    <xf numFmtId="10" fontId="3" fillId="0" borderId="118" xfId="20962" applyNumberFormat="1" applyFont="1" applyFill="1" applyBorder="1" applyAlignment="1">
      <alignment horizontal="center" vertical="center" wrapText="1"/>
    </xf>
    <xf numFmtId="10" fontId="4" fillId="36" borderId="118" xfId="0" applyNumberFormat="1" applyFont="1" applyFill="1" applyBorder="1" applyAlignment="1">
      <alignment horizontal="center" vertical="center" wrapText="1"/>
    </xf>
    <xf numFmtId="164" fontId="4" fillId="36" borderId="87" xfId="7" applyNumberFormat="1" applyFont="1" applyFill="1" applyBorder="1" applyAlignment="1">
      <alignment horizontal="left" vertical="center" wrapText="1"/>
    </xf>
    <xf numFmtId="10" fontId="100" fillId="0" borderId="118" xfId="20962" applyNumberFormat="1" applyFont="1" applyFill="1" applyBorder="1" applyAlignment="1">
      <alignment horizontal="center" vertical="center" wrapText="1"/>
    </xf>
    <xf numFmtId="10" fontId="4" fillId="36" borderId="118" xfId="20962" applyNumberFormat="1" applyFont="1" applyFill="1" applyBorder="1" applyAlignment="1">
      <alignment horizontal="center" vertical="center" wrapText="1"/>
    </xf>
    <xf numFmtId="164" fontId="4" fillId="36" borderId="87" xfId="7"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center" vertical="center"/>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94" fillId="0" borderId="34" xfId="0" applyNumberFormat="1" applyFont="1" applyBorder="1" applyAlignment="1">
      <alignment vertical="center"/>
    </xf>
    <xf numFmtId="167" fontId="127" fillId="76" borderId="64" xfId="0" applyNumberFormat="1" applyFont="1" applyFill="1" applyBorder="1" applyAlignment="1">
      <alignment horizontal="center"/>
    </xf>
    <xf numFmtId="193" fontId="128" fillId="0" borderId="13" xfId="0" applyNumberFormat="1" applyFont="1" applyBorder="1" applyAlignment="1">
      <alignment vertical="center"/>
    </xf>
    <xf numFmtId="193" fontId="126" fillId="36" borderId="13" xfId="0" applyNumberFormat="1" applyFont="1" applyFill="1" applyBorder="1" applyAlignment="1">
      <alignment vertical="center"/>
    </xf>
    <xf numFmtId="167" fontId="126" fillId="0" borderId="64" xfId="0" applyNumberFormat="1" applyFont="1" applyBorder="1" applyAlignment="1">
      <alignment horizontal="center"/>
    </xf>
    <xf numFmtId="167" fontId="46" fillId="76" borderId="67" xfId="0" applyNumberFormat="1" applyFont="1" applyFill="1" applyBorder="1" applyAlignment="1">
      <alignment horizontal="center"/>
    </xf>
    <xf numFmtId="0" fontId="84" fillId="0" borderId="11" xfId="0" applyFont="1" applyBorder="1" applyAlignment="1">
      <alignment horizontal="left" wrapText="1" indent="2"/>
    </xf>
    <xf numFmtId="0" fontId="87" fillId="0" borderId="11" xfId="0" applyFont="1" applyBorder="1" applyAlignment="1">
      <alignment horizontal="left" wrapText="1" indent="3"/>
    </xf>
    <xf numFmtId="0" fontId="84" fillId="0" borderId="92" xfId="0" applyFont="1" applyBorder="1" applyAlignment="1">
      <alignment horizontal="center"/>
    </xf>
    <xf numFmtId="0" fontId="84" fillId="0" borderId="118" xfId="0" applyFont="1" applyBorder="1" applyAlignment="1">
      <alignment horizontal="center"/>
    </xf>
    <xf numFmtId="0" fontId="84" fillId="0" borderId="118" xfId="0" applyFont="1" applyBorder="1" applyAlignment="1">
      <alignment wrapText="1"/>
    </xf>
    <xf numFmtId="0" fontId="84" fillId="0" borderId="118" xfId="0" applyFont="1" applyBorder="1" applyAlignment="1">
      <alignment horizontal="right" wrapText="1"/>
    </xf>
    <xf numFmtId="0" fontId="84" fillId="0" borderId="12" xfId="0" applyFont="1" applyBorder="1" applyAlignment="1">
      <alignment horizontal="right" wrapText="1" indent="3"/>
    </xf>
    <xf numFmtId="0" fontId="84" fillId="0" borderId="12" xfId="0" applyFont="1" applyBorder="1" applyAlignment="1">
      <alignment horizontal="left" wrapText="1" indent="2"/>
    </xf>
    <xf numFmtId="193" fontId="3" fillId="0" borderId="118" xfId="0" applyNumberFormat="1" applyFont="1" applyBorder="1"/>
    <xf numFmtId="193" fontId="3" fillId="0" borderId="120" xfId="0" applyNumberFormat="1" applyFont="1" applyBorder="1"/>
    <xf numFmtId="167" fontId="84" fillId="0" borderId="118" xfId="0" applyNumberFormat="1" applyFont="1" applyBorder="1"/>
    <xf numFmtId="193" fontId="3" fillId="0" borderId="87" xfId="0" applyNumberFormat="1" applyFont="1" applyBorder="1"/>
    <xf numFmtId="193" fontId="3" fillId="0" borderId="90" xfId="0" applyNumberFormat="1" applyFont="1" applyBorder="1" applyAlignment="1">
      <alignment wrapText="1"/>
    </xf>
    <xf numFmtId="193" fontId="3" fillId="0" borderId="90" xfId="0" applyNumberFormat="1" applyFont="1" applyBorder="1"/>
    <xf numFmtId="193" fontId="84" fillId="36" borderId="56" xfId="0" applyNumberFormat="1" applyFont="1" applyFill="1" applyBorder="1"/>
    <xf numFmtId="193" fontId="3" fillId="0" borderId="21" xfId="0" applyNumberFormat="1" applyFont="1" applyBorder="1"/>
    <xf numFmtId="9" fontId="3" fillId="0" borderId="87" xfId="20962" applyFont="1" applyBorder="1"/>
    <xf numFmtId="14" fontId="84" fillId="0" borderId="0" xfId="0" applyNumberFormat="1" applyFont="1" applyAlignment="1">
      <alignment horizontal="right"/>
    </xf>
    <xf numFmtId="164" fontId="3" fillId="0" borderId="118"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87" xfId="7" applyNumberFormat="1" applyFont="1" applyFill="1" applyBorder="1" applyAlignment="1">
      <alignment vertical="center"/>
    </xf>
    <xf numFmtId="0" fontId="3" fillId="3" borderId="121" xfId="0" applyFont="1" applyFill="1" applyBorder="1" applyAlignment="1">
      <alignment vertical="center"/>
    </xf>
    <xf numFmtId="164" fontId="4" fillId="0" borderId="118"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0" xfId="7" applyNumberFormat="1" applyFont="1" applyFill="1" applyBorder="1" applyAlignment="1">
      <alignment vertical="center"/>
    </xf>
    <xf numFmtId="164" fontId="3" fillId="0" borderId="95" xfId="7" applyNumberFormat="1" applyFont="1" applyFill="1" applyBorder="1" applyAlignment="1">
      <alignment vertical="center"/>
    </xf>
    <xf numFmtId="10" fontId="3" fillId="0" borderId="98" xfId="20962" applyNumberFormat="1" applyFont="1" applyFill="1" applyBorder="1" applyAlignment="1">
      <alignment vertical="center"/>
    </xf>
    <xf numFmtId="10" fontId="3" fillId="0" borderId="99" xfId="20962" applyNumberFormat="1" applyFont="1" applyFill="1" applyBorder="1" applyAlignment="1">
      <alignment vertical="center"/>
    </xf>
    <xf numFmtId="164" fontId="105" fillId="0" borderId="118" xfId="948" applyNumberFormat="1" applyFont="1" applyFill="1" applyBorder="1" applyAlignment="1" applyProtection="1">
      <alignment horizontal="right" vertical="center"/>
      <protection locked="0"/>
    </xf>
    <xf numFmtId="164" fontId="105" fillId="78" borderId="118" xfId="948" applyNumberFormat="1" applyFont="1" applyFill="1" applyBorder="1" applyAlignment="1" applyProtection="1">
      <alignment horizontal="right" vertical="center"/>
    </xf>
    <xf numFmtId="164" fontId="104" fillId="77" borderId="122" xfId="948" applyNumberFormat="1" applyFont="1" applyFill="1" applyBorder="1" applyAlignment="1" applyProtection="1">
      <alignment horizontal="right" vertical="center"/>
      <protection locked="0"/>
    </xf>
    <xf numFmtId="164" fontId="45" fillId="77" borderId="122" xfId="948" applyNumberFormat="1" applyFont="1" applyFill="1" applyBorder="1" applyAlignment="1" applyProtection="1">
      <alignment horizontal="right" vertical="center"/>
      <protection locked="0"/>
    </xf>
    <xf numFmtId="164" fontId="105" fillId="3" borderId="118" xfId="948" applyNumberFormat="1" applyFont="1" applyFill="1" applyBorder="1" applyAlignment="1" applyProtection="1">
      <alignment horizontal="right" vertical="center"/>
      <protection locked="0"/>
    </xf>
    <xf numFmtId="10" fontId="105" fillId="78" borderId="118" xfId="20962" applyNumberFormat="1" applyFont="1" applyFill="1" applyBorder="1" applyAlignment="1" applyProtection="1">
      <alignment horizontal="right" vertical="center"/>
    </xf>
    <xf numFmtId="164" fontId="3" fillId="0" borderId="118" xfId="7" applyNumberFormat="1" applyFont="1" applyBorder="1"/>
    <xf numFmtId="169" fontId="9" fillId="37" borderId="118" xfId="20" applyBorder="1"/>
    <xf numFmtId="164" fontId="3" fillId="0" borderId="118" xfId="7" applyNumberFormat="1" applyFont="1" applyBorder="1" applyAlignment="1">
      <alignment vertical="center"/>
    </xf>
    <xf numFmtId="164" fontId="3" fillId="0" borderId="118" xfId="7" applyNumberFormat="1" applyFont="1" applyFill="1" applyBorder="1"/>
    <xf numFmtId="0" fontId="3" fillId="3" borderId="0" xfId="0" applyFont="1" applyFill="1"/>
    <xf numFmtId="164" fontId="113" fillId="0" borderId="118" xfId="7" applyNumberFormat="1" applyFont="1" applyBorder="1"/>
    <xf numFmtId="164" fontId="116" fillId="0" borderId="118" xfId="7" applyNumberFormat="1" applyFont="1" applyBorder="1"/>
    <xf numFmtId="164" fontId="112" fillId="36" borderId="118" xfId="7" applyNumberFormat="1" applyFont="1" applyFill="1" applyBorder="1"/>
    <xf numFmtId="164" fontId="113" fillId="79" borderId="118" xfId="7" applyNumberFormat="1" applyFont="1" applyFill="1" applyBorder="1"/>
    <xf numFmtId="164" fontId="116" fillId="79" borderId="118" xfId="7" applyNumberFormat="1" applyFont="1" applyFill="1" applyBorder="1"/>
    <xf numFmtId="164" fontId="113" fillId="0" borderId="118" xfId="7" applyNumberFormat="1" applyFont="1" applyBorder="1" applyAlignment="1">
      <alignment horizontal="left" indent="1"/>
    </xf>
    <xf numFmtId="164" fontId="113" fillId="80" borderId="118" xfId="7" applyNumberFormat="1" applyFont="1" applyFill="1" applyBorder="1"/>
    <xf numFmtId="164" fontId="116" fillId="0" borderId="7" xfId="7" applyNumberFormat="1" applyFont="1" applyBorder="1"/>
    <xf numFmtId="164" fontId="113" fillId="0" borderId="118" xfId="7" applyNumberFormat="1" applyFont="1" applyBorder="1" applyAlignment="1">
      <alignment horizontal="left" indent="2"/>
    </xf>
    <xf numFmtId="164" fontId="113" fillId="0" borderId="118" xfId="7" applyNumberFormat="1" applyFont="1" applyBorder="1" applyAlignment="1">
      <alignment horizontal="left" indent="3"/>
    </xf>
    <xf numFmtId="164" fontId="113" fillId="81" borderId="118" xfId="7" applyNumberFormat="1" applyFont="1" applyFill="1" applyBorder="1"/>
    <xf numFmtId="164" fontId="113" fillId="0" borderId="118" xfId="7" applyNumberFormat="1" applyFont="1" applyBorder="1" applyAlignment="1">
      <alignment horizontal="left" vertical="top" wrapText="1" indent="2"/>
    </xf>
    <xf numFmtId="164" fontId="113" fillId="0" borderId="118" xfId="7" applyNumberFormat="1" applyFont="1" applyBorder="1" applyAlignment="1">
      <alignment horizontal="left" wrapText="1" indent="3"/>
    </xf>
    <xf numFmtId="164" fontId="113" fillId="0" borderId="118" xfId="7" applyNumberFormat="1" applyFont="1" applyBorder="1" applyAlignment="1">
      <alignment horizontal="left" wrapText="1" indent="2"/>
    </xf>
    <xf numFmtId="164" fontId="113" fillId="0" borderId="118" xfId="7" applyNumberFormat="1" applyFont="1" applyBorder="1" applyAlignment="1">
      <alignment horizontal="left" wrapText="1" indent="1"/>
    </xf>
    <xf numFmtId="164" fontId="112" fillId="0" borderId="118" xfId="7" applyNumberFormat="1" applyFont="1" applyBorder="1" applyAlignment="1">
      <alignment horizontal="left" vertical="center" wrapText="1"/>
    </xf>
    <xf numFmtId="164" fontId="113" fillId="0" borderId="118" xfId="7" applyNumberFormat="1" applyFont="1" applyBorder="1" applyAlignment="1">
      <alignment horizontal="center" vertical="center" wrapText="1"/>
    </xf>
    <xf numFmtId="164" fontId="113" fillId="0" borderId="118" xfId="7" applyNumberFormat="1" applyFont="1" applyBorder="1" applyAlignment="1">
      <alignment horizontal="center" vertical="center"/>
    </xf>
    <xf numFmtId="164" fontId="115" fillId="0" borderId="118" xfId="7" applyNumberFormat="1" applyFont="1" applyBorder="1" applyAlignment="1">
      <alignment horizontal="left" vertical="center" wrapText="1"/>
    </xf>
    <xf numFmtId="0" fontId="0" fillId="0" borderId="7" xfId="0" applyBorder="1"/>
    <xf numFmtId="0" fontId="113" fillId="0" borderId="127" xfId="0" applyFont="1" applyBorder="1" applyAlignment="1">
      <alignment horizontal="center" vertical="center" wrapText="1"/>
    </xf>
    <xf numFmtId="0" fontId="113" fillId="0" borderId="125" xfId="0" applyFont="1" applyBorder="1" applyAlignment="1">
      <alignment horizontal="center" vertical="center" wrapText="1"/>
    </xf>
    <xf numFmtId="0" fontId="0" fillId="0" borderId="126" xfId="0" applyBorder="1" applyAlignment="1">
      <alignment horizontal="left" indent="2"/>
    </xf>
    <xf numFmtId="0" fontId="131" fillId="0" borderId="128" xfId="0" applyFont="1" applyBorder="1" applyAlignment="1">
      <alignment vertical="center" wrapText="1" readingOrder="1"/>
    </xf>
    <xf numFmtId="0" fontId="121" fillId="0" borderId="126" xfId="0" applyFont="1" applyBorder="1"/>
    <xf numFmtId="0" fontId="131" fillId="0" borderId="129" xfId="0" applyFont="1" applyBorder="1" applyAlignment="1">
      <alignment vertical="center" wrapText="1" readingOrder="1"/>
    </xf>
    <xf numFmtId="0" fontId="0" fillId="0" borderId="126" xfId="0" applyBorder="1" applyAlignment="1">
      <alignment horizontal="left" indent="3"/>
    </xf>
    <xf numFmtId="0" fontId="131" fillId="0" borderId="129" xfId="0" applyFont="1" applyBorder="1" applyAlignment="1">
      <alignment horizontal="left" vertical="center" wrapText="1" indent="1" readingOrder="1"/>
    </xf>
    <xf numFmtId="0" fontId="0" fillId="0" borderId="127" xfId="0" applyBorder="1" applyAlignment="1">
      <alignment horizontal="left" indent="2"/>
    </xf>
    <xf numFmtId="0" fontId="131" fillId="0" borderId="130" xfId="0" applyFont="1" applyBorder="1" applyAlignment="1">
      <alignment vertical="center" wrapText="1" readingOrder="1"/>
    </xf>
    <xf numFmtId="0" fontId="121" fillId="0" borderId="127" xfId="0" applyFont="1" applyBorder="1"/>
    <xf numFmtId="0" fontId="132" fillId="0" borderId="126" xfId="0" applyFont="1" applyBorder="1" applyAlignment="1">
      <alignment vertical="center" wrapText="1" readingOrder="1"/>
    </xf>
    <xf numFmtId="0" fontId="84" fillId="0" borderId="126" xfId="0" applyFont="1" applyBorder="1"/>
    <xf numFmtId="0" fontId="6" fillId="0" borderId="126" xfId="17" applyFill="1" applyBorder="1" applyAlignment="1" applyProtection="1"/>
    <xf numFmtId="193" fontId="123" fillId="0" borderId="126" xfId="0" applyNumberFormat="1" applyFont="1" applyBorder="1" applyAlignment="1" applyProtection="1">
      <alignment horizontal="right"/>
      <protection locked="0"/>
    </xf>
    <xf numFmtId="193" fontId="94" fillId="36" borderId="126" xfId="7" applyNumberFormat="1" applyFont="1" applyFill="1" applyBorder="1" applyAlignment="1" applyProtection="1">
      <alignment horizontal="right"/>
    </xf>
    <xf numFmtId="193" fontId="94" fillId="36" borderId="131" xfId="7" applyNumberFormat="1" applyFont="1" applyFill="1" applyBorder="1" applyAlignment="1" applyProtection="1">
      <alignment horizontal="right"/>
    </xf>
    <xf numFmtId="193" fontId="123" fillId="36" borderId="126" xfId="0" applyNumberFormat="1" applyFont="1" applyFill="1" applyBorder="1" applyAlignment="1">
      <alignment horizontal="right"/>
    </xf>
    <xf numFmtId="193" fontId="94" fillId="0" borderId="126" xfId="7" applyNumberFormat="1" applyFont="1" applyFill="1" applyBorder="1" applyAlignment="1" applyProtection="1">
      <alignment horizontal="right"/>
    </xf>
    <xf numFmtId="193" fontId="94" fillId="0" borderId="131" xfId="7" applyNumberFormat="1" applyFont="1" applyFill="1" applyBorder="1" applyAlignment="1" applyProtection="1">
      <alignment horizontal="right"/>
    </xf>
    <xf numFmtId="193" fontId="124" fillId="0" borderId="126" xfId="0" applyNumberFormat="1" applyFont="1" applyBorder="1" applyAlignment="1">
      <alignment horizontal="center"/>
    </xf>
    <xf numFmtId="193" fontId="124" fillId="0" borderId="131" xfId="0" applyNumberFormat="1" applyFont="1" applyBorder="1" applyAlignment="1">
      <alignment horizontal="center"/>
    </xf>
    <xf numFmtId="193" fontId="123" fillId="0" borderId="131" xfId="0" applyNumberFormat="1" applyFont="1" applyBorder="1" applyAlignment="1" applyProtection="1">
      <alignment horizontal="right"/>
      <protection locked="0"/>
    </xf>
    <xf numFmtId="193" fontId="123" fillId="0" borderId="126" xfId="0" applyNumberFormat="1" applyFont="1" applyBorder="1" applyAlignment="1" applyProtection="1">
      <alignment horizontal="left" indent="1"/>
      <protection locked="0"/>
    </xf>
    <xf numFmtId="193" fontId="94" fillId="36" borderId="126" xfId="7" applyNumberFormat="1" applyFont="1" applyFill="1" applyBorder="1" applyAlignment="1" applyProtection="1"/>
    <xf numFmtId="193" fontId="123" fillId="0" borderId="126" xfId="0" applyNumberFormat="1" applyFont="1" applyBorder="1" applyProtection="1">
      <protection locked="0"/>
    </xf>
    <xf numFmtId="193" fontId="94" fillId="36" borderId="131" xfId="7" applyNumberFormat="1" applyFont="1" applyFill="1" applyBorder="1" applyAlignment="1" applyProtection="1"/>
    <xf numFmtId="193" fontId="123" fillId="0" borderId="126" xfId="0" applyNumberFormat="1" applyFont="1" applyBorder="1" applyAlignment="1" applyProtection="1">
      <alignment horizontal="right" vertical="center"/>
      <protection locked="0"/>
    </xf>
    <xf numFmtId="193" fontId="123" fillId="36" borderId="25" xfId="0" applyNumberFormat="1" applyFont="1" applyFill="1" applyBorder="1" applyAlignment="1">
      <alignment horizontal="right"/>
    </xf>
    <xf numFmtId="193" fontId="94" fillId="36" borderId="25" xfId="7" applyNumberFormat="1" applyFont="1" applyFill="1" applyBorder="1" applyAlignment="1" applyProtection="1">
      <alignment horizontal="right"/>
    </xf>
    <xf numFmtId="193" fontId="94" fillId="36" borderId="26" xfId="7" applyNumberFormat="1" applyFont="1" applyFill="1" applyBorder="1" applyAlignment="1" applyProtection="1">
      <alignment horizontal="right"/>
    </xf>
    <xf numFmtId="193" fontId="94" fillId="0" borderId="126" xfId="0" applyNumberFormat="1" applyFont="1" applyBorder="1" applyAlignment="1">
      <alignment horizontal="right"/>
    </xf>
    <xf numFmtId="193" fontId="94" fillId="36" borderId="126" xfId="0" applyNumberFormat="1" applyFont="1" applyFill="1" applyBorder="1" applyAlignment="1">
      <alignment horizontal="right"/>
    </xf>
    <xf numFmtId="193" fontId="94" fillId="36" borderId="131"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193" fontId="94" fillId="36" borderId="26" xfId="0" applyNumberFormat="1" applyFont="1" applyFill="1" applyBorder="1" applyAlignment="1">
      <alignment horizontal="right"/>
    </xf>
    <xf numFmtId="3" fontId="103" fillId="36" borderId="126" xfId="0" applyNumberFormat="1" applyFont="1" applyFill="1" applyBorder="1" applyAlignment="1">
      <alignment vertical="center" wrapText="1"/>
    </xf>
    <xf numFmtId="3" fontId="103" fillId="36" borderId="132" xfId="0" applyNumberFormat="1" applyFont="1" applyFill="1" applyBorder="1" applyAlignment="1">
      <alignment vertical="center" wrapText="1"/>
    </xf>
    <xf numFmtId="3" fontId="103" fillId="36" borderId="133" xfId="0" applyNumberFormat="1" applyFont="1" applyFill="1" applyBorder="1" applyAlignment="1">
      <alignment vertical="center" wrapText="1"/>
    </xf>
    <xf numFmtId="3" fontId="103" fillId="0" borderId="126" xfId="0" applyNumberFormat="1" applyFont="1" applyBorder="1" applyAlignment="1">
      <alignment vertical="center" wrapText="1"/>
    </xf>
    <xf numFmtId="3" fontId="103" fillId="0" borderId="132" xfId="0" applyNumberFormat="1" applyFont="1" applyBorder="1" applyAlignment="1">
      <alignment vertical="center" wrapText="1"/>
    </xf>
    <xf numFmtId="3" fontId="103" fillId="0" borderId="133" xfId="0" applyNumberFormat="1" applyFont="1" applyBorder="1" applyAlignment="1">
      <alignment vertical="center" wrapText="1"/>
    </xf>
    <xf numFmtId="164" fontId="121" fillId="0" borderId="126" xfId="7" applyNumberFormat="1" applyFont="1" applyBorder="1"/>
    <xf numFmtId="9" fontId="121" fillId="0" borderId="126" xfId="20962" applyFont="1" applyBorder="1"/>
    <xf numFmtId="2" fontId="121" fillId="0" borderId="126" xfId="0" applyNumberFormat="1" applyFont="1" applyBorder="1"/>
    <xf numFmtId="164" fontId="121" fillId="0" borderId="127" xfId="7" applyNumberFormat="1" applyFont="1" applyBorder="1"/>
    <xf numFmtId="9" fontId="121" fillId="0" borderId="127" xfId="20962" applyFont="1" applyBorder="1"/>
    <xf numFmtId="2" fontId="121" fillId="0" borderId="127" xfId="0" applyNumberFormat="1" applyFont="1" applyBorder="1"/>
    <xf numFmtId="164" fontId="133" fillId="0" borderId="126" xfId="7" applyNumberFormat="1" applyFont="1" applyBorder="1"/>
    <xf numFmtId="0" fontId="133" fillId="0" borderId="126" xfId="0" applyFont="1" applyBorder="1"/>
    <xf numFmtId="9" fontId="133" fillId="0" borderId="126" xfId="20962" applyFont="1" applyBorder="1"/>
    <xf numFmtId="2" fontId="133" fillId="0" borderId="126" xfId="0" applyNumberFormat="1" applyFont="1" applyBorder="1"/>
    <xf numFmtId="164" fontId="116" fillId="80" borderId="118" xfId="7" applyNumberFormat="1" applyFont="1" applyFill="1" applyBorder="1"/>
    <xf numFmtId="0" fontId="93" fillId="0" borderId="71" xfId="0" applyFont="1" applyBorder="1" applyAlignment="1">
      <alignment horizontal="left" wrapText="1"/>
    </xf>
    <xf numFmtId="0" fontId="93" fillId="0" borderId="70"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Border="1" applyAlignment="1">
      <alignment horizontal="center" vertical="center" wrapText="1"/>
    </xf>
    <xf numFmtId="0" fontId="84" fillId="0" borderId="86" xfId="0" applyFont="1" applyBorder="1" applyAlignment="1">
      <alignment horizontal="center" vertical="center" wrapText="1"/>
    </xf>
    <xf numFmtId="0" fontId="45" fillId="0" borderId="86" xfId="11" applyFont="1" applyBorder="1" applyAlignment="1">
      <alignment horizontal="center" vertical="center" wrapText="1"/>
    </xf>
    <xf numFmtId="0" fontId="45" fillId="0" borderId="87"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7" xfId="13" applyFont="1" applyFill="1" applyBorder="1" applyAlignment="1" applyProtection="1">
      <alignment horizontal="center" vertical="center" wrapText="1"/>
      <protection locked="0"/>
    </xf>
    <xf numFmtId="0" fontId="98"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Border="1" applyAlignment="1">
      <alignment horizontal="center" vertical="center" wrapText="1"/>
    </xf>
    <xf numFmtId="0" fontId="3" fillId="0" borderId="69" xfId="0" applyFont="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8" xfId="0" applyFont="1" applyBorder="1" applyAlignment="1">
      <alignment horizontal="left" vertical="center" wrapText="1"/>
    </xf>
    <xf numFmtId="0" fontId="115" fillId="0" borderId="109" xfId="0" applyFont="1" applyBorder="1" applyAlignment="1">
      <alignment horizontal="left" vertical="center" wrapText="1"/>
    </xf>
    <xf numFmtId="0" fontId="115" fillId="0" borderId="113"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7" xfId="0" applyFont="1" applyBorder="1" applyAlignment="1">
      <alignment horizontal="left" vertical="center" wrapText="1"/>
    </xf>
    <xf numFmtId="0" fontId="116" fillId="0" borderId="110"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91"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81" xfId="0" applyFont="1" applyBorder="1" applyAlignment="1">
      <alignment horizontal="center" vertical="center" wrapText="1"/>
    </xf>
    <xf numFmtId="0" fontId="113"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8" xfId="0" applyFont="1" applyBorder="1" applyAlignment="1">
      <alignment horizontal="center" vertical="center" wrapText="1"/>
    </xf>
    <xf numFmtId="0" fontId="120" fillId="0" borderId="118" xfId="0" applyFont="1" applyBorder="1" applyAlignment="1">
      <alignment horizontal="center" vertical="center"/>
    </xf>
    <xf numFmtId="0" fontId="120" fillId="0" borderId="110" xfId="0" applyFont="1" applyBorder="1" applyAlignment="1">
      <alignment horizontal="center" vertical="center"/>
    </xf>
    <xf numFmtId="0" fontId="120" fillId="0" borderId="112" xfId="0" applyFont="1" applyBorder="1" applyAlignment="1">
      <alignment horizontal="center" vertical="center"/>
    </xf>
    <xf numFmtId="0" fontId="120" fillId="0" borderId="91" xfId="0" applyFont="1" applyBorder="1" applyAlignment="1">
      <alignment horizontal="center" vertical="center"/>
    </xf>
    <xf numFmtId="0" fontId="120" fillId="0" borderId="81" xfId="0" applyFont="1" applyBorder="1" applyAlignment="1">
      <alignment horizontal="center" vertical="center"/>
    </xf>
    <xf numFmtId="0" fontId="116" fillId="0" borderId="118"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2"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0" xfId="0" applyFont="1" applyAlignment="1">
      <alignment horizontal="center" vertical="center" wrapText="1"/>
    </xf>
    <xf numFmtId="0" fontId="113" fillId="0" borderId="74" xfId="0" applyFont="1" applyBorder="1" applyAlignment="1">
      <alignment horizontal="center" vertical="center" wrapText="1"/>
    </xf>
    <xf numFmtId="0" fontId="113" fillId="0" borderId="81" xfId="0" applyFont="1" applyBorder="1" applyAlignment="1">
      <alignment horizontal="center" vertical="center" wrapText="1"/>
    </xf>
    <xf numFmtId="0" fontId="116" fillId="0" borderId="110" xfId="0" applyFont="1" applyBorder="1" applyAlignment="1">
      <alignment horizontal="center" vertical="top" wrapText="1"/>
    </xf>
    <xf numFmtId="0" fontId="116" fillId="0" borderId="112" xfId="0" applyFont="1" applyBorder="1" applyAlignment="1">
      <alignment horizontal="center" vertical="top" wrapText="1"/>
    </xf>
    <xf numFmtId="0" fontId="116" fillId="0" borderId="76" xfId="0" applyFont="1" applyBorder="1" applyAlignment="1">
      <alignment horizontal="center" vertical="top" wrapText="1"/>
    </xf>
    <xf numFmtId="0" fontId="116" fillId="0" borderId="74" xfId="0" applyFont="1" applyBorder="1" applyAlignment="1">
      <alignment horizontal="center" vertical="top" wrapText="1"/>
    </xf>
    <xf numFmtId="0" fontId="116" fillId="0" borderId="91" xfId="0" applyFont="1" applyBorder="1" applyAlignment="1">
      <alignment horizontal="center" vertical="top" wrapText="1"/>
    </xf>
    <xf numFmtId="0" fontId="116" fillId="0" borderId="81" xfId="0" applyFont="1" applyBorder="1" applyAlignment="1">
      <alignment horizontal="center" vertical="top" wrapText="1"/>
    </xf>
    <xf numFmtId="0" fontId="113" fillId="0" borderId="0" xfId="0" applyFont="1" applyAlignment="1">
      <alignment horizontal="center" vertical="center"/>
    </xf>
    <xf numFmtId="0" fontId="113" fillId="0" borderId="74" xfId="0" applyFont="1" applyBorder="1" applyAlignment="1">
      <alignment horizontal="center" vertical="center"/>
    </xf>
    <xf numFmtId="0" fontId="113" fillId="0" borderId="76" xfId="0" applyFont="1" applyBorder="1" applyAlignment="1">
      <alignment horizontal="center" vertical="center"/>
    </xf>
    <xf numFmtId="0" fontId="113" fillId="0" borderId="120"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10" xfId="0" applyFont="1" applyBorder="1" applyAlignment="1">
      <alignment horizontal="center" vertical="top" wrapText="1"/>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21"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19" xfId="0" applyFont="1" applyBorder="1" applyAlignment="1">
      <alignment horizontal="center" vertical="top" wrapText="1"/>
    </xf>
    <xf numFmtId="0" fontId="113" fillId="0" borderId="7" xfId="0" applyFont="1" applyBorder="1" applyAlignment="1">
      <alignment horizontal="center" vertical="top" wrapText="1"/>
    </xf>
    <xf numFmtId="0" fontId="115" fillId="0" borderId="123" xfId="0" applyFont="1" applyBorder="1" applyAlignment="1">
      <alignment horizontal="left" vertical="top" wrapText="1"/>
    </xf>
    <xf numFmtId="0" fontId="115" fillId="0" borderId="124" xfId="0" applyFont="1" applyBorder="1" applyAlignment="1">
      <alignment horizontal="left" vertical="top" wrapText="1"/>
    </xf>
    <xf numFmtId="0" fontId="130" fillId="0" borderId="126" xfId="0" applyFont="1" applyBorder="1" applyAlignment="1">
      <alignment horizontal="center" vertical="center" wrapText="1"/>
    </xf>
    <xf numFmtId="0" fontId="129" fillId="0" borderId="118" xfId="0" applyFont="1" applyBorder="1" applyAlignment="1">
      <alignment horizontal="center" vertical="center"/>
    </xf>
    <xf numFmtId="0" fontId="129" fillId="0" borderId="126" xfId="0" applyFont="1" applyBorder="1" applyAlignment="1">
      <alignment horizontal="center" vertical="center"/>
    </xf>
    <xf numFmtId="0" fontId="121" fillId="0" borderId="119" xfId="0" applyFont="1" applyBorder="1" applyAlignment="1">
      <alignment horizontal="center" vertical="center" wrapText="1"/>
    </xf>
    <xf numFmtId="0" fontId="121" fillId="0" borderId="125"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52"/>
      <c r="B1" s="195" t="s">
        <v>344</v>
      </c>
      <c r="C1" s="152"/>
    </row>
    <row r="2" spans="1:3">
      <c r="A2" s="196">
        <v>1</v>
      </c>
      <c r="B2" s="315" t="s">
        <v>345</v>
      </c>
      <c r="C2" s="459" t="s">
        <v>711</v>
      </c>
    </row>
    <row r="3" spans="1:3">
      <c r="A3" s="196">
        <v>2</v>
      </c>
      <c r="B3" s="316" t="s">
        <v>341</v>
      </c>
      <c r="C3" s="459" t="s">
        <v>712</v>
      </c>
    </row>
    <row r="4" spans="1:3">
      <c r="A4" s="196">
        <v>3</v>
      </c>
      <c r="B4" s="317" t="s">
        <v>346</v>
      </c>
      <c r="C4" s="459" t="s">
        <v>713</v>
      </c>
    </row>
    <row r="5" spans="1:3">
      <c r="A5" s="197">
        <v>4</v>
      </c>
      <c r="B5" s="318" t="s">
        <v>342</v>
      </c>
      <c r="C5" s="459" t="s">
        <v>714</v>
      </c>
    </row>
    <row r="6" spans="1:3" s="198" customFormat="1" ht="45.75" customHeight="1">
      <c r="A6" s="640" t="s">
        <v>420</v>
      </c>
      <c r="B6" s="641"/>
      <c r="C6" s="641"/>
    </row>
    <row r="7" spans="1:3" ht="15">
      <c r="A7" s="199" t="s">
        <v>29</v>
      </c>
      <c r="B7" s="195" t="s">
        <v>343</v>
      </c>
    </row>
    <row r="8" spans="1:3">
      <c r="A8" s="152">
        <v>1</v>
      </c>
      <c r="B8" s="238" t="s">
        <v>20</v>
      </c>
    </row>
    <row r="9" spans="1:3">
      <c r="A9" s="152">
        <v>2</v>
      </c>
      <c r="B9" s="239" t="s">
        <v>21</v>
      </c>
    </row>
    <row r="10" spans="1:3">
      <c r="A10" s="152">
        <v>3</v>
      </c>
      <c r="B10" s="239" t="s">
        <v>22</v>
      </c>
    </row>
    <row r="11" spans="1:3">
      <c r="A11" s="152">
        <v>4</v>
      </c>
      <c r="B11" s="239" t="s">
        <v>23</v>
      </c>
    </row>
    <row r="12" spans="1:3">
      <c r="A12" s="152">
        <v>5</v>
      </c>
      <c r="B12" s="239" t="s">
        <v>24</v>
      </c>
    </row>
    <row r="13" spans="1:3">
      <c r="A13" s="152">
        <v>6</v>
      </c>
      <c r="B13" s="240" t="s">
        <v>353</v>
      </c>
    </row>
    <row r="14" spans="1:3">
      <c r="A14" s="152">
        <v>7</v>
      </c>
      <c r="B14" s="239" t="s">
        <v>347</v>
      </c>
    </row>
    <row r="15" spans="1:3">
      <c r="A15" s="152">
        <v>8</v>
      </c>
      <c r="B15" s="239" t="s">
        <v>348</v>
      </c>
    </row>
    <row r="16" spans="1:3">
      <c r="A16" s="152">
        <v>9</v>
      </c>
      <c r="B16" s="239" t="s">
        <v>25</v>
      </c>
    </row>
    <row r="17" spans="1:2">
      <c r="A17" s="314" t="s">
        <v>419</v>
      </c>
      <c r="B17" s="313" t="s">
        <v>406</v>
      </c>
    </row>
    <row r="18" spans="1:2">
      <c r="A18" s="152">
        <v>10</v>
      </c>
      <c r="B18" s="239" t="s">
        <v>26</v>
      </c>
    </row>
    <row r="19" spans="1:2">
      <c r="A19" s="152">
        <v>11</v>
      </c>
      <c r="B19" s="240" t="s">
        <v>349</v>
      </c>
    </row>
    <row r="20" spans="1:2">
      <c r="A20" s="152">
        <v>12</v>
      </c>
      <c r="B20" s="240" t="s">
        <v>27</v>
      </c>
    </row>
    <row r="21" spans="1:2">
      <c r="A21" s="356">
        <v>13</v>
      </c>
      <c r="B21" s="357" t="s">
        <v>350</v>
      </c>
    </row>
    <row r="22" spans="1:2">
      <c r="A22" s="356">
        <v>14</v>
      </c>
      <c r="B22" s="358" t="s">
        <v>377</v>
      </c>
    </row>
    <row r="23" spans="1:2">
      <c r="A23" s="356">
        <v>15</v>
      </c>
      <c r="B23" s="359" t="s">
        <v>28</v>
      </c>
    </row>
    <row r="24" spans="1:2">
      <c r="A24" s="356">
        <v>15.1</v>
      </c>
      <c r="B24" s="360" t="s">
        <v>433</v>
      </c>
    </row>
    <row r="25" spans="1:2">
      <c r="A25" s="356">
        <v>16</v>
      </c>
      <c r="B25" s="360" t="s">
        <v>497</v>
      </c>
    </row>
    <row r="26" spans="1:2">
      <c r="A26" s="356">
        <v>17</v>
      </c>
      <c r="B26" s="360" t="s">
        <v>538</v>
      </c>
    </row>
    <row r="27" spans="1:2">
      <c r="A27" s="356">
        <v>18</v>
      </c>
      <c r="B27" s="360" t="s">
        <v>708</v>
      </c>
    </row>
    <row r="28" spans="1:2">
      <c r="A28" s="356">
        <v>19</v>
      </c>
      <c r="B28" s="360" t="s">
        <v>709</v>
      </c>
    </row>
    <row r="29" spans="1:2">
      <c r="A29" s="356">
        <v>20</v>
      </c>
      <c r="B29" s="436" t="s">
        <v>539</v>
      </c>
    </row>
    <row r="30" spans="1:2">
      <c r="A30" s="356">
        <v>21</v>
      </c>
      <c r="B30" s="360" t="s">
        <v>705</v>
      </c>
    </row>
    <row r="31" spans="1:2">
      <c r="A31" s="356">
        <v>22</v>
      </c>
      <c r="B31" s="360" t="s">
        <v>540</v>
      </c>
    </row>
    <row r="32" spans="1:2">
      <c r="A32" s="356">
        <v>23</v>
      </c>
      <c r="B32" s="360" t="s">
        <v>541</v>
      </c>
    </row>
    <row r="33" spans="1:2">
      <c r="A33" s="356">
        <v>24</v>
      </c>
      <c r="B33" s="360" t="s">
        <v>542</v>
      </c>
    </row>
    <row r="34" spans="1:2">
      <c r="A34" s="356">
        <v>25</v>
      </c>
      <c r="B34" s="360" t="s">
        <v>543</v>
      </c>
    </row>
    <row r="35" spans="1:2">
      <c r="A35" s="598">
        <v>26</v>
      </c>
      <c r="B35" s="599" t="s">
        <v>775</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Normal="100" workbookViewId="0">
      <pane xSplit="1" ySplit="5" topLeftCell="B6" activePane="bottomRight" state="frozen"/>
      <selection pane="topRight"/>
      <selection pane="bottomLeft"/>
      <selection pane="bottomRight"/>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CARTU BANK</v>
      </c>
    </row>
    <row r="2" spans="1:3" s="2" customFormat="1" ht="15.75" customHeight="1">
      <c r="A2" s="2" t="s">
        <v>31</v>
      </c>
      <c r="B2" s="370">
        <f>'1. key ratios '!B2</f>
        <v>44742</v>
      </c>
    </row>
    <row r="3" spans="1:3" s="2" customFormat="1" ht="15.75" customHeight="1"/>
    <row r="4" spans="1:3" ht="13.5" thickBot="1">
      <c r="A4" s="4" t="s">
        <v>246</v>
      </c>
      <c r="B4" s="137" t="s">
        <v>245</v>
      </c>
    </row>
    <row r="5" spans="1:3">
      <c r="A5" s="80" t="s">
        <v>6</v>
      </c>
      <c r="B5" s="81"/>
      <c r="C5" s="82" t="s">
        <v>73</v>
      </c>
    </row>
    <row r="6" spans="1:3">
      <c r="A6" s="83">
        <v>1</v>
      </c>
      <c r="B6" s="84" t="s">
        <v>244</v>
      </c>
      <c r="C6" s="85">
        <f>SUM(C7:C11)</f>
        <v>207750481</v>
      </c>
    </row>
    <row r="7" spans="1:3">
      <c r="A7" s="83">
        <v>2</v>
      </c>
      <c r="B7" s="86" t="s">
        <v>243</v>
      </c>
      <c r="C7" s="503">
        <v>114430000</v>
      </c>
    </row>
    <row r="8" spans="1:3">
      <c r="A8" s="83">
        <v>3</v>
      </c>
      <c r="B8" s="87" t="s">
        <v>242</v>
      </c>
      <c r="C8" s="503"/>
    </row>
    <row r="9" spans="1:3">
      <c r="A9" s="83">
        <v>4</v>
      </c>
      <c r="B9" s="87" t="s">
        <v>241</v>
      </c>
      <c r="C9" s="503"/>
    </row>
    <row r="10" spans="1:3">
      <c r="A10" s="83">
        <v>5</v>
      </c>
      <c r="B10" s="87" t="s">
        <v>240</v>
      </c>
      <c r="C10" s="503">
        <v>7438034</v>
      </c>
    </row>
    <row r="11" spans="1:3">
      <c r="A11" s="83">
        <v>6</v>
      </c>
      <c r="B11" s="88" t="s">
        <v>239</v>
      </c>
      <c r="C11" s="503">
        <v>85882447</v>
      </c>
    </row>
    <row r="12" spans="1:3" s="56" customFormat="1">
      <c r="A12" s="83">
        <v>7</v>
      </c>
      <c r="B12" s="84" t="s">
        <v>238</v>
      </c>
      <c r="C12" s="89">
        <f>SUM(C13:C27)</f>
        <v>3720852</v>
      </c>
    </row>
    <row r="13" spans="1:3" s="56" customFormat="1">
      <c r="A13" s="83">
        <v>8</v>
      </c>
      <c r="B13" s="90" t="s">
        <v>237</v>
      </c>
      <c r="C13" s="504">
        <v>178780</v>
      </c>
    </row>
    <row r="14" spans="1:3" s="56" customFormat="1" ht="25.5">
      <c r="A14" s="83">
        <v>9</v>
      </c>
      <c r="B14" s="92" t="s">
        <v>236</v>
      </c>
      <c r="C14" s="504"/>
    </row>
    <row r="15" spans="1:3" s="56" customFormat="1">
      <c r="A15" s="83">
        <v>10</v>
      </c>
      <c r="B15" s="93" t="s">
        <v>235</v>
      </c>
      <c r="C15" s="504">
        <v>3542072</v>
      </c>
    </row>
    <row r="16" spans="1:3" s="56" customFormat="1">
      <c r="A16" s="83">
        <v>11</v>
      </c>
      <c r="B16" s="94" t="s">
        <v>234</v>
      </c>
      <c r="C16" s="504"/>
    </row>
    <row r="17" spans="1:3" s="56" customFormat="1">
      <c r="A17" s="83">
        <v>12</v>
      </c>
      <c r="B17" s="93" t="s">
        <v>233</v>
      </c>
      <c r="C17" s="504"/>
    </row>
    <row r="18" spans="1:3" s="56" customFormat="1">
      <c r="A18" s="83">
        <v>13</v>
      </c>
      <c r="B18" s="93" t="s">
        <v>232</v>
      </c>
      <c r="C18" s="504"/>
    </row>
    <row r="19" spans="1:3" s="56" customFormat="1">
      <c r="A19" s="83">
        <v>14</v>
      </c>
      <c r="B19" s="93" t="s">
        <v>231</v>
      </c>
      <c r="C19" s="504"/>
    </row>
    <row r="20" spans="1:3" s="56" customFormat="1">
      <c r="A20" s="83">
        <v>15</v>
      </c>
      <c r="B20" s="93" t="s">
        <v>230</v>
      </c>
      <c r="C20" s="504">
        <v>0</v>
      </c>
    </row>
    <row r="21" spans="1:3" s="56" customFormat="1" ht="25.5">
      <c r="A21" s="83">
        <v>16</v>
      </c>
      <c r="B21" s="92" t="s">
        <v>229</v>
      </c>
      <c r="C21" s="504"/>
    </row>
    <row r="22" spans="1:3" s="56" customFormat="1">
      <c r="A22" s="83">
        <v>17</v>
      </c>
      <c r="B22" s="95" t="s">
        <v>228</v>
      </c>
      <c r="C22" s="504"/>
    </row>
    <row r="23" spans="1:3" s="56" customFormat="1">
      <c r="A23" s="83">
        <v>18</v>
      </c>
      <c r="B23" s="92" t="s">
        <v>227</v>
      </c>
      <c r="C23" s="504"/>
    </row>
    <row r="24" spans="1:3" s="56" customFormat="1" ht="25.5">
      <c r="A24" s="83">
        <v>19</v>
      </c>
      <c r="B24" s="92" t="s">
        <v>204</v>
      </c>
      <c r="C24" s="504"/>
    </row>
    <row r="25" spans="1:3" s="56" customFormat="1">
      <c r="A25" s="83">
        <v>20</v>
      </c>
      <c r="B25" s="94" t="s">
        <v>226</v>
      </c>
      <c r="C25" s="504"/>
    </row>
    <row r="26" spans="1:3" s="56" customFormat="1">
      <c r="A26" s="83">
        <v>21</v>
      </c>
      <c r="B26" s="94" t="s">
        <v>225</v>
      </c>
      <c r="C26" s="504"/>
    </row>
    <row r="27" spans="1:3" s="56" customFormat="1">
      <c r="A27" s="83">
        <v>22</v>
      </c>
      <c r="B27" s="94" t="s">
        <v>224</v>
      </c>
      <c r="C27" s="504"/>
    </row>
    <row r="28" spans="1:3" s="56" customFormat="1">
      <c r="A28" s="83">
        <v>23</v>
      </c>
      <c r="B28" s="96" t="s">
        <v>223</v>
      </c>
      <c r="C28" s="89">
        <f>C6-C12</f>
        <v>204029629</v>
      </c>
    </row>
    <row r="29" spans="1:3" s="56" customFormat="1">
      <c r="A29" s="97"/>
      <c r="B29" s="98"/>
      <c r="C29" s="91"/>
    </row>
    <row r="30" spans="1:3" s="56" customFormat="1">
      <c r="A30" s="97">
        <v>24</v>
      </c>
      <c r="B30" s="96" t="s">
        <v>222</v>
      </c>
      <c r="C30" s="89">
        <f>C31+C34</f>
        <v>79080300</v>
      </c>
    </row>
    <row r="31" spans="1:3" s="56" customFormat="1">
      <c r="A31" s="97">
        <v>25</v>
      </c>
      <c r="B31" s="87" t="s">
        <v>221</v>
      </c>
      <c r="C31" s="99">
        <f>C32+C33</f>
        <v>79080300</v>
      </c>
    </row>
    <row r="32" spans="1:3" s="56" customFormat="1">
      <c r="A32" s="97">
        <v>26</v>
      </c>
      <c r="B32" s="100" t="s">
        <v>302</v>
      </c>
      <c r="C32" s="504"/>
    </row>
    <row r="33" spans="1:3" s="56" customFormat="1">
      <c r="A33" s="97">
        <v>27</v>
      </c>
      <c r="B33" s="100" t="s">
        <v>220</v>
      </c>
      <c r="C33" s="504">
        <v>79080300</v>
      </c>
    </row>
    <row r="34" spans="1:3" s="56" customFormat="1">
      <c r="A34" s="97">
        <v>28</v>
      </c>
      <c r="B34" s="87" t="s">
        <v>219</v>
      </c>
      <c r="C34" s="504"/>
    </row>
    <row r="35" spans="1:3" s="56" customFormat="1">
      <c r="A35" s="97">
        <v>29</v>
      </c>
      <c r="B35" s="96" t="s">
        <v>218</v>
      </c>
      <c r="C35" s="89">
        <f>SUM(C36:C40)</f>
        <v>0</v>
      </c>
    </row>
    <row r="36" spans="1:3" s="56" customFormat="1">
      <c r="A36" s="97">
        <v>30</v>
      </c>
      <c r="B36" s="92" t="s">
        <v>217</v>
      </c>
      <c r="C36" s="91"/>
    </row>
    <row r="37" spans="1:3" s="56" customFormat="1">
      <c r="A37" s="97">
        <v>31</v>
      </c>
      <c r="B37" s="93" t="s">
        <v>216</v>
      </c>
      <c r="C37" s="91"/>
    </row>
    <row r="38" spans="1:3" s="56" customFormat="1" ht="25.5">
      <c r="A38" s="97">
        <v>32</v>
      </c>
      <c r="B38" s="92" t="s">
        <v>215</v>
      </c>
      <c r="C38" s="91"/>
    </row>
    <row r="39" spans="1:3" s="56" customFormat="1" ht="25.5">
      <c r="A39" s="97">
        <v>33</v>
      </c>
      <c r="B39" s="92" t="s">
        <v>204</v>
      </c>
      <c r="C39" s="91"/>
    </row>
    <row r="40" spans="1:3" s="56" customFormat="1">
      <c r="A40" s="97">
        <v>34</v>
      </c>
      <c r="B40" s="94" t="s">
        <v>214</v>
      </c>
      <c r="C40" s="91"/>
    </row>
    <row r="41" spans="1:3" s="56" customFormat="1">
      <c r="A41" s="97">
        <v>35</v>
      </c>
      <c r="B41" s="96" t="s">
        <v>213</v>
      </c>
      <c r="C41" s="89">
        <f>C30-C35</f>
        <v>79080300</v>
      </c>
    </row>
    <row r="42" spans="1:3" s="56" customFormat="1">
      <c r="A42" s="97"/>
      <c r="B42" s="98"/>
      <c r="C42" s="91"/>
    </row>
    <row r="43" spans="1:3" s="56" customFormat="1">
      <c r="A43" s="97">
        <v>36</v>
      </c>
      <c r="B43" s="101" t="s">
        <v>212</v>
      </c>
      <c r="C43" s="89">
        <f>SUM(C44:C46)</f>
        <v>45320334</v>
      </c>
    </row>
    <row r="44" spans="1:3" s="56" customFormat="1">
      <c r="A44" s="97">
        <v>37</v>
      </c>
      <c r="B44" s="87" t="s">
        <v>211</v>
      </c>
      <c r="C44" s="504">
        <v>35146800</v>
      </c>
    </row>
    <row r="45" spans="1:3" s="56" customFormat="1">
      <c r="A45" s="97">
        <v>38</v>
      </c>
      <c r="B45" s="87" t="s">
        <v>210</v>
      </c>
      <c r="C45" s="504"/>
    </row>
    <row r="46" spans="1:3" s="56" customFormat="1">
      <c r="A46" s="97">
        <v>39</v>
      </c>
      <c r="B46" s="87" t="s">
        <v>209</v>
      </c>
      <c r="C46" s="504">
        <v>10173534</v>
      </c>
    </row>
    <row r="47" spans="1:3" s="56" customFormat="1">
      <c r="A47" s="97">
        <v>40</v>
      </c>
      <c r="B47" s="101" t="s">
        <v>208</v>
      </c>
      <c r="C47" s="89">
        <f>SUM(C48:C51)</f>
        <v>0</v>
      </c>
    </row>
    <row r="48" spans="1:3" s="56" customFormat="1">
      <c r="A48" s="97">
        <v>41</v>
      </c>
      <c r="B48" s="92" t="s">
        <v>207</v>
      </c>
      <c r="C48" s="91"/>
    </row>
    <row r="49" spans="1:3" s="56" customFormat="1">
      <c r="A49" s="97">
        <v>42</v>
      </c>
      <c r="B49" s="93" t="s">
        <v>206</v>
      </c>
      <c r="C49" s="91"/>
    </row>
    <row r="50" spans="1:3" s="56" customFormat="1">
      <c r="A50" s="97">
        <v>43</v>
      </c>
      <c r="B50" s="92" t="s">
        <v>205</v>
      </c>
      <c r="C50" s="91"/>
    </row>
    <row r="51" spans="1:3" s="56" customFormat="1" ht="25.5">
      <c r="A51" s="97">
        <v>44</v>
      </c>
      <c r="B51" s="92" t="s">
        <v>204</v>
      </c>
      <c r="C51" s="91"/>
    </row>
    <row r="52" spans="1:3" s="56" customFormat="1" ht="13.5" thickBot="1">
      <c r="A52" s="102">
        <v>45</v>
      </c>
      <c r="B52" s="103" t="s">
        <v>203</v>
      </c>
      <c r="C52" s="104">
        <f>C43-C47</f>
        <v>45320334</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21" sqref="C21"/>
    </sheetView>
  </sheetViews>
  <sheetFormatPr defaultColWidth="9.28515625" defaultRowHeight="12.75"/>
  <cols>
    <col min="1" max="1" width="9.42578125" style="225" bestFit="1" customWidth="1"/>
    <col min="2" max="2" width="59" style="225" customWidth="1"/>
    <col min="3" max="3" width="16.7109375" style="225" bestFit="1" customWidth="1"/>
    <col min="4" max="4" width="13.28515625" style="225" bestFit="1" customWidth="1"/>
    <col min="5" max="16384" width="9.28515625" style="225"/>
  </cols>
  <sheetData>
    <row r="1" spans="1:4" ht="15">
      <c r="A1" s="223" t="s">
        <v>30</v>
      </c>
      <c r="B1" s="3" t="str">
        <f>'Info '!C2</f>
        <v>JSC CARTU BANK</v>
      </c>
    </row>
    <row r="2" spans="1:4" s="223" customFormat="1" ht="15.75" customHeight="1">
      <c r="A2" s="223" t="s">
        <v>31</v>
      </c>
      <c r="B2" s="370">
        <f>'1. key ratios '!B2</f>
        <v>44742</v>
      </c>
    </row>
    <row r="3" spans="1:4" s="223" customFormat="1" ht="15.75" customHeight="1"/>
    <row r="4" spans="1:4" ht="13.5" thickBot="1">
      <c r="A4" s="225" t="s">
        <v>405</v>
      </c>
      <c r="B4" s="305" t="s">
        <v>406</v>
      </c>
    </row>
    <row r="5" spans="1:4" s="230" customFormat="1" ht="12.75" customHeight="1">
      <c r="A5" s="354"/>
      <c r="B5" s="355" t="s">
        <v>409</v>
      </c>
      <c r="C5" s="298" t="s">
        <v>407</v>
      </c>
      <c r="D5" s="299" t="s">
        <v>408</v>
      </c>
    </row>
    <row r="6" spans="1:4" s="306" customFormat="1">
      <c r="A6" s="300">
        <v>1</v>
      </c>
      <c r="B6" s="350" t="s">
        <v>410</v>
      </c>
      <c r="C6" s="350"/>
      <c r="D6" s="301"/>
    </row>
    <row r="7" spans="1:4" s="306" customFormat="1">
      <c r="A7" s="302" t="s">
        <v>396</v>
      </c>
      <c r="B7" s="351" t="s">
        <v>411</v>
      </c>
      <c r="C7" s="505">
        <v>4.4999999999999998E-2</v>
      </c>
      <c r="D7" s="506">
        <f>C7*'5. RWA '!$C$13</f>
        <v>60935674.14119941</v>
      </c>
    </row>
    <row r="8" spans="1:4" s="306" customFormat="1">
      <c r="A8" s="302" t="s">
        <v>397</v>
      </c>
      <c r="B8" s="351" t="s">
        <v>412</v>
      </c>
      <c r="C8" s="507">
        <v>0.06</v>
      </c>
      <c r="D8" s="506">
        <f>C8*'5. RWA '!$C$13</f>
        <v>81247565.521599203</v>
      </c>
    </row>
    <row r="9" spans="1:4" s="306" customFormat="1">
      <c r="A9" s="302" t="s">
        <v>398</v>
      </c>
      <c r="B9" s="351" t="s">
        <v>413</v>
      </c>
      <c r="C9" s="507">
        <v>0.08</v>
      </c>
      <c r="D9" s="506">
        <f>C9*'5. RWA '!$C$13</f>
        <v>108330087.36213228</v>
      </c>
    </row>
    <row r="10" spans="1:4" s="306" customFormat="1">
      <c r="A10" s="300" t="s">
        <v>399</v>
      </c>
      <c r="B10" s="350" t="s">
        <v>414</v>
      </c>
      <c r="C10" s="508"/>
      <c r="D10" s="509"/>
    </row>
    <row r="11" spans="1:4" s="307" customFormat="1">
      <c r="A11" s="303" t="s">
        <v>400</v>
      </c>
      <c r="B11" s="349" t="s">
        <v>480</v>
      </c>
      <c r="C11" s="510">
        <v>2.5000000000000001E-2</v>
      </c>
      <c r="D11" s="506">
        <f>C11*'5. RWA '!$C$13</f>
        <v>33853152.30066634</v>
      </c>
    </row>
    <row r="12" spans="1:4" s="307" customFormat="1">
      <c r="A12" s="303" t="s">
        <v>401</v>
      </c>
      <c r="B12" s="349" t="s">
        <v>415</v>
      </c>
      <c r="C12" s="510">
        <v>0</v>
      </c>
      <c r="D12" s="506">
        <f>C12*'5. RWA '!$C$13</f>
        <v>0</v>
      </c>
    </row>
    <row r="13" spans="1:4" s="307" customFormat="1">
      <c r="A13" s="303" t="s">
        <v>402</v>
      </c>
      <c r="B13" s="349" t="s">
        <v>416</v>
      </c>
      <c r="C13" s="510"/>
      <c r="D13" s="506">
        <f>C13*'5. RWA '!$C$13</f>
        <v>0</v>
      </c>
    </row>
    <row r="14" spans="1:4" s="307" customFormat="1">
      <c r="A14" s="300" t="s">
        <v>403</v>
      </c>
      <c r="B14" s="350" t="s">
        <v>477</v>
      </c>
      <c r="C14" s="511"/>
      <c r="D14" s="509"/>
    </row>
    <row r="15" spans="1:4" s="307" customFormat="1">
      <c r="A15" s="303">
        <v>3.1</v>
      </c>
      <c r="B15" s="349" t="s">
        <v>421</v>
      </c>
      <c r="C15" s="510">
        <v>4.2163457660978322E-2</v>
      </c>
      <c r="D15" s="506">
        <f>C15*'5. RWA '!$C$13</f>
        <v>57094638.148791842</v>
      </c>
    </row>
    <row r="16" spans="1:4" s="307" customFormat="1">
      <c r="A16" s="303">
        <v>3.2</v>
      </c>
      <c r="B16" s="349" t="s">
        <v>422</v>
      </c>
      <c r="C16" s="510">
        <v>5.6275590813212942E-2</v>
      </c>
      <c r="D16" s="506">
        <f>C16*'5. RWA '!$C$13</f>
        <v>76204245.86438708</v>
      </c>
    </row>
    <row r="17" spans="1:4" s="306" customFormat="1">
      <c r="A17" s="303">
        <v>3.3</v>
      </c>
      <c r="B17" s="349" t="s">
        <v>423</v>
      </c>
      <c r="C17" s="510">
        <v>8.9469106462216424E-2</v>
      </c>
      <c r="D17" s="506">
        <f>C17*'5. RWA '!$C$13</f>
        <v>121152451.49079774</v>
      </c>
    </row>
    <row r="18" spans="1:4" s="230" customFormat="1" ht="12.75" customHeight="1">
      <c r="A18" s="352"/>
      <c r="B18" s="353" t="s">
        <v>476</v>
      </c>
      <c r="C18" s="508" t="s">
        <v>407</v>
      </c>
      <c r="D18" s="512" t="s">
        <v>408</v>
      </c>
    </row>
    <row r="19" spans="1:4" s="306" customFormat="1">
      <c r="A19" s="304">
        <v>4</v>
      </c>
      <c r="B19" s="349" t="s">
        <v>417</v>
      </c>
      <c r="C19" s="510">
        <f>C7+C11+C12+C13+C15</f>
        <v>0.11216345766097832</v>
      </c>
      <c r="D19" s="506">
        <f>C19*'5. RWA '!$C$13</f>
        <v>151883464.59065759</v>
      </c>
    </row>
    <row r="20" spans="1:4" s="306" customFormat="1">
      <c r="A20" s="304">
        <v>5</v>
      </c>
      <c r="B20" s="349" t="s">
        <v>137</v>
      </c>
      <c r="C20" s="510">
        <f>C8+C11+C12+C13+C16</f>
        <v>0.14127559081321295</v>
      </c>
      <c r="D20" s="506">
        <f>C20*'5. RWA '!$C$13</f>
        <v>191304963.68665263</v>
      </c>
    </row>
    <row r="21" spans="1:4" s="306" customFormat="1" ht="13.5" thickBot="1">
      <c r="A21" s="308" t="s">
        <v>404</v>
      </c>
      <c r="B21" s="309" t="s">
        <v>418</v>
      </c>
      <c r="C21" s="513">
        <f>C9+C11+C12+C13+C17</f>
        <v>0.19446910646221643</v>
      </c>
      <c r="D21" s="514">
        <f>C21*'5. RWA '!$C$13</f>
        <v>263335691.15359637</v>
      </c>
    </row>
    <row r="23" spans="1:4" ht="51">
      <c r="B23" s="265"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5"/>
  <sheetViews>
    <sheetView zoomScaleNormal="100" workbookViewId="0">
      <pane xSplit="1" ySplit="5" topLeftCell="B6" activePane="bottomRight" state="frozen"/>
      <selection pane="topRight"/>
      <selection pane="bottomLeft"/>
      <selection pane="bottomRight"/>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CARTU BANK</v>
      </c>
      <c r="E1" s="4"/>
      <c r="F1" s="4"/>
    </row>
    <row r="2" spans="1:6" s="2" customFormat="1" ht="15.75" customHeight="1">
      <c r="A2" s="2" t="s">
        <v>31</v>
      </c>
      <c r="B2" s="370">
        <f>'1. key ratios '!B2</f>
        <v>44742</v>
      </c>
    </row>
    <row r="3" spans="1:6" s="2" customFormat="1" ht="15.75" customHeight="1">
      <c r="A3" s="105"/>
    </row>
    <row r="4" spans="1:6" s="2" customFormat="1" ht="15.75" customHeight="1" thickBot="1">
      <c r="A4" s="2" t="s">
        <v>86</v>
      </c>
      <c r="B4" s="215" t="s">
        <v>286</v>
      </c>
      <c r="D4" s="32" t="s">
        <v>73</v>
      </c>
    </row>
    <row r="5" spans="1:6" ht="25.5">
      <c r="A5" s="106" t="s">
        <v>6</v>
      </c>
      <c r="B5" s="242" t="s">
        <v>340</v>
      </c>
      <c r="C5" s="107" t="s">
        <v>93</v>
      </c>
      <c r="D5" s="108" t="s">
        <v>94</v>
      </c>
    </row>
    <row r="6" spans="1:6" ht="15">
      <c r="A6" s="74">
        <v>1</v>
      </c>
      <c r="B6" s="109" t="s">
        <v>35</v>
      </c>
      <c r="C6" s="515">
        <f>'2.RC'!E7</f>
        <v>21552979</v>
      </c>
      <c r="D6" s="110"/>
      <c r="E6" s="111"/>
    </row>
    <row r="7" spans="1:6" ht="15">
      <c r="A7" s="74">
        <v>2</v>
      </c>
      <c r="B7" s="112" t="s">
        <v>36</v>
      </c>
      <c r="C7" s="516">
        <f>'2.RC'!E8</f>
        <v>249114282</v>
      </c>
      <c r="D7" s="114"/>
      <c r="E7" s="111"/>
    </row>
    <row r="8" spans="1:6" ht="15">
      <c r="A8" s="74">
        <v>3</v>
      </c>
      <c r="B8" s="112" t="s">
        <v>37</v>
      </c>
      <c r="C8" s="516">
        <f>'2.RC'!E9</f>
        <v>347802556.99000001</v>
      </c>
      <c r="D8" s="114"/>
      <c r="E8" s="111"/>
    </row>
    <row r="9" spans="1:6" ht="15">
      <c r="A9" s="74">
        <v>4</v>
      </c>
      <c r="B9" s="112" t="s">
        <v>38</v>
      </c>
      <c r="C9" s="516">
        <f>'2.RC'!E10</f>
        <v>0</v>
      </c>
      <c r="D9" s="114"/>
      <c r="E9" s="111"/>
    </row>
    <row r="10" spans="1:6" ht="15">
      <c r="A10" s="74">
        <v>5</v>
      </c>
      <c r="B10" s="112" t="s">
        <v>39</v>
      </c>
      <c r="C10" s="516">
        <f>'2.RC'!E11-C11</f>
        <v>30874220</v>
      </c>
      <c r="D10" s="114"/>
      <c r="E10" s="111"/>
    </row>
    <row r="11" spans="1:6" ht="15.75">
      <c r="A11" s="74">
        <v>5.0999999999999996</v>
      </c>
      <c r="B11" s="523" t="s">
        <v>739</v>
      </c>
      <c r="C11" s="517">
        <v>-60000</v>
      </c>
      <c r="D11" s="518" t="s">
        <v>733</v>
      </c>
      <c r="E11" s="117"/>
    </row>
    <row r="12" spans="1:6" ht="15">
      <c r="A12" s="74">
        <v>5.2</v>
      </c>
      <c r="B12" s="112" t="s">
        <v>740</v>
      </c>
      <c r="C12" s="517">
        <f>C10+C11</f>
        <v>30814220</v>
      </c>
      <c r="D12" s="114"/>
      <c r="E12" s="117"/>
    </row>
    <row r="13" spans="1:6" ht="15">
      <c r="A13" s="74">
        <v>6.1</v>
      </c>
      <c r="B13" s="216" t="s">
        <v>40</v>
      </c>
      <c r="C13" s="519">
        <f>'2.RC'!E12</f>
        <v>830195780</v>
      </c>
      <c r="D13" s="116"/>
      <c r="E13" s="111"/>
    </row>
    <row r="14" spans="1:6" ht="15">
      <c r="A14" s="74">
        <v>6.2</v>
      </c>
      <c r="B14" s="217" t="s">
        <v>41</v>
      </c>
      <c r="C14" s="519">
        <v>-136006167</v>
      </c>
      <c r="D14" s="116"/>
      <c r="E14" s="111"/>
    </row>
    <row r="15" spans="1:6" ht="15.75">
      <c r="A15" s="74" t="s">
        <v>741</v>
      </c>
      <c r="B15" s="524" t="s">
        <v>739</v>
      </c>
      <c r="C15" s="519">
        <v>-9808219</v>
      </c>
      <c r="D15" s="518" t="s">
        <v>733</v>
      </c>
      <c r="E15" s="111"/>
    </row>
    <row r="16" spans="1:6" ht="15">
      <c r="A16" s="74" t="s">
        <v>742</v>
      </c>
      <c r="B16" s="524" t="s">
        <v>743</v>
      </c>
      <c r="C16" s="519">
        <v>0</v>
      </c>
      <c r="D16" s="116"/>
      <c r="E16" s="111"/>
    </row>
    <row r="17" spans="1:5" ht="15">
      <c r="A17" s="74">
        <v>6</v>
      </c>
      <c r="B17" s="112" t="s">
        <v>42</v>
      </c>
      <c r="C17" s="520">
        <f>C13+C14</f>
        <v>694189613</v>
      </c>
      <c r="D17" s="116"/>
      <c r="E17" s="111"/>
    </row>
    <row r="18" spans="1:5" ht="15">
      <c r="A18" s="74">
        <v>7</v>
      </c>
      <c r="B18" s="112" t="s">
        <v>43</v>
      </c>
      <c r="C18" s="516">
        <f>'2.RC'!E15</f>
        <v>26884010</v>
      </c>
      <c r="D18" s="114"/>
      <c r="E18" s="111"/>
    </row>
    <row r="19" spans="1:5" ht="15">
      <c r="A19" s="74">
        <v>8</v>
      </c>
      <c r="B19" s="112" t="s">
        <v>199</v>
      </c>
      <c r="C19" s="516">
        <f>'2.RC'!E16</f>
        <v>16316748</v>
      </c>
      <c r="D19" s="114"/>
      <c r="E19" s="111"/>
    </row>
    <row r="20" spans="1:5" ht="15">
      <c r="A20" s="74">
        <v>9</v>
      </c>
      <c r="B20" s="112" t="s">
        <v>44</v>
      </c>
      <c r="C20" s="516">
        <f>SUM(C22:C25)</f>
        <v>7793239</v>
      </c>
      <c r="D20" s="114"/>
      <c r="E20" s="111"/>
    </row>
    <row r="21" spans="1:5">
      <c r="A21" s="74">
        <v>9.1</v>
      </c>
      <c r="B21" s="118" t="s">
        <v>88</v>
      </c>
      <c r="C21" s="115"/>
      <c r="D21" s="114"/>
      <c r="E21" s="111"/>
    </row>
    <row r="22" spans="1:5" ht="15.75">
      <c r="A22" s="74">
        <v>9.1999999999999993</v>
      </c>
      <c r="B22" s="118" t="s">
        <v>89</v>
      </c>
      <c r="C22" s="115">
        <v>9372300</v>
      </c>
      <c r="D22" s="521"/>
      <c r="E22" s="111"/>
    </row>
    <row r="23" spans="1:5" ht="15.75">
      <c r="A23" s="74">
        <v>9.3000000000000007</v>
      </c>
      <c r="B23" s="118" t="s">
        <v>744</v>
      </c>
      <c r="C23" s="115">
        <v>-1634921</v>
      </c>
      <c r="D23" s="521"/>
      <c r="E23" s="125"/>
    </row>
    <row r="24" spans="1:5" ht="15.75">
      <c r="A24" s="74">
        <v>9.4</v>
      </c>
      <c r="B24" s="118" t="s">
        <v>268</v>
      </c>
      <c r="C24" s="113">
        <v>57000</v>
      </c>
      <c r="D24" s="521"/>
      <c r="E24" s="111"/>
    </row>
    <row r="25" spans="1:5" ht="15.75">
      <c r="A25" s="74">
        <v>9.5</v>
      </c>
      <c r="B25" s="118" t="s">
        <v>745</v>
      </c>
      <c r="C25" s="113">
        <v>-1140</v>
      </c>
      <c r="D25" s="518" t="s">
        <v>733</v>
      </c>
      <c r="E25" s="111"/>
    </row>
    <row r="26" spans="1:5">
      <c r="A26" s="74">
        <v>10</v>
      </c>
      <c r="B26" s="112" t="s">
        <v>45</v>
      </c>
      <c r="C26" s="120">
        <f>'2.RC'!E18</f>
        <v>19329360</v>
      </c>
      <c r="D26" s="114"/>
      <c r="E26" s="111"/>
    </row>
    <row r="27" spans="1:5">
      <c r="A27" s="525">
        <v>10.1</v>
      </c>
      <c r="B27" s="127" t="s">
        <v>90</v>
      </c>
      <c r="C27" s="120">
        <f>'9.Capital'!C15</f>
        <v>3542072</v>
      </c>
      <c r="D27" s="522" t="s">
        <v>92</v>
      </c>
      <c r="E27" s="111"/>
    </row>
    <row r="28" spans="1:5">
      <c r="A28" s="526">
        <v>11</v>
      </c>
      <c r="B28" s="527" t="s">
        <v>46</v>
      </c>
      <c r="C28" s="120">
        <f>'2.RC'!E19-C30-C31</f>
        <v>29311347.010000002</v>
      </c>
      <c r="D28" s="121"/>
      <c r="E28" s="111"/>
    </row>
    <row r="29" spans="1:5">
      <c r="A29" s="526">
        <v>11.1</v>
      </c>
      <c r="B29" s="528" t="s">
        <v>746</v>
      </c>
      <c r="C29" s="120">
        <f>'9.Capital'!C20</f>
        <v>0</v>
      </c>
      <c r="D29" s="522" t="s">
        <v>734</v>
      </c>
      <c r="E29" s="111"/>
    </row>
    <row r="30" spans="1:5">
      <c r="A30" s="526">
        <v>11.2</v>
      </c>
      <c r="B30" s="528" t="s">
        <v>739</v>
      </c>
      <c r="C30" s="120">
        <v>0</v>
      </c>
      <c r="D30" s="522" t="s">
        <v>733</v>
      </c>
      <c r="E30" s="111"/>
    </row>
    <row r="31" spans="1:5">
      <c r="A31" s="526">
        <v>11.3</v>
      </c>
      <c r="B31" s="528" t="s">
        <v>747</v>
      </c>
      <c r="C31" s="120">
        <v>-1081018</v>
      </c>
      <c r="D31" s="121"/>
      <c r="E31" s="111"/>
    </row>
    <row r="32" spans="1:5">
      <c r="A32" s="526"/>
      <c r="B32" s="527" t="s">
        <v>748</v>
      </c>
      <c r="C32" s="120">
        <f>SUM(C28,C30:C31)</f>
        <v>28230329.010000002</v>
      </c>
      <c r="D32" s="121"/>
      <c r="E32" s="111"/>
    </row>
    <row r="33" spans="1:5">
      <c r="A33" s="74">
        <v>12</v>
      </c>
      <c r="B33" s="122" t="s">
        <v>47</v>
      </c>
      <c r="C33" s="123">
        <f>SUM(C6:C9,C12,C17:C20,C26,C32)</f>
        <v>1442027337</v>
      </c>
      <c r="D33" s="124"/>
      <c r="E33" s="111"/>
    </row>
    <row r="34" spans="1:5" ht="15">
      <c r="A34" s="74">
        <v>13</v>
      </c>
      <c r="B34" s="112" t="s">
        <v>49</v>
      </c>
      <c r="C34" s="126">
        <f>'2.RC'!E22</f>
        <v>149395</v>
      </c>
      <c r="D34" s="124"/>
      <c r="E34" s="125"/>
    </row>
    <row r="35" spans="1:5">
      <c r="A35" s="74">
        <v>14</v>
      </c>
      <c r="B35" s="112" t="s">
        <v>50</v>
      </c>
      <c r="C35" s="113">
        <f>'2.RC'!E23</f>
        <v>521654774</v>
      </c>
      <c r="D35" s="114"/>
      <c r="E35" s="111"/>
    </row>
    <row r="36" spans="1:5">
      <c r="A36" s="74">
        <v>15</v>
      </c>
      <c r="B36" s="112" t="s">
        <v>51</v>
      </c>
      <c r="C36" s="113">
        <f>'2.RC'!E24</f>
        <v>59420213</v>
      </c>
      <c r="D36" s="114"/>
      <c r="E36" s="111"/>
    </row>
    <row r="37" spans="1:5">
      <c r="A37" s="74">
        <v>16</v>
      </c>
      <c r="B37" s="112" t="s">
        <v>52</v>
      </c>
      <c r="C37" s="113">
        <f>'2.RC'!E25</f>
        <v>452125092</v>
      </c>
      <c r="D37" s="114"/>
      <c r="E37" s="111"/>
    </row>
    <row r="38" spans="1:5">
      <c r="A38" s="74">
        <v>17</v>
      </c>
      <c r="B38" s="112" t="s">
        <v>53</v>
      </c>
      <c r="C38" s="113">
        <f>'2.RC'!E26</f>
        <v>0</v>
      </c>
      <c r="D38" s="114"/>
      <c r="E38" s="111"/>
    </row>
    <row r="39" spans="1:5">
      <c r="A39" s="74">
        <v>18</v>
      </c>
      <c r="B39" s="112" t="s">
        <v>54</v>
      </c>
      <c r="C39" s="113">
        <f>'2.RC'!E27</f>
        <v>0</v>
      </c>
      <c r="D39" s="114"/>
      <c r="E39" s="111"/>
    </row>
    <row r="40" spans="1:5">
      <c r="A40" s="74">
        <v>19</v>
      </c>
      <c r="B40" s="112" t="s">
        <v>55</v>
      </c>
      <c r="C40" s="113">
        <f>'2.RC'!E28</f>
        <v>15414836</v>
      </c>
      <c r="D40" s="114"/>
      <c r="E40" s="111"/>
    </row>
    <row r="41" spans="1:5">
      <c r="A41" s="74">
        <v>20</v>
      </c>
      <c r="B41" s="112" t="s">
        <v>56</v>
      </c>
      <c r="C41" s="113">
        <f>'2.RC'!E29</f>
        <v>71464226</v>
      </c>
      <c r="D41" s="114"/>
      <c r="E41" s="111"/>
    </row>
    <row r="42" spans="1:5" ht="15.75">
      <c r="A42" s="74">
        <v>20.100000000000001</v>
      </c>
      <c r="B42" s="529" t="s">
        <v>749</v>
      </c>
      <c r="C42" s="120">
        <v>304175</v>
      </c>
      <c r="D42" s="518" t="s">
        <v>733</v>
      </c>
      <c r="E42" s="125"/>
    </row>
    <row r="43" spans="1:5" ht="15.75">
      <c r="A43" s="74">
        <v>21</v>
      </c>
      <c r="B43" s="119" t="s">
        <v>57</v>
      </c>
      <c r="C43" s="120">
        <f>'2.RC'!E30</f>
        <v>114227100</v>
      </c>
      <c r="D43" s="521"/>
    </row>
    <row r="44" spans="1:5" ht="15.75">
      <c r="A44" s="74">
        <v>21.1</v>
      </c>
      <c r="B44" s="127" t="s">
        <v>91</v>
      </c>
      <c r="C44" s="128">
        <f>C43-'9.Capital'!C33</f>
        <v>35146800</v>
      </c>
      <c r="D44" s="518" t="s">
        <v>735</v>
      </c>
    </row>
    <row r="45" spans="1:5">
      <c r="A45" s="74">
        <v>22</v>
      </c>
      <c r="B45" s="122" t="s">
        <v>58</v>
      </c>
      <c r="C45" s="123">
        <f>SUM(C34:C41,C43)</f>
        <v>1234455636</v>
      </c>
      <c r="D45" s="124"/>
    </row>
    <row r="46" spans="1:5" ht="15.75">
      <c r="A46" s="74">
        <v>23</v>
      </c>
      <c r="B46" s="119" t="s">
        <v>60</v>
      </c>
      <c r="C46" s="113">
        <f>'2.RC'!E33</f>
        <v>114430000</v>
      </c>
      <c r="D46" s="518" t="s">
        <v>736</v>
      </c>
    </row>
    <row r="47" spans="1:5">
      <c r="A47" s="74">
        <v>24</v>
      </c>
      <c r="B47" s="119" t="s">
        <v>61</v>
      </c>
      <c r="C47" s="113">
        <f>'2.RC'!E34</f>
        <v>0</v>
      </c>
      <c r="D47" s="114"/>
    </row>
    <row r="48" spans="1:5">
      <c r="A48" s="74">
        <v>25</v>
      </c>
      <c r="B48" s="119" t="s">
        <v>62</v>
      </c>
      <c r="C48" s="113">
        <f>'2.RC'!E35</f>
        <v>0</v>
      </c>
      <c r="D48" s="114"/>
    </row>
    <row r="49" spans="1:4">
      <c r="A49" s="74">
        <v>26</v>
      </c>
      <c r="B49" s="119" t="s">
        <v>63</v>
      </c>
      <c r="C49" s="113">
        <f>'2.RC'!E36</f>
        <v>0</v>
      </c>
      <c r="D49" s="114"/>
    </row>
    <row r="50" spans="1:4">
      <c r="A50" s="74">
        <v>27</v>
      </c>
      <c r="B50" s="119" t="s">
        <v>64</v>
      </c>
      <c r="C50" s="113">
        <f>'2.RC'!E37</f>
        <v>7438034</v>
      </c>
      <c r="D50" s="114"/>
    </row>
    <row r="51" spans="1:4" ht="15.75">
      <c r="A51" s="74">
        <v>27.1</v>
      </c>
      <c r="B51" s="530" t="s">
        <v>750</v>
      </c>
      <c r="C51" s="516">
        <v>6838034</v>
      </c>
      <c r="D51" s="518" t="s">
        <v>737</v>
      </c>
    </row>
    <row r="52" spans="1:4" ht="15.75">
      <c r="A52" s="74">
        <v>27.2</v>
      </c>
      <c r="B52" s="530" t="s">
        <v>751</v>
      </c>
      <c r="C52" s="516">
        <v>600000</v>
      </c>
      <c r="D52" s="518" t="s">
        <v>737</v>
      </c>
    </row>
    <row r="53" spans="1:4" ht="15.75">
      <c r="A53" s="74">
        <v>28</v>
      </c>
      <c r="B53" s="119" t="s">
        <v>65</v>
      </c>
      <c r="C53" s="113">
        <f>'2.RC'!E38</f>
        <v>85882447</v>
      </c>
      <c r="D53" s="518" t="s">
        <v>738</v>
      </c>
    </row>
    <row r="54" spans="1:4" ht="15.75">
      <c r="A54" s="74">
        <v>29</v>
      </c>
      <c r="B54" s="119" t="s">
        <v>66</v>
      </c>
      <c r="C54" s="113">
        <v>-178780</v>
      </c>
      <c r="D54" s="518" t="s">
        <v>777</v>
      </c>
    </row>
    <row r="55" spans="1:4" ht="15" thickBot="1">
      <c r="A55" s="129">
        <v>30</v>
      </c>
      <c r="B55" s="130" t="s">
        <v>266</v>
      </c>
      <c r="C55" s="131">
        <f>SUM(C46:C50,C53:C54)</f>
        <v>207571701</v>
      </c>
      <c r="D55" s="13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1" ySplit="4" topLeftCell="C5" activePane="bottomRight" state="frozen"/>
      <selection pane="topRight"/>
      <selection pane="bottomLeft"/>
      <selection pane="bottomRight"/>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1" bestFit="1" customWidth="1"/>
    <col min="17" max="17" width="14.7109375" style="31" customWidth="1"/>
    <col min="18" max="18" width="13" style="31" bestFit="1" customWidth="1"/>
    <col min="19" max="19" width="34.7109375" style="31" customWidth="1"/>
    <col min="20" max="16384" width="9.28515625" style="31"/>
  </cols>
  <sheetData>
    <row r="1" spans="1:19">
      <c r="A1" s="2" t="s">
        <v>30</v>
      </c>
      <c r="B1" s="3" t="str">
        <f>'Info '!C2</f>
        <v>JSC CARTU BANK</v>
      </c>
    </row>
    <row r="2" spans="1:19">
      <c r="A2" s="2" t="s">
        <v>31</v>
      </c>
      <c r="B2" s="370">
        <f>'1. key ratios '!B2</f>
        <v>44742</v>
      </c>
    </row>
    <row r="4" spans="1:19" ht="26.25" thickBot="1">
      <c r="A4" s="4" t="s">
        <v>249</v>
      </c>
      <c r="B4" s="258" t="s">
        <v>375</v>
      </c>
    </row>
    <row r="5" spans="1:19" s="250" customFormat="1">
      <c r="A5" s="245"/>
      <c r="B5" s="246"/>
      <c r="C5" s="247" t="s">
        <v>0</v>
      </c>
      <c r="D5" s="247" t="s">
        <v>1</v>
      </c>
      <c r="E5" s="247" t="s">
        <v>2</v>
      </c>
      <c r="F5" s="247" t="s">
        <v>3</v>
      </c>
      <c r="G5" s="247" t="s">
        <v>4</v>
      </c>
      <c r="H5" s="247" t="s">
        <v>5</v>
      </c>
      <c r="I5" s="247" t="s">
        <v>8</v>
      </c>
      <c r="J5" s="247" t="s">
        <v>9</v>
      </c>
      <c r="K5" s="247" t="s">
        <v>10</v>
      </c>
      <c r="L5" s="247" t="s">
        <v>11</v>
      </c>
      <c r="M5" s="247" t="s">
        <v>12</v>
      </c>
      <c r="N5" s="247" t="s">
        <v>13</v>
      </c>
      <c r="O5" s="247" t="s">
        <v>358</v>
      </c>
      <c r="P5" s="247" t="s">
        <v>359</v>
      </c>
      <c r="Q5" s="247" t="s">
        <v>360</v>
      </c>
      <c r="R5" s="248" t="s">
        <v>361</v>
      </c>
      <c r="S5" s="249" t="s">
        <v>362</v>
      </c>
    </row>
    <row r="6" spans="1:19" s="250" customFormat="1" ht="99" customHeight="1">
      <c r="A6" s="251"/>
      <c r="B6" s="662" t="s">
        <v>363</v>
      </c>
      <c r="C6" s="658">
        <v>0</v>
      </c>
      <c r="D6" s="659"/>
      <c r="E6" s="658">
        <v>0.2</v>
      </c>
      <c r="F6" s="659"/>
      <c r="G6" s="658">
        <v>0.35</v>
      </c>
      <c r="H6" s="659"/>
      <c r="I6" s="658">
        <v>0.5</v>
      </c>
      <c r="J6" s="659"/>
      <c r="K6" s="658">
        <v>0.75</v>
      </c>
      <c r="L6" s="659"/>
      <c r="M6" s="658">
        <v>1</v>
      </c>
      <c r="N6" s="659"/>
      <c r="O6" s="658">
        <v>1.5</v>
      </c>
      <c r="P6" s="659"/>
      <c r="Q6" s="658">
        <v>2.5</v>
      </c>
      <c r="R6" s="659"/>
      <c r="S6" s="660" t="s">
        <v>248</v>
      </c>
    </row>
    <row r="7" spans="1:19" s="250" customFormat="1" ht="30.75" customHeight="1">
      <c r="A7" s="251"/>
      <c r="B7" s="663"/>
      <c r="C7" s="241" t="s">
        <v>251</v>
      </c>
      <c r="D7" s="241" t="s">
        <v>250</v>
      </c>
      <c r="E7" s="241" t="s">
        <v>251</v>
      </c>
      <c r="F7" s="241" t="s">
        <v>250</v>
      </c>
      <c r="G7" s="241" t="s">
        <v>251</v>
      </c>
      <c r="H7" s="241" t="s">
        <v>250</v>
      </c>
      <c r="I7" s="241" t="s">
        <v>251</v>
      </c>
      <c r="J7" s="241" t="s">
        <v>250</v>
      </c>
      <c r="K7" s="241" t="s">
        <v>251</v>
      </c>
      <c r="L7" s="241" t="s">
        <v>250</v>
      </c>
      <c r="M7" s="241" t="s">
        <v>251</v>
      </c>
      <c r="N7" s="241" t="s">
        <v>250</v>
      </c>
      <c r="O7" s="241" t="s">
        <v>251</v>
      </c>
      <c r="P7" s="241" t="s">
        <v>250</v>
      </c>
      <c r="Q7" s="241" t="s">
        <v>251</v>
      </c>
      <c r="R7" s="241" t="s">
        <v>250</v>
      </c>
      <c r="S7" s="661"/>
    </row>
    <row r="8" spans="1:19">
      <c r="A8" s="133">
        <v>1</v>
      </c>
      <c r="B8" s="1" t="s">
        <v>96</v>
      </c>
      <c r="C8" s="531">
        <v>30575275</v>
      </c>
      <c r="D8" s="531"/>
      <c r="E8" s="531"/>
      <c r="F8" s="532"/>
      <c r="G8" s="531"/>
      <c r="H8" s="531"/>
      <c r="I8" s="531"/>
      <c r="J8" s="531"/>
      <c r="K8" s="531"/>
      <c r="L8" s="531"/>
      <c r="M8" s="531">
        <v>247527671</v>
      </c>
      <c r="N8" s="531"/>
      <c r="O8" s="531"/>
      <c r="P8" s="531"/>
      <c r="Q8" s="531"/>
      <c r="R8" s="532"/>
      <c r="S8" s="533">
        <f>$C$6*SUM(C8:D8)+$E$6*SUM(E8:F8)+$G$6*SUM(G8:H8)+$I$6*SUM(I8:J8)+$K$6*SUM(K8:L8)+$M$6*SUM(M8:N8)+$O$6*SUM(O8:P8)+$Q$6*SUM(Q8:R8)</f>
        <v>247527671</v>
      </c>
    </row>
    <row r="9" spans="1:19">
      <c r="A9" s="133">
        <v>2</v>
      </c>
      <c r="B9" s="1" t="s">
        <v>97</v>
      </c>
      <c r="C9" s="531"/>
      <c r="D9" s="531"/>
      <c r="E9" s="531"/>
      <c r="F9" s="531"/>
      <c r="G9" s="531"/>
      <c r="H9" s="531"/>
      <c r="I9" s="531"/>
      <c r="J9" s="531"/>
      <c r="K9" s="531"/>
      <c r="L9" s="531"/>
      <c r="M9" s="531">
        <v>0</v>
      </c>
      <c r="N9" s="531"/>
      <c r="O9" s="531"/>
      <c r="P9" s="531"/>
      <c r="Q9" s="531"/>
      <c r="R9" s="532"/>
      <c r="S9" s="533">
        <f t="shared" ref="S9:S21" si="0">$C$6*SUM(C9:D9)+$E$6*SUM(E9:F9)+$G$6*SUM(G9:H9)+$I$6*SUM(I9:J9)+$K$6*SUM(K9:L9)+$M$6*SUM(M9:N9)+$O$6*SUM(O9:P9)+$Q$6*SUM(Q9:R9)</f>
        <v>0</v>
      </c>
    </row>
    <row r="10" spans="1:19">
      <c r="A10" s="133">
        <v>3</v>
      </c>
      <c r="B10" s="1" t="s">
        <v>269</v>
      </c>
      <c r="C10" s="531"/>
      <c r="D10" s="531"/>
      <c r="E10" s="531"/>
      <c r="F10" s="531"/>
      <c r="G10" s="531"/>
      <c r="H10" s="531"/>
      <c r="I10" s="531"/>
      <c r="J10" s="531"/>
      <c r="K10" s="531"/>
      <c r="L10" s="531"/>
      <c r="M10" s="531">
        <v>0</v>
      </c>
      <c r="N10" s="531"/>
      <c r="O10" s="531"/>
      <c r="P10" s="531"/>
      <c r="Q10" s="531"/>
      <c r="R10" s="532"/>
      <c r="S10" s="533">
        <f t="shared" si="0"/>
        <v>0</v>
      </c>
    </row>
    <row r="11" spans="1:19">
      <c r="A11" s="133">
        <v>4</v>
      </c>
      <c r="B11" s="1" t="s">
        <v>98</v>
      </c>
      <c r="C11" s="531"/>
      <c r="D11" s="531"/>
      <c r="E11" s="531"/>
      <c r="F11" s="531"/>
      <c r="G11" s="531"/>
      <c r="H11" s="531"/>
      <c r="I11" s="531"/>
      <c r="J11" s="531"/>
      <c r="K11" s="531"/>
      <c r="L11" s="531"/>
      <c r="M11" s="531">
        <v>0</v>
      </c>
      <c r="N11" s="531"/>
      <c r="O11" s="531"/>
      <c r="P11" s="531"/>
      <c r="Q11" s="531"/>
      <c r="R11" s="532"/>
      <c r="S11" s="533">
        <f t="shared" si="0"/>
        <v>0</v>
      </c>
    </row>
    <row r="12" spans="1:19">
      <c r="A12" s="133">
        <v>5</v>
      </c>
      <c r="B12" s="1" t="s">
        <v>99</v>
      </c>
      <c r="C12" s="531"/>
      <c r="D12" s="531"/>
      <c r="E12" s="531"/>
      <c r="F12" s="531"/>
      <c r="G12" s="531"/>
      <c r="H12" s="531"/>
      <c r="I12" s="531"/>
      <c r="J12" s="531"/>
      <c r="K12" s="531"/>
      <c r="L12" s="531"/>
      <c r="M12" s="531">
        <v>0</v>
      </c>
      <c r="N12" s="531"/>
      <c r="O12" s="531"/>
      <c r="P12" s="531"/>
      <c r="Q12" s="531"/>
      <c r="R12" s="532"/>
      <c r="S12" s="533">
        <f t="shared" si="0"/>
        <v>0</v>
      </c>
    </row>
    <row r="13" spans="1:19">
      <c r="A13" s="133">
        <v>6</v>
      </c>
      <c r="B13" s="1" t="s">
        <v>100</v>
      </c>
      <c r="C13" s="531">
        <v>0</v>
      </c>
      <c r="D13" s="531"/>
      <c r="E13" s="531">
        <v>156360353.83000001</v>
      </c>
      <c r="F13" s="531"/>
      <c r="G13" s="531"/>
      <c r="H13" s="531"/>
      <c r="I13" s="531">
        <v>191302803.57999998</v>
      </c>
      <c r="J13" s="531"/>
      <c r="K13" s="531"/>
      <c r="L13" s="531"/>
      <c r="M13" s="531">
        <v>139399.58000001311</v>
      </c>
      <c r="N13" s="531"/>
      <c r="O13" s="531"/>
      <c r="P13" s="531"/>
      <c r="Q13" s="531"/>
      <c r="R13" s="532"/>
      <c r="S13" s="533">
        <f t="shared" si="0"/>
        <v>127062872.13600001</v>
      </c>
    </row>
    <row r="14" spans="1:19">
      <c r="A14" s="133">
        <v>7</v>
      </c>
      <c r="B14" s="1" t="s">
        <v>101</v>
      </c>
      <c r="C14" s="531"/>
      <c r="D14" s="531"/>
      <c r="E14" s="531"/>
      <c r="F14" s="531"/>
      <c r="G14" s="531"/>
      <c r="H14" s="531"/>
      <c r="I14" s="531"/>
      <c r="J14" s="531"/>
      <c r="K14" s="531"/>
      <c r="L14" s="531"/>
      <c r="M14" s="531">
        <v>621449880.86592734</v>
      </c>
      <c r="N14" s="531">
        <v>31730212.750607952</v>
      </c>
      <c r="O14" s="531">
        <v>0</v>
      </c>
      <c r="P14" s="531"/>
      <c r="Q14" s="531">
        <v>0</v>
      </c>
      <c r="R14" s="532">
        <v>0</v>
      </c>
      <c r="S14" s="533">
        <f t="shared" si="0"/>
        <v>653180093.61653531</v>
      </c>
    </row>
    <row r="15" spans="1:19">
      <c r="A15" s="133">
        <v>8</v>
      </c>
      <c r="B15" s="1" t="s">
        <v>102</v>
      </c>
      <c r="C15" s="531"/>
      <c r="D15" s="531"/>
      <c r="E15" s="531"/>
      <c r="F15" s="531"/>
      <c r="G15" s="531"/>
      <c r="H15" s="531"/>
      <c r="I15" s="531"/>
      <c r="J15" s="531"/>
      <c r="K15" s="531"/>
      <c r="L15" s="531"/>
      <c r="M15" s="531"/>
      <c r="N15" s="531"/>
      <c r="O15" s="531"/>
      <c r="P15" s="531"/>
      <c r="Q15" s="531"/>
      <c r="R15" s="532"/>
      <c r="S15" s="533">
        <f t="shared" si="0"/>
        <v>0</v>
      </c>
    </row>
    <row r="16" spans="1:19">
      <c r="A16" s="133">
        <v>9</v>
      </c>
      <c r="B16" s="1" t="s">
        <v>103</v>
      </c>
      <c r="C16" s="531"/>
      <c r="D16" s="531"/>
      <c r="E16" s="531"/>
      <c r="F16" s="531"/>
      <c r="G16" s="531"/>
      <c r="H16" s="531"/>
      <c r="I16" s="531"/>
      <c r="J16" s="531"/>
      <c r="K16" s="531"/>
      <c r="L16" s="531"/>
      <c r="M16" s="531">
        <v>0</v>
      </c>
      <c r="N16" s="531"/>
      <c r="O16" s="531"/>
      <c r="P16" s="531"/>
      <c r="Q16" s="531"/>
      <c r="R16" s="532"/>
      <c r="S16" s="533">
        <f t="shared" si="0"/>
        <v>0</v>
      </c>
    </row>
    <row r="17" spans="1:19">
      <c r="A17" s="133">
        <v>10</v>
      </c>
      <c r="B17" s="1" t="s">
        <v>104</v>
      </c>
      <c r="C17" s="531"/>
      <c r="D17" s="531"/>
      <c r="E17" s="531"/>
      <c r="F17" s="531"/>
      <c r="G17" s="531"/>
      <c r="H17" s="531"/>
      <c r="I17" s="531"/>
      <c r="J17" s="531"/>
      <c r="K17" s="531"/>
      <c r="L17" s="531"/>
      <c r="M17" s="531">
        <v>92062293.133355066</v>
      </c>
      <c r="N17" s="531">
        <v>177094.9849999845</v>
      </c>
      <c r="O17" s="531">
        <v>0</v>
      </c>
      <c r="P17" s="531"/>
      <c r="Q17" s="531">
        <v>0</v>
      </c>
      <c r="R17" s="532"/>
      <c r="S17" s="533">
        <f t="shared" si="0"/>
        <v>92239388.118355051</v>
      </c>
    </row>
    <row r="18" spans="1:19">
      <c r="A18" s="133">
        <v>11</v>
      </c>
      <c r="B18" s="1" t="s">
        <v>105</v>
      </c>
      <c r="C18" s="531"/>
      <c r="D18" s="531"/>
      <c r="E18" s="531"/>
      <c r="F18" s="531"/>
      <c r="G18" s="531"/>
      <c r="H18" s="531"/>
      <c r="I18" s="531"/>
      <c r="J18" s="531"/>
      <c r="K18" s="531"/>
      <c r="L18" s="531"/>
      <c r="M18" s="531">
        <v>0</v>
      </c>
      <c r="N18" s="531"/>
      <c r="O18" s="531"/>
      <c r="P18" s="531"/>
      <c r="Q18" s="531"/>
      <c r="R18" s="532"/>
      <c r="S18" s="533">
        <f t="shared" si="0"/>
        <v>0</v>
      </c>
    </row>
    <row r="19" spans="1:19">
      <c r="A19" s="133">
        <v>12</v>
      </c>
      <c r="B19" s="1" t="s">
        <v>106</v>
      </c>
      <c r="C19" s="531"/>
      <c r="D19" s="531"/>
      <c r="E19" s="531"/>
      <c r="F19" s="531"/>
      <c r="G19" s="531"/>
      <c r="H19" s="531"/>
      <c r="I19" s="531"/>
      <c r="J19" s="531"/>
      <c r="K19" s="531"/>
      <c r="L19" s="531"/>
      <c r="M19" s="531">
        <v>0</v>
      </c>
      <c r="N19" s="531"/>
      <c r="O19" s="531"/>
      <c r="P19" s="531"/>
      <c r="Q19" s="531"/>
      <c r="R19" s="532"/>
      <c r="S19" s="533">
        <f t="shared" si="0"/>
        <v>0</v>
      </c>
    </row>
    <row r="20" spans="1:19">
      <c r="A20" s="133">
        <v>13</v>
      </c>
      <c r="B20" s="1" t="s">
        <v>247</v>
      </c>
      <c r="C20" s="531"/>
      <c r="D20" s="531"/>
      <c r="E20" s="531"/>
      <c r="F20" s="531"/>
      <c r="G20" s="531"/>
      <c r="H20" s="531"/>
      <c r="I20" s="531"/>
      <c r="J20" s="531"/>
      <c r="K20" s="531"/>
      <c r="L20" s="531"/>
      <c r="M20" s="531">
        <v>0</v>
      </c>
      <c r="N20" s="531"/>
      <c r="O20" s="531"/>
      <c r="P20" s="531"/>
      <c r="Q20" s="531"/>
      <c r="R20" s="532"/>
      <c r="S20" s="533">
        <f t="shared" si="0"/>
        <v>0</v>
      </c>
    </row>
    <row r="21" spans="1:19">
      <c r="A21" s="133">
        <v>14</v>
      </c>
      <c r="B21" s="1" t="s">
        <v>108</v>
      </c>
      <c r="C21" s="531">
        <v>23733151</v>
      </c>
      <c r="D21" s="531"/>
      <c r="E21" s="531">
        <v>0</v>
      </c>
      <c r="F21" s="531"/>
      <c r="G21" s="531"/>
      <c r="H21" s="531">
        <v>0</v>
      </c>
      <c r="I21" s="531">
        <v>0</v>
      </c>
      <c r="J21" s="531"/>
      <c r="K21" s="531"/>
      <c r="L21" s="531"/>
      <c r="M21" s="531">
        <v>76380060.017505005</v>
      </c>
      <c r="N21" s="531">
        <v>1265957.9338499992</v>
      </c>
      <c r="O21" s="531">
        <v>0</v>
      </c>
      <c r="P21" s="531"/>
      <c r="Q21" s="531">
        <v>17275391</v>
      </c>
      <c r="R21" s="532"/>
      <c r="S21" s="533">
        <f t="shared" si="0"/>
        <v>120834495.45135501</v>
      </c>
    </row>
    <row r="22" spans="1:19" ht="13.5" thickBot="1">
      <c r="A22" s="134"/>
      <c r="B22" s="135" t="s">
        <v>109</v>
      </c>
      <c r="C22" s="136">
        <f>SUM(C8:C21)</f>
        <v>54308426</v>
      </c>
      <c r="D22" s="136">
        <f t="shared" ref="D22:S22" si="1">SUM(D8:D21)</f>
        <v>0</v>
      </c>
      <c r="E22" s="136">
        <f t="shared" si="1"/>
        <v>156360353.83000001</v>
      </c>
      <c r="F22" s="136">
        <f t="shared" si="1"/>
        <v>0</v>
      </c>
      <c r="G22" s="136">
        <f t="shared" si="1"/>
        <v>0</v>
      </c>
      <c r="H22" s="136">
        <f t="shared" si="1"/>
        <v>0</v>
      </c>
      <c r="I22" s="136">
        <f t="shared" si="1"/>
        <v>191302803.57999998</v>
      </c>
      <c r="J22" s="136">
        <f t="shared" si="1"/>
        <v>0</v>
      </c>
      <c r="K22" s="136">
        <f t="shared" si="1"/>
        <v>0</v>
      </c>
      <c r="L22" s="136">
        <f t="shared" si="1"/>
        <v>0</v>
      </c>
      <c r="M22" s="136">
        <f t="shared" si="1"/>
        <v>1037559304.5967875</v>
      </c>
      <c r="N22" s="136">
        <f t="shared" si="1"/>
        <v>33173265.669457935</v>
      </c>
      <c r="O22" s="136">
        <f t="shared" si="1"/>
        <v>0</v>
      </c>
      <c r="P22" s="136">
        <f t="shared" si="1"/>
        <v>0</v>
      </c>
      <c r="Q22" s="136">
        <f t="shared" si="1"/>
        <v>17275391</v>
      </c>
      <c r="R22" s="136">
        <f t="shared" si="1"/>
        <v>0</v>
      </c>
      <c r="S22" s="259">
        <f t="shared" si="1"/>
        <v>1240844520.3222454</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O7" activePane="bottomRight" state="frozen"/>
      <selection pane="topRight"/>
      <selection pane="bottomLeft"/>
      <selection pane="bottomRight"/>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1"/>
  </cols>
  <sheetData>
    <row r="1" spans="1:22">
      <c r="A1" s="2" t="s">
        <v>30</v>
      </c>
      <c r="B1" s="3" t="str">
        <f>'Info '!C2</f>
        <v>JSC CARTU BANK</v>
      </c>
    </row>
    <row r="2" spans="1:22">
      <c r="A2" s="2" t="s">
        <v>31</v>
      </c>
      <c r="B2" s="370">
        <f>'1. key ratios '!B2</f>
        <v>44742</v>
      </c>
    </row>
    <row r="4" spans="1:22" ht="13.5" thickBot="1">
      <c r="A4" s="4" t="s">
        <v>366</v>
      </c>
      <c r="B4" s="137" t="s">
        <v>95</v>
      </c>
      <c r="V4" s="32" t="s">
        <v>73</v>
      </c>
    </row>
    <row r="5" spans="1:22" ht="12.75" customHeight="1">
      <c r="A5" s="138"/>
      <c r="B5" s="139"/>
      <c r="C5" s="664" t="s">
        <v>277</v>
      </c>
      <c r="D5" s="665"/>
      <c r="E5" s="665"/>
      <c r="F5" s="665"/>
      <c r="G5" s="665"/>
      <c r="H5" s="665"/>
      <c r="I5" s="665"/>
      <c r="J5" s="665"/>
      <c r="K5" s="665"/>
      <c r="L5" s="666"/>
      <c r="M5" s="667" t="s">
        <v>278</v>
      </c>
      <c r="N5" s="668"/>
      <c r="O5" s="668"/>
      <c r="P5" s="668"/>
      <c r="Q5" s="668"/>
      <c r="R5" s="668"/>
      <c r="S5" s="669"/>
      <c r="T5" s="672" t="s">
        <v>364</v>
      </c>
      <c r="U5" s="672" t="s">
        <v>365</v>
      </c>
      <c r="V5" s="670" t="s">
        <v>121</v>
      </c>
    </row>
    <row r="6" spans="1:22" s="79" customFormat="1" ht="102">
      <c r="A6" s="77"/>
      <c r="B6" s="140"/>
      <c r="C6" s="141" t="s">
        <v>110</v>
      </c>
      <c r="D6" s="220" t="s">
        <v>111</v>
      </c>
      <c r="E6" s="164" t="s">
        <v>280</v>
      </c>
      <c r="F6" s="164" t="s">
        <v>281</v>
      </c>
      <c r="G6" s="220" t="s">
        <v>284</v>
      </c>
      <c r="H6" s="220" t="s">
        <v>279</v>
      </c>
      <c r="I6" s="220" t="s">
        <v>112</v>
      </c>
      <c r="J6" s="220" t="s">
        <v>113</v>
      </c>
      <c r="K6" s="142" t="s">
        <v>114</v>
      </c>
      <c r="L6" s="143" t="s">
        <v>115</v>
      </c>
      <c r="M6" s="141" t="s">
        <v>282</v>
      </c>
      <c r="N6" s="142" t="s">
        <v>116</v>
      </c>
      <c r="O6" s="142" t="s">
        <v>117</v>
      </c>
      <c r="P6" s="142" t="s">
        <v>118</v>
      </c>
      <c r="Q6" s="142" t="s">
        <v>119</v>
      </c>
      <c r="R6" s="142" t="s">
        <v>120</v>
      </c>
      <c r="S6" s="243" t="s">
        <v>283</v>
      </c>
      <c r="T6" s="673"/>
      <c r="U6" s="673"/>
      <c r="V6" s="671"/>
    </row>
    <row r="7" spans="1:22">
      <c r="A7" s="144">
        <v>1</v>
      </c>
      <c r="B7" s="1" t="s">
        <v>96</v>
      </c>
      <c r="C7" s="538"/>
      <c r="D7" s="531"/>
      <c r="E7" s="531"/>
      <c r="F7" s="531"/>
      <c r="G7" s="531"/>
      <c r="H7" s="531"/>
      <c r="I7" s="531"/>
      <c r="J7" s="531"/>
      <c r="K7" s="531"/>
      <c r="L7" s="534"/>
      <c r="M7" s="538"/>
      <c r="N7" s="531"/>
      <c r="O7" s="531"/>
      <c r="P7" s="531"/>
      <c r="Q7" s="531"/>
      <c r="R7" s="531"/>
      <c r="S7" s="534"/>
      <c r="T7" s="535"/>
      <c r="U7" s="536"/>
      <c r="V7" s="537">
        <f>SUM(C7:S7)</f>
        <v>0</v>
      </c>
    </row>
    <row r="8" spans="1:22">
      <c r="A8" s="144">
        <v>2</v>
      </c>
      <c r="B8" s="1" t="s">
        <v>97</v>
      </c>
      <c r="C8" s="538"/>
      <c r="D8" s="531"/>
      <c r="E8" s="531"/>
      <c r="F8" s="531"/>
      <c r="G8" s="531"/>
      <c r="H8" s="531"/>
      <c r="I8" s="531"/>
      <c r="J8" s="531"/>
      <c r="K8" s="531"/>
      <c r="L8" s="534"/>
      <c r="M8" s="538"/>
      <c r="N8" s="531"/>
      <c r="O8" s="531"/>
      <c r="P8" s="531"/>
      <c r="Q8" s="531"/>
      <c r="R8" s="531"/>
      <c r="S8" s="534"/>
      <c r="T8" s="536"/>
      <c r="U8" s="536"/>
      <c r="V8" s="537">
        <f t="shared" ref="V8:V20" si="0">SUM(C8:S8)</f>
        <v>0</v>
      </c>
    </row>
    <row r="9" spans="1:22">
      <c r="A9" s="144">
        <v>3</v>
      </c>
      <c r="B9" s="1" t="s">
        <v>270</v>
      </c>
      <c r="C9" s="538"/>
      <c r="D9" s="531"/>
      <c r="E9" s="531"/>
      <c r="F9" s="531"/>
      <c r="G9" s="531"/>
      <c r="H9" s="531"/>
      <c r="I9" s="531"/>
      <c r="J9" s="531"/>
      <c r="K9" s="531"/>
      <c r="L9" s="534"/>
      <c r="M9" s="538"/>
      <c r="N9" s="531"/>
      <c r="O9" s="531"/>
      <c r="P9" s="531"/>
      <c r="Q9" s="531"/>
      <c r="R9" s="531"/>
      <c r="S9" s="534"/>
      <c r="T9" s="536"/>
      <c r="U9" s="536"/>
      <c r="V9" s="537">
        <f t="shared" si="0"/>
        <v>0</v>
      </c>
    </row>
    <row r="10" spans="1:22">
      <c r="A10" s="144">
        <v>4</v>
      </c>
      <c r="B10" s="1" t="s">
        <v>98</v>
      </c>
      <c r="C10" s="538"/>
      <c r="D10" s="531"/>
      <c r="E10" s="531"/>
      <c r="F10" s="531"/>
      <c r="G10" s="531"/>
      <c r="H10" s="531"/>
      <c r="I10" s="531"/>
      <c r="J10" s="531"/>
      <c r="K10" s="531"/>
      <c r="L10" s="534"/>
      <c r="M10" s="538"/>
      <c r="N10" s="531"/>
      <c r="O10" s="531"/>
      <c r="P10" s="531"/>
      <c r="Q10" s="531"/>
      <c r="R10" s="531"/>
      <c r="S10" s="534"/>
      <c r="T10" s="536"/>
      <c r="U10" s="536"/>
      <c r="V10" s="537">
        <f t="shared" si="0"/>
        <v>0</v>
      </c>
    </row>
    <row r="11" spans="1:22">
      <c r="A11" s="144">
        <v>5</v>
      </c>
      <c r="B11" s="1" t="s">
        <v>99</v>
      </c>
      <c r="C11" s="538"/>
      <c r="D11" s="531"/>
      <c r="E11" s="531"/>
      <c r="F11" s="531"/>
      <c r="G11" s="531"/>
      <c r="H11" s="531"/>
      <c r="I11" s="531"/>
      <c r="J11" s="531"/>
      <c r="K11" s="531"/>
      <c r="L11" s="534"/>
      <c r="M11" s="538"/>
      <c r="N11" s="531"/>
      <c r="O11" s="531"/>
      <c r="P11" s="531"/>
      <c r="Q11" s="531"/>
      <c r="R11" s="531"/>
      <c r="S11" s="534"/>
      <c r="T11" s="536"/>
      <c r="U11" s="536"/>
      <c r="V11" s="537">
        <f t="shared" si="0"/>
        <v>0</v>
      </c>
    </row>
    <row r="12" spans="1:22">
      <c r="A12" s="144">
        <v>6</v>
      </c>
      <c r="B12" s="1" t="s">
        <v>100</v>
      </c>
      <c r="C12" s="538"/>
      <c r="D12" s="531"/>
      <c r="E12" s="531"/>
      <c r="F12" s="531"/>
      <c r="G12" s="531"/>
      <c r="H12" s="531"/>
      <c r="I12" s="531"/>
      <c r="J12" s="531"/>
      <c r="K12" s="531"/>
      <c r="L12" s="534"/>
      <c r="M12" s="538"/>
      <c r="N12" s="531"/>
      <c r="O12" s="531"/>
      <c r="P12" s="531"/>
      <c r="Q12" s="531"/>
      <c r="R12" s="531"/>
      <c r="S12" s="534"/>
      <c r="T12" s="536"/>
      <c r="U12" s="536"/>
      <c r="V12" s="537">
        <f t="shared" si="0"/>
        <v>0</v>
      </c>
    </row>
    <row r="13" spans="1:22">
      <c r="A13" s="144">
        <v>7</v>
      </c>
      <c r="B13" s="1" t="s">
        <v>101</v>
      </c>
      <c r="C13" s="538"/>
      <c r="D13" s="531">
        <v>38389778.273677096</v>
      </c>
      <c r="E13" s="531"/>
      <c r="F13" s="531"/>
      <c r="G13" s="531"/>
      <c r="H13" s="531"/>
      <c r="I13" s="531"/>
      <c r="J13" s="531"/>
      <c r="K13" s="531"/>
      <c r="L13" s="534"/>
      <c r="M13" s="538"/>
      <c r="N13" s="531"/>
      <c r="O13" s="531"/>
      <c r="P13" s="531"/>
      <c r="Q13" s="531"/>
      <c r="R13" s="531"/>
      <c r="S13" s="534"/>
      <c r="T13" s="536">
        <v>33921457.884307131</v>
      </c>
      <c r="U13" s="536">
        <v>4468320.3893699618</v>
      </c>
      <c r="V13" s="537">
        <f t="shared" si="0"/>
        <v>38389778.273677096</v>
      </c>
    </row>
    <row r="14" spans="1:22">
      <c r="A14" s="144">
        <v>8</v>
      </c>
      <c r="B14" s="1" t="s">
        <v>102</v>
      </c>
      <c r="C14" s="538"/>
      <c r="D14" s="531"/>
      <c r="E14" s="531"/>
      <c r="F14" s="531"/>
      <c r="G14" s="531"/>
      <c r="H14" s="531"/>
      <c r="I14" s="531"/>
      <c r="J14" s="531"/>
      <c r="K14" s="531"/>
      <c r="L14" s="534"/>
      <c r="M14" s="538"/>
      <c r="N14" s="531"/>
      <c r="O14" s="531"/>
      <c r="P14" s="531"/>
      <c r="Q14" s="531"/>
      <c r="R14" s="531"/>
      <c r="S14" s="534"/>
      <c r="T14" s="536"/>
      <c r="U14" s="536"/>
      <c r="V14" s="537">
        <f t="shared" si="0"/>
        <v>0</v>
      </c>
    </row>
    <row r="15" spans="1:22">
      <c r="A15" s="144">
        <v>9</v>
      </c>
      <c r="B15" s="1" t="s">
        <v>103</v>
      </c>
      <c r="C15" s="538"/>
      <c r="D15" s="531"/>
      <c r="E15" s="531"/>
      <c r="F15" s="531"/>
      <c r="G15" s="531"/>
      <c r="H15" s="531"/>
      <c r="I15" s="531"/>
      <c r="J15" s="531"/>
      <c r="K15" s="531"/>
      <c r="L15" s="534"/>
      <c r="M15" s="538"/>
      <c r="N15" s="531"/>
      <c r="O15" s="531"/>
      <c r="P15" s="531"/>
      <c r="Q15" s="531"/>
      <c r="R15" s="531"/>
      <c r="S15" s="534"/>
      <c r="T15" s="536"/>
      <c r="U15" s="536"/>
      <c r="V15" s="537">
        <f t="shared" si="0"/>
        <v>0</v>
      </c>
    </row>
    <row r="16" spans="1:22">
      <c r="A16" s="144">
        <v>10</v>
      </c>
      <c r="B16" s="1" t="s">
        <v>104</v>
      </c>
      <c r="C16" s="538"/>
      <c r="D16" s="531">
        <v>2500</v>
      </c>
      <c r="E16" s="531"/>
      <c r="F16" s="531"/>
      <c r="G16" s="531"/>
      <c r="H16" s="531"/>
      <c r="I16" s="531"/>
      <c r="J16" s="531"/>
      <c r="K16" s="531"/>
      <c r="L16" s="534"/>
      <c r="M16" s="538"/>
      <c r="N16" s="531"/>
      <c r="O16" s="531"/>
      <c r="P16" s="531"/>
      <c r="Q16" s="531"/>
      <c r="R16" s="531"/>
      <c r="S16" s="534"/>
      <c r="T16" s="536">
        <v>0</v>
      </c>
      <c r="U16" s="536">
        <v>2500</v>
      </c>
      <c r="V16" s="537">
        <f t="shared" si="0"/>
        <v>2500</v>
      </c>
    </row>
    <row r="17" spans="1:22">
      <c r="A17" s="144">
        <v>11</v>
      </c>
      <c r="B17" s="1" t="s">
        <v>105</v>
      </c>
      <c r="C17" s="538"/>
      <c r="D17" s="531"/>
      <c r="E17" s="531"/>
      <c r="F17" s="531"/>
      <c r="G17" s="531"/>
      <c r="H17" s="531"/>
      <c r="I17" s="531"/>
      <c r="J17" s="531"/>
      <c r="K17" s="531"/>
      <c r="L17" s="534"/>
      <c r="M17" s="538"/>
      <c r="N17" s="531"/>
      <c r="O17" s="531"/>
      <c r="P17" s="531"/>
      <c r="Q17" s="531"/>
      <c r="R17" s="531"/>
      <c r="S17" s="534"/>
      <c r="T17" s="536"/>
      <c r="U17" s="536"/>
      <c r="V17" s="537">
        <f t="shared" si="0"/>
        <v>0</v>
      </c>
    </row>
    <row r="18" spans="1:22">
      <c r="A18" s="144">
        <v>12</v>
      </c>
      <c r="B18" s="1" t="s">
        <v>106</v>
      </c>
      <c r="C18" s="538"/>
      <c r="D18" s="531"/>
      <c r="E18" s="531"/>
      <c r="F18" s="531"/>
      <c r="G18" s="531"/>
      <c r="H18" s="531"/>
      <c r="I18" s="531"/>
      <c r="J18" s="531"/>
      <c r="K18" s="531"/>
      <c r="L18" s="534"/>
      <c r="M18" s="538"/>
      <c r="N18" s="531"/>
      <c r="O18" s="531"/>
      <c r="P18" s="531"/>
      <c r="Q18" s="531"/>
      <c r="R18" s="531"/>
      <c r="S18" s="534"/>
      <c r="T18" s="536"/>
      <c r="U18" s="536"/>
      <c r="V18" s="537">
        <f t="shared" si="0"/>
        <v>0</v>
      </c>
    </row>
    <row r="19" spans="1:22">
      <c r="A19" s="144">
        <v>13</v>
      </c>
      <c r="B19" s="1" t="s">
        <v>107</v>
      </c>
      <c r="C19" s="538"/>
      <c r="D19" s="531"/>
      <c r="E19" s="531"/>
      <c r="F19" s="531"/>
      <c r="G19" s="531"/>
      <c r="H19" s="531"/>
      <c r="I19" s="531"/>
      <c r="J19" s="531"/>
      <c r="K19" s="531"/>
      <c r="L19" s="534"/>
      <c r="M19" s="538"/>
      <c r="N19" s="531"/>
      <c r="O19" s="531"/>
      <c r="P19" s="531"/>
      <c r="Q19" s="531"/>
      <c r="R19" s="531"/>
      <c r="S19" s="534"/>
      <c r="T19" s="536"/>
      <c r="U19" s="536"/>
      <c r="V19" s="537">
        <f t="shared" si="0"/>
        <v>0</v>
      </c>
    </row>
    <row r="20" spans="1:22">
      <c r="A20" s="144">
        <v>14</v>
      </c>
      <c r="B20" s="1" t="s">
        <v>108</v>
      </c>
      <c r="C20" s="538"/>
      <c r="D20" s="531">
        <v>554867.38844400004</v>
      </c>
      <c r="E20" s="531"/>
      <c r="F20" s="531"/>
      <c r="G20" s="531"/>
      <c r="H20" s="531"/>
      <c r="I20" s="531"/>
      <c r="J20" s="531"/>
      <c r="K20" s="531"/>
      <c r="L20" s="534"/>
      <c r="M20" s="538"/>
      <c r="N20" s="531"/>
      <c r="O20" s="531"/>
      <c r="P20" s="531"/>
      <c r="Q20" s="531"/>
      <c r="R20" s="531"/>
      <c r="S20" s="534"/>
      <c r="T20" s="536">
        <v>544367.38844400004</v>
      </c>
      <c r="U20" s="536">
        <v>10500</v>
      </c>
      <c r="V20" s="537">
        <f t="shared" si="0"/>
        <v>554867.38844400004</v>
      </c>
    </row>
    <row r="21" spans="1:22" ht="13.5" thickBot="1">
      <c r="A21" s="134"/>
      <c r="B21" s="145" t="s">
        <v>109</v>
      </c>
      <c r="C21" s="146">
        <f>SUM(C7:C20)</f>
        <v>0</v>
      </c>
      <c r="D21" s="136">
        <f t="shared" ref="D21:V21" si="1">SUM(D7:D20)</f>
        <v>38947145.662121095</v>
      </c>
      <c r="E21" s="136">
        <f t="shared" si="1"/>
        <v>0</v>
      </c>
      <c r="F21" s="136">
        <f t="shared" si="1"/>
        <v>0</v>
      </c>
      <c r="G21" s="136">
        <f t="shared" si="1"/>
        <v>0</v>
      </c>
      <c r="H21" s="136">
        <f t="shared" si="1"/>
        <v>0</v>
      </c>
      <c r="I21" s="136">
        <f t="shared" si="1"/>
        <v>0</v>
      </c>
      <c r="J21" s="136">
        <f t="shared" si="1"/>
        <v>0</v>
      </c>
      <c r="K21" s="136">
        <f t="shared" si="1"/>
        <v>0</v>
      </c>
      <c r="L21" s="147">
        <f t="shared" si="1"/>
        <v>0</v>
      </c>
      <c r="M21" s="146">
        <f t="shared" si="1"/>
        <v>0</v>
      </c>
      <c r="N21" s="136">
        <f t="shared" si="1"/>
        <v>0</v>
      </c>
      <c r="O21" s="136">
        <f t="shared" si="1"/>
        <v>0</v>
      </c>
      <c r="P21" s="136">
        <f t="shared" si="1"/>
        <v>0</v>
      </c>
      <c r="Q21" s="136">
        <f t="shared" si="1"/>
        <v>0</v>
      </c>
      <c r="R21" s="136">
        <f t="shared" si="1"/>
        <v>0</v>
      </c>
      <c r="S21" s="147">
        <f>SUM(S7:S20)</f>
        <v>0</v>
      </c>
      <c r="T21" s="147">
        <f>SUM(T7:T20)</f>
        <v>34465825.27275113</v>
      </c>
      <c r="U21" s="147">
        <f t="shared" ref="U21" si="2">SUM(U7:U20)</f>
        <v>4481320.3893699618</v>
      </c>
      <c r="V21" s="148">
        <f t="shared" si="1"/>
        <v>38947145.662121095</v>
      </c>
    </row>
    <row r="24" spans="1:22">
      <c r="C24" s="54"/>
      <c r="D24" s="54"/>
      <c r="E24" s="54"/>
    </row>
    <row r="25" spans="1:22">
      <c r="A25" s="76"/>
      <c r="B25" s="76"/>
      <c r="D25" s="54"/>
      <c r="E25" s="54"/>
    </row>
    <row r="26" spans="1:22">
      <c r="A26" s="76"/>
      <c r="B26" s="55"/>
      <c r="D26" s="54"/>
      <c r="E26" s="54"/>
    </row>
    <row r="27" spans="1:22">
      <c r="A27" s="76"/>
      <c r="B27" s="76"/>
      <c r="D27" s="54"/>
      <c r="E27" s="54"/>
    </row>
    <row r="28" spans="1:22">
      <c r="A28" s="76"/>
      <c r="B28" s="55"/>
      <c r="D28" s="54"/>
      <c r="E28" s="5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pane="topRight"/>
      <selection pane="bottomLeft"/>
      <selection pane="bottomRight" activeCell="H10" sqref="H10"/>
    </sheetView>
  </sheetViews>
  <sheetFormatPr defaultColWidth="9.28515625" defaultRowHeight="12.75"/>
  <cols>
    <col min="1" max="1" width="10.5703125" style="4" bestFit="1" customWidth="1"/>
    <col min="2" max="2" width="101.7109375" style="4" customWidth="1"/>
    <col min="3" max="3" width="13.7109375" style="225" customWidth="1"/>
    <col min="4" max="4" width="14.7109375" style="225" bestFit="1" customWidth="1"/>
    <col min="5" max="5" width="17.7109375" style="225" customWidth="1"/>
    <col min="6" max="6" width="15.7109375" style="225" customWidth="1"/>
    <col min="7" max="7" width="17.42578125" style="225" customWidth="1"/>
    <col min="8" max="8" width="15.28515625" style="225" customWidth="1"/>
    <col min="9" max="16384" width="9.28515625" style="31"/>
  </cols>
  <sheetData>
    <row r="1" spans="1:9">
      <c r="A1" s="2" t="s">
        <v>30</v>
      </c>
      <c r="B1" s="4" t="str">
        <f>'Info '!C2</f>
        <v>JSC CARTU BANK</v>
      </c>
      <c r="C1" s="3"/>
    </row>
    <row r="2" spans="1:9">
      <c r="A2" s="2" t="s">
        <v>31</v>
      </c>
      <c r="B2" s="540">
        <f>'1. key ratios '!B2</f>
        <v>44742</v>
      </c>
      <c r="C2" s="370"/>
    </row>
    <row r="4" spans="1:9" ht="13.5" thickBot="1">
      <c r="A4" s="2" t="s">
        <v>253</v>
      </c>
      <c r="B4" s="137" t="s">
        <v>376</v>
      </c>
    </row>
    <row r="5" spans="1:9">
      <c r="A5" s="138"/>
      <c r="B5" s="149"/>
      <c r="C5" s="252" t="s">
        <v>0</v>
      </c>
      <c r="D5" s="252" t="s">
        <v>1</v>
      </c>
      <c r="E5" s="252" t="s">
        <v>2</v>
      </c>
      <c r="F5" s="252" t="s">
        <v>3</v>
      </c>
      <c r="G5" s="253" t="s">
        <v>4</v>
      </c>
      <c r="H5" s="254" t="s">
        <v>5</v>
      </c>
      <c r="I5" s="150"/>
    </row>
    <row r="6" spans="1:9" s="150" customFormat="1" ht="12.75" customHeight="1">
      <c r="A6" s="151"/>
      <c r="B6" s="676" t="s">
        <v>252</v>
      </c>
      <c r="C6" s="662" t="s">
        <v>368</v>
      </c>
      <c r="D6" s="678" t="s">
        <v>367</v>
      </c>
      <c r="E6" s="679"/>
      <c r="F6" s="662" t="s">
        <v>372</v>
      </c>
      <c r="G6" s="662" t="s">
        <v>373</v>
      </c>
      <c r="H6" s="674" t="s">
        <v>371</v>
      </c>
    </row>
    <row r="7" spans="1:9" ht="38.25">
      <c r="A7" s="153"/>
      <c r="B7" s="677"/>
      <c r="C7" s="663"/>
      <c r="D7" s="255" t="s">
        <v>370</v>
      </c>
      <c r="E7" s="255" t="s">
        <v>369</v>
      </c>
      <c r="F7" s="663"/>
      <c r="G7" s="663"/>
      <c r="H7" s="675"/>
      <c r="I7" s="150"/>
    </row>
    <row r="8" spans="1:9">
      <c r="A8" s="151">
        <v>1</v>
      </c>
      <c r="B8" s="1" t="s">
        <v>96</v>
      </c>
      <c r="C8" s="531">
        <v>278102946</v>
      </c>
      <c r="D8" s="531"/>
      <c r="E8" s="531"/>
      <c r="F8" s="531">
        <v>247527671</v>
      </c>
      <c r="G8" s="532">
        <v>247527671</v>
      </c>
      <c r="H8" s="539">
        <f>IFERROR(G8/(C8+E8),0)</f>
        <v>0.89005770906144954</v>
      </c>
    </row>
    <row r="9" spans="1:9" ht="15" customHeight="1">
      <c r="A9" s="151">
        <v>2</v>
      </c>
      <c r="B9" s="1" t="s">
        <v>97</v>
      </c>
      <c r="C9" s="531">
        <v>0</v>
      </c>
      <c r="D9" s="531"/>
      <c r="E9" s="531"/>
      <c r="F9" s="531">
        <v>0</v>
      </c>
      <c r="G9" s="532">
        <v>0</v>
      </c>
      <c r="H9" s="539">
        <f t="shared" ref="H9:H21" si="0">IFERROR(G9/(C9+E9),0)</f>
        <v>0</v>
      </c>
    </row>
    <row r="10" spans="1:9">
      <c r="A10" s="151">
        <v>3</v>
      </c>
      <c r="B10" s="1" t="s">
        <v>270</v>
      </c>
      <c r="C10" s="531">
        <v>0</v>
      </c>
      <c r="D10" s="531"/>
      <c r="E10" s="531"/>
      <c r="F10" s="531">
        <v>0</v>
      </c>
      <c r="G10" s="532">
        <v>0</v>
      </c>
      <c r="H10" s="539">
        <f t="shared" si="0"/>
        <v>0</v>
      </c>
    </row>
    <row r="11" spans="1:9">
      <c r="A11" s="151">
        <v>4</v>
      </c>
      <c r="B11" s="1" t="s">
        <v>98</v>
      </c>
      <c r="C11" s="531">
        <v>0</v>
      </c>
      <c r="D11" s="531"/>
      <c r="E11" s="531"/>
      <c r="F11" s="531">
        <v>0</v>
      </c>
      <c r="G11" s="532">
        <v>0</v>
      </c>
      <c r="H11" s="539">
        <f t="shared" si="0"/>
        <v>0</v>
      </c>
    </row>
    <row r="12" spans="1:9">
      <c r="A12" s="151">
        <v>5</v>
      </c>
      <c r="B12" s="1" t="s">
        <v>99</v>
      </c>
      <c r="C12" s="531">
        <v>0</v>
      </c>
      <c r="D12" s="531"/>
      <c r="E12" s="531"/>
      <c r="F12" s="531">
        <v>0</v>
      </c>
      <c r="G12" s="532">
        <v>0</v>
      </c>
      <c r="H12" s="539">
        <f t="shared" si="0"/>
        <v>0</v>
      </c>
    </row>
    <row r="13" spans="1:9">
      <c r="A13" s="151">
        <v>6</v>
      </c>
      <c r="B13" s="1" t="s">
        <v>100</v>
      </c>
      <c r="C13" s="531">
        <v>347802556.99000001</v>
      </c>
      <c r="D13" s="531"/>
      <c r="E13" s="531"/>
      <c r="F13" s="531">
        <v>127062872.13600001</v>
      </c>
      <c r="G13" s="532">
        <v>127062872.13600001</v>
      </c>
      <c r="H13" s="539">
        <f t="shared" si="0"/>
        <v>0.36533047150557124</v>
      </c>
    </row>
    <row r="14" spans="1:9">
      <c r="A14" s="151">
        <v>7</v>
      </c>
      <c r="B14" s="1" t="s">
        <v>101</v>
      </c>
      <c r="C14" s="531">
        <v>621449880.86592734</v>
      </c>
      <c r="D14" s="531">
        <v>57292616.877772905</v>
      </c>
      <c r="E14" s="531">
        <v>31730212.750607952</v>
      </c>
      <c r="F14" s="531">
        <v>653180093.61653531</v>
      </c>
      <c r="G14" s="532">
        <v>614790315.3428582</v>
      </c>
      <c r="H14" s="539">
        <f t="shared" si="0"/>
        <v>0.94122634990126519</v>
      </c>
    </row>
    <row r="15" spans="1:9">
      <c r="A15" s="151">
        <v>8</v>
      </c>
      <c r="B15" s="1" t="s">
        <v>102</v>
      </c>
      <c r="C15" s="531">
        <v>0</v>
      </c>
      <c r="D15" s="531"/>
      <c r="E15" s="531">
        <v>0</v>
      </c>
      <c r="F15" s="531">
        <v>0</v>
      </c>
      <c r="G15" s="532">
        <v>0</v>
      </c>
      <c r="H15" s="539">
        <f t="shared" si="0"/>
        <v>0</v>
      </c>
    </row>
    <row r="16" spans="1:9">
      <c r="A16" s="151">
        <v>9</v>
      </c>
      <c r="B16" s="1" t="s">
        <v>103</v>
      </c>
      <c r="C16" s="531">
        <v>0</v>
      </c>
      <c r="D16" s="531"/>
      <c r="E16" s="531">
        <v>0</v>
      </c>
      <c r="F16" s="531">
        <v>0</v>
      </c>
      <c r="G16" s="532">
        <v>0</v>
      </c>
      <c r="H16" s="539">
        <f t="shared" si="0"/>
        <v>0</v>
      </c>
    </row>
    <row r="17" spans="1:8">
      <c r="A17" s="151">
        <v>10</v>
      </c>
      <c r="B17" s="1" t="s">
        <v>104</v>
      </c>
      <c r="C17" s="531">
        <v>92062293.133355066</v>
      </c>
      <c r="D17" s="531">
        <v>354189.96999996901</v>
      </c>
      <c r="E17" s="531">
        <v>177094.9849999845</v>
      </c>
      <c r="F17" s="531">
        <v>92239388.118355051</v>
      </c>
      <c r="G17" s="532">
        <v>92236888.118355051</v>
      </c>
      <c r="H17" s="539">
        <f t="shared" si="0"/>
        <v>0.99997289661118749</v>
      </c>
    </row>
    <row r="18" spans="1:8">
      <c r="A18" s="151">
        <v>11</v>
      </c>
      <c r="B18" s="1" t="s">
        <v>105</v>
      </c>
      <c r="C18" s="531">
        <v>0</v>
      </c>
      <c r="D18" s="531"/>
      <c r="E18" s="531">
        <v>0</v>
      </c>
      <c r="F18" s="531">
        <v>0</v>
      </c>
      <c r="G18" s="532">
        <v>0</v>
      </c>
      <c r="H18" s="539">
        <f t="shared" si="0"/>
        <v>0</v>
      </c>
    </row>
    <row r="19" spans="1:8">
      <c r="A19" s="151">
        <v>12</v>
      </c>
      <c r="B19" s="1" t="s">
        <v>106</v>
      </c>
      <c r="C19" s="531">
        <v>0</v>
      </c>
      <c r="D19" s="531"/>
      <c r="E19" s="531">
        <v>0</v>
      </c>
      <c r="F19" s="531">
        <v>0</v>
      </c>
      <c r="G19" s="532">
        <v>0</v>
      </c>
      <c r="H19" s="539">
        <f t="shared" si="0"/>
        <v>0</v>
      </c>
    </row>
    <row r="20" spans="1:8">
      <c r="A20" s="151">
        <v>13</v>
      </c>
      <c r="B20" s="1" t="s">
        <v>247</v>
      </c>
      <c r="C20" s="531">
        <v>0</v>
      </c>
      <c r="D20" s="531"/>
      <c r="E20" s="531">
        <v>0</v>
      </c>
      <c r="F20" s="531">
        <v>0</v>
      </c>
      <c r="G20" s="532">
        <v>0</v>
      </c>
      <c r="H20" s="539">
        <f t="shared" si="0"/>
        <v>0</v>
      </c>
    </row>
    <row r="21" spans="1:8">
      <c r="A21" s="151">
        <v>14</v>
      </c>
      <c r="B21" s="1" t="s">
        <v>108</v>
      </c>
      <c r="C21" s="531">
        <v>117388602.01750501</v>
      </c>
      <c r="D21" s="531">
        <v>2531915.8676999984</v>
      </c>
      <c r="E21" s="531">
        <v>1265957.9338499992</v>
      </c>
      <c r="F21" s="531">
        <v>120834495.45135501</v>
      </c>
      <c r="G21" s="532">
        <v>120279628.062911</v>
      </c>
      <c r="H21" s="539">
        <f t="shared" si="0"/>
        <v>1.0136957914826217</v>
      </c>
    </row>
    <row r="22" spans="1:8" ht="13.5" thickBot="1">
      <c r="A22" s="154"/>
      <c r="B22" s="155" t="s">
        <v>109</v>
      </c>
      <c r="C22" s="256">
        <f>SUM(C8:C21)</f>
        <v>1456806279.0067875</v>
      </c>
      <c r="D22" s="256">
        <f>SUM(D8:D21)</f>
        <v>60178722.71547287</v>
      </c>
      <c r="E22" s="256">
        <f>SUM(E8:E21)</f>
        <v>33173265.669457935</v>
      </c>
      <c r="F22" s="256">
        <f>SUM(F8:F21)</f>
        <v>1240844520.3222454</v>
      </c>
      <c r="G22" s="256">
        <f>SUM(G8:G21)</f>
        <v>1201897374.6601243</v>
      </c>
      <c r="H22" s="257">
        <f>G22/(C22+E22)</f>
        <v>0.80665360739652436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225" bestFit="1" customWidth="1"/>
    <col min="2" max="2" width="104.28515625" style="225" customWidth="1"/>
    <col min="3" max="3" width="12.7109375" style="225" customWidth="1"/>
    <col min="4" max="5" width="13.5703125" style="225" bestFit="1" customWidth="1"/>
    <col min="6" max="11" width="12.7109375" style="225" customWidth="1"/>
    <col min="12" max="16384" width="9.28515625" style="225"/>
  </cols>
  <sheetData>
    <row r="1" spans="1:11">
      <c r="A1" s="225" t="s">
        <v>30</v>
      </c>
      <c r="B1" s="3" t="str">
        <f>'Info '!C2</f>
        <v>JSC CARTU BANK</v>
      </c>
    </row>
    <row r="2" spans="1:11">
      <c r="A2" s="225" t="s">
        <v>31</v>
      </c>
      <c r="B2" s="370">
        <f>'1. key ratios '!B2</f>
        <v>44742</v>
      </c>
    </row>
    <row r="4" spans="1:11" ht="13.5" thickBot="1">
      <c r="A4" s="225" t="s">
        <v>249</v>
      </c>
      <c r="B4" s="291" t="s">
        <v>377</v>
      </c>
    </row>
    <row r="5" spans="1:11" ht="30" customHeight="1">
      <c r="A5" s="680"/>
      <c r="B5" s="681"/>
      <c r="C5" s="682" t="s">
        <v>429</v>
      </c>
      <c r="D5" s="682"/>
      <c r="E5" s="682"/>
      <c r="F5" s="682" t="s">
        <v>430</v>
      </c>
      <c r="G5" s="682"/>
      <c r="H5" s="682"/>
      <c r="I5" s="682" t="s">
        <v>431</v>
      </c>
      <c r="J5" s="682"/>
      <c r="K5" s="683"/>
    </row>
    <row r="6" spans="1:11">
      <c r="A6" s="266"/>
      <c r="B6" s="267"/>
      <c r="C6" s="21" t="s">
        <v>69</v>
      </c>
      <c r="D6" s="21" t="s">
        <v>70</v>
      </c>
      <c r="E6" s="21" t="s">
        <v>71</v>
      </c>
      <c r="F6" s="21" t="s">
        <v>69</v>
      </c>
      <c r="G6" s="21" t="s">
        <v>70</v>
      </c>
      <c r="H6" s="21" t="s">
        <v>71</v>
      </c>
      <c r="I6" s="21" t="s">
        <v>69</v>
      </c>
      <c r="J6" s="21" t="s">
        <v>70</v>
      </c>
      <c r="K6" s="21" t="s">
        <v>71</v>
      </c>
    </row>
    <row r="7" spans="1:11">
      <c r="A7" s="268" t="s">
        <v>380</v>
      </c>
      <c r="B7" s="269"/>
      <c r="C7" s="269"/>
      <c r="D7" s="269"/>
      <c r="E7" s="269"/>
      <c r="F7" s="269"/>
      <c r="G7" s="269"/>
      <c r="H7" s="269"/>
      <c r="I7" s="269"/>
      <c r="J7" s="269"/>
      <c r="K7" s="270"/>
    </row>
    <row r="8" spans="1:11">
      <c r="A8" s="271">
        <v>1</v>
      </c>
      <c r="B8" s="272" t="s">
        <v>378</v>
      </c>
      <c r="C8" s="462"/>
      <c r="D8" s="462"/>
      <c r="E8" s="462"/>
      <c r="F8" s="541">
        <v>57477212.033846155</v>
      </c>
      <c r="G8" s="542">
        <v>573667122.77459538</v>
      </c>
      <c r="H8" s="542">
        <v>631144334.8084414</v>
      </c>
      <c r="I8" s="542">
        <v>41997283.171978027</v>
      </c>
      <c r="J8" s="542">
        <v>253437694.26833138</v>
      </c>
      <c r="K8" s="543">
        <v>295434977.44030941</v>
      </c>
    </row>
    <row r="9" spans="1:11">
      <c r="A9" s="268" t="s">
        <v>381</v>
      </c>
      <c r="B9" s="269"/>
      <c r="C9" s="544"/>
      <c r="D9" s="544"/>
      <c r="E9" s="544"/>
      <c r="F9" s="544"/>
      <c r="G9" s="544"/>
      <c r="H9" s="544"/>
      <c r="I9" s="544"/>
      <c r="J9" s="544"/>
      <c r="K9" s="270"/>
    </row>
    <row r="10" spans="1:11">
      <c r="A10" s="273">
        <v>2</v>
      </c>
      <c r="B10" s="274" t="s">
        <v>389</v>
      </c>
      <c r="C10" s="541">
        <v>17489026.446607806</v>
      </c>
      <c r="D10" s="542">
        <v>383619946.65988237</v>
      </c>
      <c r="E10" s="542">
        <v>401108973.10649031</v>
      </c>
      <c r="F10" s="541">
        <v>2933038.2936567254</v>
      </c>
      <c r="G10" s="542">
        <v>70023894.101130173</v>
      </c>
      <c r="H10" s="542">
        <v>72956932.394786909</v>
      </c>
      <c r="I10" s="541">
        <v>646166.94861830189</v>
      </c>
      <c r="J10" s="542">
        <v>8202098.2825512243</v>
      </c>
      <c r="K10" s="543">
        <v>8848265.2311695255</v>
      </c>
    </row>
    <row r="11" spans="1:11">
      <c r="A11" s="273">
        <v>3</v>
      </c>
      <c r="B11" s="274" t="s">
        <v>383</v>
      </c>
      <c r="C11" s="541">
        <v>113255167.73802195</v>
      </c>
      <c r="D11" s="542">
        <v>733600239.92610335</v>
      </c>
      <c r="E11" s="542">
        <v>846855407.6641252</v>
      </c>
      <c r="F11" s="541">
        <v>20781386.180002749</v>
      </c>
      <c r="G11" s="542">
        <v>267246552.22400317</v>
      </c>
      <c r="H11" s="542">
        <v>288027938.404006</v>
      </c>
      <c r="I11" s="541">
        <v>16601921.608626373</v>
      </c>
      <c r="J11" s="542">
        <v>125412740.33157651</v>
      </c>
      <c r="K11" s="543">
        <v>142014661.94020289</v>
      </c>
    </row>
    <row r="12" spans="1:11">
      <c r="A12" s="273">
        <v>4</v>
      </c>
      <c r="B12" s="274" t="s">
        <v>384</v>
      </c>
      <c r="C12" s="541">
        <v>0</v>
      </c>
      <c r="D12" s="542">
        <v>0</v>
      </c>
      <c r="E12" s="542">
        <v>0</v>
      </c>
      <c r="F12" s="541">
        <v>0</v>
      </c>
      <c r="G12" s="542">
        <v>0</v>
      </c>
      <c r="H12" s="542">
        <v>0</v>
      </c>
      <c r="I12" s="541">
        <v>0</v>
      </c>
      <c r="J12" s="542">
        <v>0</v>
      </c>
      <c r="K12" s="543">
        <v>0</v>
      </c>
    </row>
    <row r="13" spans="1:11">
      <c r="A13" s="273">
        <v>5</v>
      </c>
      <c r="B13" s="274" t="s">
        <v>392</v>
      </c>
      <c r="C13" s="541">
        <v>28492581.664971273</v>
      </c>
      <c r="D13" s="542">
        <v>26798895.877375096</v>
      </c>
      <c r="E13" s="542">
        <v>55291477.542346396</v>
      </c>
      <c r="F13" s="541">
        <v>7362562.0971362265</v>
      </c>
      <c r="G13" s="542">
        <v>6450192.941171254</v>
      </c>
      <c r="H13" s="542">
        <v>13812755.038307481</v>
      </c>
      <c r="I13" s="541">
        <v>2888101.0027663591</v>
      </c>
      <c r="J13" s="542">
        <v>2065633.8281867441</v>
      </c>
      <c r="K13" s="543">
        <v>4953734.8309531026</v>
      </c>
    </row>
    <row r="14" spans="1:11">
      <c r="A14" s="273">
        <v>6</v>
      </c>
      <c r="B14" s="274" t="s">
        <v>424</v>
      </c>
      <c r="C14" s="541"/>
      <c r="D14" s="542"/>
      <c r="E14" s="542"/>
      <c r="F14" s="541"/>
      <c r="G14" s="542"/>
      <c r="H14" s="542"/>
      <c r="I14" s="541"/>
      <c r="J14" s="542"/>
      <c r="K14" s="543"/>
    </row>
    <row r="15" spans="1:11">
      <c r="A15" s="273">
        <v>7</v>
      </c>
      <c r="B15" s="274" t="s">
        <v>425</v>
      </c>
      <c r="C15" s="541">
        <v>15050710.722197808</v>
      </c>
      <c r="D15" s="542">
        <v>18788741.823516481</v>
      </c>
      <c r="E15" s="542">
        <v>33839452.545714281</v>
      </c>
      <c r="F15" s="541">
        <v>3016469.4452447989</v>
      </c>
      <c r="G15" s="542">
        <v>8794232.8279950861</v>
      </c>
      <c r="H15" s="542">
        <v>11810702.273239885</v>
      </c>
      <c r="I15" s="541">
        <v>3016469.4452447989</v>
      </c>
      <c r="J15" s="542">
        <v>8794232.8279950861</v>
      </c>
      <c r="K15" s="543">
        <v>11810702.273239885</v>
      </c>
    </row>
    <row r="16" spans="1:11">
      <c r="A16" s="273">
        <v>8</v>
      </c>
      <c r="B16" s="275" t="s">
        <v>385</v>
      </c>
      <c r="C16" s="545">
        <f>SUM(C10:C15)</f>
        <v>174287486.57179883</v>
      </c>
      <c r="D16" s="545">
        <f t="shared" ref="D16:K16" si="0">SUM(D10:D15)</f>
        <v>1162807824.2868772</v>
      </c>
      <c r="E16" s="545">
        <f t="shared" si="0"/>
        <v>1337095310.8586764</v>
      </c>
      <c r="F16" s="545">
        <f t="shared" si="0"/>
        <v>34093456.016040497</v>
      </c>
      <c r="G16" s="545">
        <f t="shared" si="0"/>
        <v>352514872.09429961</v>
      </c>
      <c r="H16" s="545">
        <f t="shared" si="0"/>
        <v>386608328.1103403</v>
      </c>
      <c r="I16" s="545">
        <f t="shared" si="0"/>
        <v>23152659.005255833</v>
      </c>
      <c r="J16" s="545">
        <f t="shared" si="0"/>
        <v>144474705.27030957</v>
      </c>
      <c r="K16" s="546">
        <f t="shared" si="0"/>
        <v>167627364.27556539</v>
      </c>
    </row>
    <row r="17" spans="1:11">
      <c r="A17" s="268" t="s">
        <v>382</v>
      </c>
      <c r="B17" s="269"/>
      <c r="C17" s="541"/>
      <c r="D17" s="542"/>
      <c r="E17" s="542"/>
      <c r="F17" s="541"/>
      <c r="G17" s="542"/>
      <c r="H17" s="542"/>
      <c r="I17" s="541"/>
      <c r="J17" s="542"/>
      <c r="K17" s="543"/>
    </row>
    <row r="18" spans="1:11">
      <c r="A18" s="273">
        <v>9</v>
      </c>
      <c r="B18" s="274" t="s">
        <v>388</v>
      </c>
      <c r="C18" s="541">
        <v>0</v>
      </c>
      <c r="D18" s="542">
        <v>0</v>
      </c>
      <c r="E18" s="542">
        <v>0</v>
      </c>
      <c r="F18" s="541">
        <v>0</v>
      </c>
      <c r="G18" s="542">
        <v>0</v>
      </c>
      <c r="H18" s="542">
        <v>0</v>
      </c>
      <c r="I18" s="541">
        <v>0</v>
      </c>
      <c r="J18" s="542">
        <v>0</v>
      </c>
      <c r="K18" s="543">
        <v>0</v>
      </c>
    </row>
    <row r="19" spans="1:11">
      <c r="A19" s="273">
        <v>10</v>
      </c>
      <c r="B19" s="274" t="s">
        <v>426</v>
      </c>
      <c r="C19" s="541">
        <v>232879076.28668129</v>
      </c>
      <c r="D19" s="542">
        <v>684599743.49404013</v>
      </c>
      <c r="E19" s="542">
        <v>917478819.78072214</v>
      </c>
      <c r="F19" s="541">
        <v>16256554.719541844</v>
      </c>
      <c r="G19" s="542">
        <v>9468567.9098274112</v>
      </c>
      <c r="H19" s="542">
        <v>25725122.629369263</v>
      </c>
      <c r="I19" s="541">
        <v>31736765.806904484</v>
      </c>
      <c r="J19" s="542">
        <v>345533262.79191542</v>
      </c>
      <c r="K19" s="543">
        <v>377270028.59881973</v>
      </c>
    </row>
    <row r="20" spans="1:11">
      <c r="A20" s="273">
        <v>11</v>
      </c>
      <c r="B20" s="274" t="s">
        <v>387</v>
      </c>
      <c r="C20" s="541">
        <v>12280867.401387975</v>
      </c>
      <c r="D20" s="542">
        <v>8431758.8966593426</v>
      </c>
      <c r="E20" s="542">
        <v>20712626.2980473</v>
      </c>
      <c r="F20" s="541">
        <v>256884.55263736262</v>
      </c>
      <c r="G20" s="542">
        <v>4465470.3517582407</v>
      </c>
      <c r="H20" s="542">
        <v>4722354.9043956045</v>
      </c>
      <c r="I20" s="541">
        <v>256884.55263736262</v>
      </c>
      <c r="J20" s="542">
        <v>4465470.3517582407</v>
      </c>
      <c r="K20" s="543">
        <v>4722354.9043956045</v>
      </c>
    </row>
    <row r="21" spans="1:11" ht="13.5" thickBot="1">
      <c r="A21" s="276">
        <v>12</v>
      </c>
      <c r="B21" s="277" t="s">
        <v>386</v>
      </c>
      <c r="C21" s="547">
        <f>SUM(C18:C20)</f>
        <v>245159943.68806928</v>
      </c>
      <c r="D21" s="547">
        <f t="shared" ref="D21:K21" si="1">SUM(D18:D20)</f>
        <v>693031502.39069951</v>
      </c>
      <c r="E21" s="547">
        <f t="shared" si="1"/>
        <v>938191446.07876945</v>
      </c>
      <c r="F21" s="547">
        <f t="shared" si="1"/>
        <v>16513439.272179207</v>
      </c>
      <c r="G21" s="547">
        <f t="shared" si="1"/>
        <v>13934038.261585653</v>
      </c>
      <c r="H21" s="547">
        <f t="shared" si="1"/>
        <v>30447477.533764869</v>
      </c>
      <c r="I21" s="547">
        <f t="shared" si="1"/>
        <v>31993650.359541845</v>
      </c>
      <c r="J21" s="547">
        <f t="shared" si="1"/>
        <v>349998733.14367366</v>
      </c>
      <c r="K21" s="548">
        <f t="shared" si="1"/>
        <v>381992383.50321531</v>
      </c>
    </row>
    <row r="22" spans="1:11" ht="38.25" customHeight="1" thickBot="1">
      <c r="A22" s="278"/>
      <c r="B22" s="279"/>
      <c r="C22" s="279"/>
      <c r="D22" s="279"/>
      <c r="E22" s="279"/>
      <c r="F22" s="684" t="s">
        <v>428</v>
      </c>
      <c r="G22" s="682"/>
      <c r="H22" s="682"/>
      <c r="I22" s="684" t="s">
        <v>393</v>
      </c>
      <c r="J22" s="682"/>
      <c r="K22" s="683"/>
    </row>
    <row r="23" spans="1:11">
      <c r="A23" s="280">
        <v>13</v>
      </c>
      <c r="B23" s="281" t="s">
        <v>378</v>
      </c>
      <c r="C23" s="282"/>
      <c r="D23" s="282"/>
      <c r="E23" s="282"/>
      <c r="F23" s="549">
        <f>F8</f>
        <v>57477212.033846155</v>
      </c>
      <c r="G23" s="549">
        <f t="shared" ref="G23:K23" si="2">G8</f>
        <v>573667122.77459538</v>
      </c>
      <c r="H23" s="549">
        <f t="shared" si="2"/>
        <v>631144334.8084414</v>
      </c>
      <c r="I23" s="549">
        <f t="shared" si="2"/>
        <v>41997283.171978027</v>
      </c>
      <c r="J23" s="549">
        <f t="shared" si="2"/>
        <v>253437694.26833138</v>
      </c>
      <c r="K23" s="550">
        <f t="shared" si="2"/>
        <v>295434977.44030941</v>
      </c>
    </row>
    <row r="24" spans="1:11" ht="13.5" thickBot="1">
      <c r="A24" s="283">
        <v>14</v>
      </c>
      <c r="B24" s="284" t="s">
        <v>390</v>
      </c>
      <c r="C24" s="285"/>
      <c r="D24" s="286"/>
      <c r="E24" s="287"/>
      <c r="F24" s="551">
        <f>MAX(F16-F21,F16*0.25)</f>
        <v>17580016.743861288</v>
      </c>
      <c r="G24" s="551">
        <f t="shared" ref="G24:K24" si="3">MAX(G16-G21,G16*0.25)</f>
        <v>338580833.83271396</v>
      </c>
      <c r="H24" s="551">
        <f t="shared" si="3"/>
        <v>356160850.5765754</v>
      </c>
      <c r="I24" s="551">
        <f t="shared" si="3"/>
        <v>5788164.7513139583</v>
      </c>
      <c r="J24" s="551">
        <f t="shared" si="3"/>
        <v>36118676.317577392</v>
      </c>
      <c r="K24" s="552">
        <f t="shared" si="3"/>
        <v>41906841.068891346</v>
      </c>
    </row>
    <row r="25" spans="1:11" ht="13.5" thickBot="1">
      <c r="A25" s="288">
        <v>15</v>
      </c>
      <c r="B25" s="289" t="s">
        <v>391</v>
      </c>
      <c r="C25" s="290"/>
      <c r="D25" s="290"/>
      <c r="E25" s="290"/>
      <c r="F25" s="553">
        <f>F23/F24</f>
        <v>3.2694628720371637</v>
      </c>
      <c r="G25" s="553">
        <f t="shared" ref="G25:K25" si="4">G23/G24</f>
        <v>1.6943284009337423</v>
      </c>
      <c r="H25" s="553">
        <f t="shared" si="4"/>
        <v>1.7720766720618102</v>
      </c>
      <c r="I25" s="553">
        <f t="shared" si="4"/>
        <v>7.2557166176799504</v>
      </c>
      <c r="J25" s="553">
        <f t="shared" si="4"/>
        <v>7.0168046037997867</v>
      </c>
      <c r="K25" s="554">
        <f t="shared" si="4"/>
        <v>7.049803084766971</v>
      </c>
    </row>
    <row r="27" spans="1:11" ht="25.5">
      <c r="B27" s="265"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selection pane="bottomLeft"/>
      <selection pane="bottomRight"/>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1"/>
  </cols>
  <sheetData>
    <row r="1" spans="1:14">
      <c r="A1" s="4" t="s">
        <v>30</v>
      </c>
      <c r="B1" s="3" t="str">
        <f>'Info '!C2</f>
        <v>JSC CARTU BANK</v>
      </c>
    </row>
    <row r="2" spans="1:14" ht="14.25" customHeight="1">
      <c r="A2" s="4" t="s">
        <v>31</v>
      </c>
      <c r="B2" s="370">
        <f>'1. key ratios '!B2</f>
        <v>44742</v>
      </c>
    </row>
    <row r="3" spans="1:14" ht="14.25" customHeight="1"/>
    <row r="4" spans="1:14" ht="13.5" thickBot="1">
      <c r="A4" s="4" t="s">
        <v>265</v>
      </c>
      <c r="B4" s="219" t="s">
        <v>28</v>
      </c>
    </row>
    <row r="5" spans="1:14" s="161" customFormat="1">
      <c r="A5" s="157"/>
      <c r="B5" s="158"/>
      <c r="C5" s="159" t="s">
        <v>0</v>
      </c>
      <c r="D5" s="159" t="s">
        <v>1</v>
      </c>
      <c r="E5" s="159" t="s">
        <v>2</v>
      </c>
      <c r="F5" s="159" t="s">
        <v>3</v>
      </c>
      <c r="G5" s="159" t="s">
        <v>4</v>
      </c>
      <c r="H5" s="159" t="s">
        <v>5</v>
      </c>
      <c r="I5" s="159" t="s">
        <v>8</v>
      </c>
      <c r="J5" s="159" t="s">
        <v>9</v>
      </c>
      <c r="K5" s="159" t="s">
        <v>10</v>
      </c>
      <c r="L5" s="159" t="s">
        <v>11</v>
      </c>
      <c r="M5" s="159" t="s">
        <v>12</v>
      </c>
      <c r="N5" s="160" t="s">
        <v>13</v>
      </c>
    </row>
    <row r="6" spans="1:14" ht="25.5">
      <c r="A6" s="162"/>
      <c r="B6" s="163"/>
      <c r="C6" s="164" t="s">
        <v>264</v>
      </c>
      <c r="D6" s="165" t="s">
        <v>263</v>
      </c>
      <c r="E6" s="166" t="s">
        <v>262</v>
      </c>
      <c r="F6" s="167">
        <v>0</v>
      </c>
      <c r="G6" s="167">
        <v>0.2</v>
      </c>
      <c r="H6" s="167">
        <v>0.35</v>
      </c>
      <c r="I6" s="167">
        <v>0.5</v>
      </c>
      <c r="J6" s="167">
        <v>0.75</v>
      </c>
      <c r="K6" s="167">
        <v>1</v>
      </c>
      <c r="L6" s="167">
        <v>1.5</v>
      </c>
      <c r="M6" s="167">
        <v>2.5</v>
      </c>
      <c r="N6" s="218" t="s">
        <v>276</v>
      </c>
    </row>
    <row r="7" spans="1:14" ht="15">
      <c r="A7" s="168">
        <v>1</v>
      </c>
      <c r="B7" s="169" t="s">
        <v>261</v>
      </c>
      <c r="C7" s="170">
        <f>SUM(C8:C13)</f>
        <v>0</v>
      </c>
      <c r="D7" s="163"/>
      <c r="E7" s="171">
        <f t="shared" ref="E7:M7" si="0">SUM(E8:E13)</f>
        <v>0</v>
      </c>
      <c r="F7" s="172">
        <f>SUM(F8:F13)</f>
        <v>0</v>
      </c>
      <c r="G7" s="172">
        <f t="shared" si="0"/>
        <v>0</v>
      </c>
      <c r="H7" s="172">
        <f t="shared" si="0"/>
        <v>0</v>
      </c>
      <c r="I7" s="172">
        <f t="shared" si="0"/>
        <v>0</v>
      </c>
      <c r="J7" s="172">
        <f t="shared" si="0"/>
        <v>0</v>
      </c>
      <c r="K7" s="172">
        <f t="shared" si="0"/>
        <v>0</v>
      </c>
      <c r="L7" s="172">
        <f t="shared" si="0"/>
        <v>0</v>
      </c>
      <c r="M7" s="172">
        <f t="shared" si="0"/>
        <v>0</v>
      </c>
      <c r="N7" s="173">
        <f>SUM(N8:N13)</f>
        <v>0</v>
      </c>
    </row>
    <row r="8" spans="1:14" ht="14.25">
      <c r="A8" s="168">
        <v>1.1000000000000001</v>
      </c>
      <c r="B8" s="174" t="s">
        <v>259</v>
      </c>
      <c r="C8" s="172">
        <v>0</v>
      </c>
      <c r="D8" s="175">
        <v>0.02</v>
      </c>
      <c r="E8" s="171">
        <f>C8*D8</f>
        <v>0</v>
      </c>
      <c r="F8" s="172"/>
      <c r="G8" s="172"/>
      <c r="H8" s="172"/>
      <c r="I8" s="172"/>
      <c r="J8" s="172"/>
      <c r="K8" s="172">
        <v>0</v>
      </c>
      <c r="L8" s="172"/>
      <c r="M8" s="172"/>
      <c r="N8" s="173">
        <f>SUMPRODUCT($F$6:$M$6,F8:M8)</f>
        <v>0</v>
      </c>
    </row>
    <row r="9" spans="1:14" ht="14.25">
      <c r="A9" s="168">
        <v>1.2</v>
      </c>
      <c r="B9" s="174" t="s">
        <v>258</v>
      </c>
      <c r="C9" s="172">
        <v>0</v>
      </c>
      <c r="D9" s="175">
        <v>0.05</v>
      </c>
      <c r="E9" s="171">
        <f>C9*D9</f>
        <v>0</v>
      </c>
      <c r="F9" s="172"/>
      <c r="G9" s="172"/>
      <c r="H9" s="172"/>
      <c r="I9" s="172"/>
      <c r="J9" s="172"/>
      <c r="K9" s="172"/>
      <c r="L9" s="172"/>
      <c r="M9" s="172"/>
      <c r="N9" s="173">
        <f t="shared" ref="N9:N12" si="1">SUMPRODUCT($F$6:$M$6,F9:M9)</f>
        <v>0</v>
      </c>
    </row>
    <row r="10" spans="1:14" ht="14.25">
      <c r="A10" s="168">
        <v>1.3</v>
      </c>
      <c r="B10" s="174" t="s">
        <v>257</v>
      </c>
      <c r="C10" s="172">
        <v>0</v>
      </c>
      <c r="D10" s="175">
        <v>0.08</v>
      </c>
      <c r="E10" s="171">
        <f>C10*D10</f>
        <v>0</v>
      </c>
      <c r="F10" s="172"/>
      <c r="G10" s="172"/>
      <c r="H10" s="172"/>
      <c r="I10" s="172"/>
      <c r="J10" s="172"/>
      <c r="K10" s="172"/>
      <c r="L10" s="172"/>
      <c r="M10" s="172"/>
      <c r="N10" s="173">
        <f>SUMPRODUCT($F$6:$M$6,F10:M10)</f>
        <v>0</v>
      </c>
    </row>
    <row r="11" spans="1:14" ht="14.25">
      <c r="A11" s="168">
        <v>1.4</v>
      </c>
      <c r="B11" s="174" t="s">
        <v>256</v>
      </c>
      <c r="C11" s="172">
        <v>0</v>
      </c>
      <c r="D11" s="175">
        <v>0.11</v>
      </c>
      <c r="E11" s="171">
        <f>C11*D11</f>
        <v>0</v>
      </c>
      <c r="F11" s="172"/>
      <c r="G11" s="172"/>
      <c r="H11" s="172"/>
      <c r="I11" s="172"/>
      <c r="J11" s="172"/>
      <c r="K11" s="172"/>
      <c r="L11" s="172"/>
      <c r="M11" s="172"/>
      <c r="N11" s="173">
        <f t="shared" si="1"/>
        <v>0</v>
      </c>
    </row>
    <row r="12" spans="1:14" ht="14.25">
      <c r="A12" s="168">
        <v>1.5</v>
      </c>
      <c r="B12" s="174" t="s">
        <v>255</v>
      </c>
      <c r="C12" s="172">
        <v>0</v>
      </c>
      <c r="D12" s="175">
        <v>0.14000000000000001</v>
      </c>
      <c r="E12" s="171">
        <f>C12*D12</f>
        <v>0</v>
      </c>
      <c r="F12" s="172"/>
      <c r="G12" s="172"/>
      <c r="H12" s="172"/>
      <c r="I12" s="172"/>
      <c r="J12" s="172"/>
      <c r="K12" s="172"/>
      <c r="L12" s="172"/>
      <c r="M12" s="172"/>
      <c r="N12" s="173">
        <f t="shared" si="1"/>
        <v>0</v>
      </c>
    </row>
    <row r="13" spans="1:14" ht="14.25">
      <c r="A13" s="168">
        <v>1.6</v>
      </c>
      <c r="B13" s="176" t="s">
        <v>254</v>
      </c>
      <c r="C13" s="172">
        <v>0</v>
      </c>
      <c r="D13" s="177"/>
      <c r="E13" s="172"/>
      <c r="F13" s="172"/>
      <c r="G13" s="172"/>
      <c r="H13" s="172"/>
      <c r="I13" s="172"/>
      <c r="J13" s="172"/>
      <c r="K13" s="172"/>
      <c r="L13" s="172"/>
      <c r="M13" s="172"/>
      <c r="N13" s="173">
        <f>SUMPRODUCT($F$6:$M$6,F13:M13)</f>
        <v>0</v>
      </c>
    </row>
    <row r="14" spans="1:14" ht="15">
      <c r="A14" s="168">
        <v>2</v>
      </c>
      <c r="B14" s="178" t="s">
        <v>260</v>
      </c>
      <c r="C14" s="170">
        <f>SUM(C15:C20)</f>
        <v>0</v>
      </c>
      <c r="D14" s="163"/>
      <c r="E14" s="171">
        <f t="shared" ref="E14:M14" si="2">SUM(E15:E20)</f>
        <v>0</v>
      </c>
      <c r="F14" s="172">
        <f t="shared" si="2"/>
        <v>0</v>
      </c>
      <c r="G14" s="172">
        <f t="shared" si="2"/>
        <v>0</v>
      </c>
      <c r="H14" s="172">
        <f t="shared" si="2"/>
        <v>0</v>
      </c>
      <c r="I14" s="172">
        <f t="shared" si="2"/>
        <v>0</v>
      </c>
      <c r="J14" s="172">
        <f t="shared" si="2"/>
        <v>0</v>
      </c>
      <c r="K14" s="172">
        <f t="shared" si="2"/>
        <v>0</v>
      </c>
      <c r="L14" s="172">
        <f t="shared" si="2"/>
        <v>0</v>
      </c>
      <c r="M14" s="172">
        <f t="shared" si="2"/>
        <v>0</v>
      </c>
      <c r="N14" s="173">
        <f>SUM(N15:N20)</f>
        <v>0</v>
      </c>
    </row>
    <row r="15" spans="1:14" ht="14.25">
      <c r="A15" s="168">
        <v>2.1</v>
      </c>
      <c r="B15" s="176" t="s">
        <v>259</v>
      </c>
      <c r="C15" s="172"/>
      <c r="D15" s="175">
        <v>5.0000000000000001E-3</v>
      </c>
      <c r="E15" s="171">
        <f>C15*D15</f>
        <v>0</v>
      </c>
      <c r="F15" s="172"/>
      <c r="G15" s="172"/>
      <c r="H15" s="172"/>
      <c r="I15" s="172"/>
      <c r="J15" s="172"/>
      <c r="K15" s="172"/>
      <c r="L15" s="172"/>
      <c r="M15" s="172"/>
      <c r="N15" s="173">
        <f>SUMPRODUCT($F$6:$M$6,F15:M15)</f>
        <v>0</v>
      </c>
    </row>
    <row r="16" spans="1:14" ht="14.25">
      <c r="A16" s="168">
        <v>2.2000000000000002</v>
      </c>
      <c r="B16" s="176" t="s">
        <v>258</v>
      </c>
      <c r="C16" s="172"/>
      <c r="D16" s="175">
        <v>0.01</v>
      </c>
      <c r="E16" s="171">
        <f>C16*D16</f>
        <v>0</v>
      </c>
      <c r="F16" s="172"/>
      <c r="G16" s="172"/>
      <c r="H16" s="172"/>
      <c r="I16" s="172"/>
      <c r="J16" s="172"/>
      <c r="K16" s="172"/>
      <c r="L16" s="172"/>
      <c r="M16" s="172"/>
      <c r="N16" s="173">
        <f t="shared" ref="N16:N20" si="3">SUMPRODUCT($F$6:$M$6,F16:M16)</f>
        <v>0</v>
      </c>
    </row>
    <row r="17" spans="1:14" ht="14.25">
      <c r="A17" s="168">
        <v>2.2999999999999998</v>
      </c>
      <c r="B17" s="176" t="s">
        <v>257</v>
      </c>
      <c r="C17" s="172"/>
      <c r="D17" s="175">
        <v>0.02</v>
      </c>
      <c r="E17" s="171">
        <f>C17*D17</f>
        <v>0</v>
      </c>
      <c r="F17" s="172"/>
      <c r="G17" s="172"/>
      <c r="H17" s="172"/>
      <c r="I17" s="172"/>
      <c r="J17" s="172"/>
      <c r="K17" s="172"/>
      <c r="L17" s="172"/>
      <c r="M17" s="172"/>
      <c r="N17" s="173">
        <f t="shared" si="3"/>
        <v>0</v>
      </c>
    </row>
    <row r="18" spans="1:14" ht="14.25">
      <c r="A18" s="168">
        <v>2.4</v>
      </c>
      <c r="B18" s="176" t="s">
        <v>256</v>
      </c>
      <c r="C18" s="172"/>
      <c r="D18" s="175">
        <v>0.03</v>
      </c>
      <c r="E18" s="171">
        <f>C18*D18</f>
        <v>0</v>
      </c>
      <c r="F18" s="172"/>
      <c r="G18" s="172"/>
      <c r="H18" s="172"/>
      <c r="I18" s="172"/>
      <c r="J18" s="172"/>
      <c r="K18" s="172"/>
      <c r="L18" s="172"/>
      <c r="M18" s="172"/>
      <c r="N18" s="173">
        <f t="shared" si="3"/>
        <v>0</v>
      </c>
    </row>
    <row r="19" spans="1:14" ht="14.25">
      <c r="A19" s="168">
        <v>2.5</v>
      </c>
      <c r="B19" s="176" t="s">
        <v>255</v>
      </c>
      <c r="C19" s="172"/>
      <c r="D19" s="175">
        <v>0.04</v>
      </c>
      <c r="E19" s="171">
        <f>C19*D19</f>
        <v>0</v>
      </c>
      <c r="F19" s="172"/>
      <c r="G19" s="172"/>
      <c r="H19" s="172"/>
      <c r="I19" s="172"/>
      <c r="J19" s="172"/>
      <c r="K19" s="172"/>
      <c r="L19" s="172"/>
      <c r="M19" s="172"/>
      <c r="N19" s="173">
        <f t="shared" si="3"/>
        <v>0</v>
      </c>
    </row>
    <row r="20" spans="1:14" ht="14.25">
      <c r="A20" s="168">
        <v>2.6</v>
      </c>
      <c r="B20" s="176" t="s">
        <v>254</v>
      </c>
      <c r="C20" s="172"/>
      <c r="D20" s="177"/>
      <c r="E20" s="179"/>
      <c r="F20" s="172"/>
      <c r="G20" s="172"/>
      <c r="H20" s="172"/>
      <c r="I20" s="172"/>
      <c r="J20" s="172"/>
      <c r="K20" s="172"/>
      <c r="L20" s="172"/>
      <c r="M20" s="172"/>
      <c r="N20" s="173">
        <f t="shared" si="3"/>
        <v>0</v>
      </c>
    </row>
    <row r="21" spans="1:14" ht="15.75" thickBot="1">
      <c r="A21" s="180"/>
      <c r="B21" s="181" t="s">
        <v>109</v>
      </c>
      <c r="C21" s="156">
        <f>C14+C7</f>
        <v>0</v>
      </c>
      <c r="D21" s="182"/>
      <c r="E21" s="183">
        <f>E14+E7</f>
        <v>0</v>
      </c>
      <c r="F21" s="184">
        <f>F7+F14</f>
        <v>0</v>
      </c>
      <c r="G21" s="184">
        <f t="shared" ref="G21:L21" si="4">G7+G14</f>
        <v>0</v>
      </c>
      <c r="H21" s="184">
        <f t="shared" si="4"/>
        <v>0</v>
      </c>
      <c r="I21" s="184">
        <f t="shared" si="4"/>
        <v>0</v>
      </c>
      <c r="J21" s="184">
        <f t="shared" si="4"/>
        <v>0</v>
      </c>
      <c r="K21" s="184">
        <f t="shared" si="4"/>
        <v>0</v>
      </c>
      <c r="L21" s="184">
        <f t="shared" si="4"/>
        <v>0</v>
      </c>
      <c r="M21" s="184">
        <f>M7+M14</f>
        <v>0</v>
      </c>
      <c r="N21" s="185">
        <f>N14+N7</f>
        <v>0</v>
      </c>
    </row>
    <row r="22" spans="1:14">
      <c r="E22" s="186"/>
      <c r="F22" s="186"/>
      <c r="G22" s="186"/>
      <c r="H22" s="186"/>
      <c r="I22" s="186"/>
      <c r="J22" s="186"/>
      <c r="K22" s="186"/>
      <c r="L22" s="186"/>
      <c r="M22" s="18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Normal="100" workbookViewId="0"/>
  </sheetViews>
  <sheetFormatPr defaultRowHeight="15"/>
  <cols>
    <col min="1" max="1" width="11.42578125" customWidth="1"/>
    <col min="2" max="2" width="76.7109375" style="319" customWidth="1"/>
    <col min="3" max="3" width="22.7109375" customWidth="1"/>
  </cols>
  <sheetData>
    <row r="1" spans="1:3">
      <c r="A1" s="2" t="s">
        <v>30</v>
      </c>
      <c r="B1" s="3" t="str">
        <f>'Info '!C2</f>
        <v>JSC CARTU BANK</v>
      </c>
    </row>
    <row r="2" spans="1:3">
      <c r="A2" s="2" t="s">
        <v>31</v>
      </c>
      <c r="B2" s="370">
        <f>'1. key ratios '!B2</f>
        <v>44742</v>
      </c>
    </row>
    <row r="3" spans="1:3">
      <c r="A3" s="4"/>
      <c r="B3"/>
    </row>
    <row r="4" spans="1:3">
      <c r="A4" s="4" t="s">
        <v>432</v>
      </c>
      <c r="B4" t="s">
        <v>433</v>
      </c>
    </row>
    <row r="5" spans="1:3">
      <c r="A5" s="320" t="s">
        <v>434</v>
      </c>
      <c r="B5" s="321"/>
      <c r="C5" s="322"/>
    </row>
    <row r="6" spans="1:3" ht="24">
      <c r="A6" s="323">
        <v>1</v>
      </c>
      <c r="B6" s="324" t="s">
        <v>485</v>
      </c>
      <c r="C6" s="555">
        <v>1460169571.0067873</v>
      </c>
    </row>
    <row r="7" spans="1:3">
      <c r="A7" s="323">
        <v>2</v>
      </c>
      <c r="B7" s="324" t="s">
        <v>435</v>
      </c>
      <c r="C7" s="555">
        <v>-3720852</v>
      </c>
    </row>
    <row r="8" spans="1:3" ht="24">
      <c r="A8" s="326">
        <v>3</v>
      </c>
      <c r="B8" s="327" t="s">
        <v>436</v>
      </c>
      <c r="C8" s="325">
        <f>C6+C7</f>
        <v>1456448719.0067873</v>
      </c>
    </row>
    <row r="9" spans="1:3">
      <c r="A9" s="320" t="s">
        <v>437</v>
      </c>
      <c r="B9" s="321"/>
      <c r="C9" s="328"/>
    </row>
    <row r="10" spans="1:3" ht="24">
      <c r="A10" s="329">
        <v>4</v>
      </c>
      <c r="B10" s="330" t="s">
        <v>438</v>
      </c>
      <c r="C10" s="555"/>
    </row>
    <row r="11" spans="1:3">
      <c r="A11" s="329">
        <v>5</v>
      </c>
      <c r="B11" s="331" t="s">
        <v>439</v>
      </c>
      <c r="C11" s="555"/>
    </row>
    <row r="12" spans="1:3">
      <c r="A12" s="329" t="s">
        <v>440</v>
      </c>
      <c r="B12" s="331" t="s">
        <v>441</v>
      </c>
      <c r="C12" s="556">
        <f>'15. CCR '!E21</f>
        <v>0</v>
      </c>
    </row>
    <row r="13" spans="1:3" ht="24">
      <c r="A13" s="332">
        <v>6</v>
      </c>
      <c r="B13" s="330" t="s">
        <v>442</v>
      </c>
      <c r="C13" s="555"/>
    </row>
    <row r="14" spans="1:3">
      <c r="A14" s="332">
        <v>7</v>
      </c>
      <c r="B14" s="333" t="s">
        <v>443</v>
      </c>
      <c r="C14" s="555"/>
    </row>
    <row r="15" spans="1:3">
      <c r="A15" s="334">
        <v>8</v>
      </c>
      <c r="B15" s="335" t="s">
        <v>444</v>
      </c>
      <c r="C15" s="555"/>
    </row>
    <row r="16" spans="1:3">
      <c r="A16" s="332">
        <v>9</v>
      </c>
      <c r="B16" s="333" t="s">
        <v>445</v>
      </c>
      <c r="C16" s="555"/>
    </row>
    <row r="17" spans="1:3">
      <c r="A17" s="332">
        <v>10</v>
      </c>
      <c r="B17" s="333" t="s">
        <v>446</v>
      </c>
      <c r="C17" s="555"/>
    </row>
    <row r="18" spans="1:3">
      <c r="A18" s="336">
        <v>11</v>
      </c>
      <c r="B18" s="337" t="s">
        <v>447</v>
      </c>
      <c r="C18" s="556">
        <f>SUM(C10:C17)</f>
        <v>0</v>
      </c>
    </row>
    <row r="19" spans="1:3">
      <c r="A19" s="338" t="s">
        <v>448</v>
      </c>
      <c r="B19" s="339"/>
      <c r="C19" s="557"/>
    </row>
    <row r="20" spans="1:3" ht="24">
      <c r="A20" s="340">
        <v>12</v>
      </c>
      <c r="B20" s="330" t="s">
        <v>449</v>
      </c>
      <c r="C20" s="555"/>
    </row>
    <row r="21" spans="1:3">
      <c r="A21" s="340">
        <v>13</v>
      </c>
      <c r="B21" s="330" t="s">
        <v>450</v>
      </c>
      <c r="C21" s="555"/>
    </row>
    <row r="22" spans="1:3">
      <c r="A22" s="340">
        <v>14</v>
      </c>
      <c r="B22" s="330" t="s">
        <v>451</v>
      </c>
      <c r="C22" s="555"/>
    </row>
    <row r="23" spans="1:3" ht="24">
      <c r="A23" s="340" t="s">
        <v>452</v>
      </c>
      <c r="B23" s="330" t="s">
        <v>453</v>
      </c>
      <c r="C23" s="555"/>
    </row>
    <row r="24" spans="1:3">
      <c r="A24" s="340">
        <v>15</v>
      </c>
      <c r="B24" s="330" t="s">
        <v>454</v>
      </c>
      <c r="C24" s="555"/>
    </row>
    <row r="25" spans="1:3">
      <c r="A25" s="340" t="s">
        <v>455</v>
      </c>
      <c r="B25" s="330" t="s">
        <v>456</v>
      </c>
      <c r="C25" s="555"/>
    </row>
    <row r="26" spans="1:3">
      <c r="A26" s="341">
        <v>16</v>
      </c>
      <c r="B26" s="342" t="s">
        <v>457</v>
      </c>
      <c r="C26" s="556">
        <v>0</v>
      </c>
    </row>
    <row r="27" spans="1:3">
      <c r="A27" s="320" t="s">
        <v>458</v>
      </c>
      <c r="B27" s="321"/>
      <c r="C27" s="558"/>
    </row>
    <row r="28" spans="1:3">
      <c r="A28" s="343">
        <v>17</v>
      </c>
      <c r="B28" s="331" t="s">
        <v>459</v>
      </c>
      <c r="C28" s="555">
        <v>60178722.715472937</v>
      </c>
    </row>
    <row r="29" spans="1:3">
      <c r="A29" s="343">
        <v>18</v>
      </c>
      <c r="B29" s="331" t="s">
        <v>460</v>
      </c>
      <c r="C29" s="555">
        <v>-27005457.046014972</v>
      </c>
    </row>
    <row r="30" spans="1:3">
      <c r="A30" s="341">
        <v>19</v>
      </c>
      <c r="B30" s="342" t="s">
        <v>461</v>
      </c>
      <c r="C30" s="556">
        <f>C28+C29</f>
        <v>33173265.669457965</v>
      </c>
    </row>
    <row r="31" spans="1:3">
      <c r="A31" s="320" t="s">
        <v>462</v>
      </c>
      <c r="B31" s="321"/>
      <c r="C31" s="558"/>
    </row>
    <row r="32" spans="1:3" ht="24">
      <c r="A32" s="343" t="s">
        <v>463</v>
      </c>
      <c r="B32" s="330" t="s">
        <v>464</v>
      </c>
      <c r="C32" s="559"/>
    </row>
    <row r="33" spans="1:3">
      <c r="A33" s="343" t="s">
        <v>465</v>
      </c>
      <c r="B33" s="331" t="s">
        <v>466</v>
      </c>
      <c r="C33" s="559"/>
    </row>
    <row r="34" spans="1:3">
      <c r="A34" s="320" t="s">
        <v>467</v>
      </c>
      <c r="B34" s="321"/>
      <c r="C34" s="558"/>
    </row>
    <row r="35" spans="1:3">
      <c r="A35" s="345">
        <v>20</v>
      </c>
      <c r="B35" s="346" t="s">
        <v>468</v>
      </c>
      <c r="C35" s="556">
        <f>'1. key ratios '!C9</f>
        <v>283109929</v>
      </c>
    </row>
    <row r="36" spans="1:3">
      <c r="A36" s="341">
        <v>21</v>
      </c>
      <c r="B36" s="342" t="s">
        <v>469</v>
      </c>
      <c r="C36" s="556">
        <f>C8+C18+C26+C30</f>
        <v>1489621984.6762452</v>
      </c>
    </row>
    <row r="37" spans="1:3">
      <c r="A37" s="320" t="s">
        <v>470</v>
      </c>
      <c r="B37" s="321"/>
      <c r="C37" s="558"/>
    </row>
    <row r="38" spans="1:3">
      <c r="A38" s="341">
        <v>22</v>
      </c>
      <c r="B38" s="342" t="s">
        <v>470</v>
      </c>
      <c r="C38" s="560">
        <f>IFERROR(C35/C36,0)</f>
        <v>0.19005488097809672</v>
      </c>
    </row>
    <row r="39" spans="1:3">
      <c r="A39" s="320" t="s">
        <v>471</v>
      </c>
      <c r="B39" s="321"/>
      <c r="C39" s="328"/>
    </row>
    <row r="40" spans="1:3">
      <c r="A40" s="347" t="s">
        <v>472</v>
      </c>
      <c r="B40" s="330" t="s">
        <v>473</v>
      </c>
      <c r="C40" s="344"/>
    </row>
    <row r="41" spans="1:3" ht="24">
      <c r="A41" s="348" t="s">
        <v>474</v>
      </c>
      <c r="B41" s="324" t="s">
        <v>475</v>
      </c>
      <c r="C41" s="344"/>
    </row>
    <row r="43" spans="1:3">
      <c r="B43" s="319"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25" activePane="bottomRight" state="frozen"/>
      <selection pane="topRight"/>
      <selection pane="bottomLeft"/>
      <selection pane="bottomRight"/>
    </sheetView>
  </sheetViews>
  <sheetFormatPr defaultRowHeight="15"/>
  <cols>
    <col min="1" max="1" width="8.7109375" style="225"/>
    <col min="2" max="2" width="82.7109375" style="232" customWidth="1"/>
    <col min="3" max="7" width="17.5703125" style="225" customWidth="1"/>
  </cols>
  <sheetData>
    <row r="1" spans="1:7">
      <c r="A1" s="225" t="s">
        <v>30</v>
      </c>
      <c r="B1" s="3" t="str">
        <f>'Info '!C2</f>
        <v>JSC CARTU BANK</v>
      </c>
    </row>
    <row r="2" spans="1:7">
      <c r="A2" s="225" t="s">
        <v>31</v>
      </c>
      <c r="B2" s="370">
        <f>'1. key ratios '!B2</f>
        <v>44742</v>
      </c>
    </row>
    <row r="4" spans="1:7" ht="15.75" thickBot="1">
      <c r="A4" s="225" t="s">
        <v>536</v>
      </c>
      <c r="B4" s="377" t="s">
        <v>497</v>
      </c>
    </row>
    <row r="5" spans="1:7">
      <c r="A5" s="378"/>
      <c r="B5" s="379"/>
      <c r="C5" s="685" t="s">
        <v>498</v>
      </c>
      <c r="D5" s="685"/>
      <c r="E5" s="685"/>
      <c r="F5" s="685"/>
      <c r="G5" s="686" t="s">
        <v>499</v>
      </c>
    </row>
    <row r="6" spans="1:7">
      <c r="A6" s="380"/>
      <c r="B6" s="381"/>
      <c r="C6" s="382" t="s">
        <v>500</v>
      </c>
      <c r="D6" s="382" t="s">
        <v>501</v>
      </c>
      <c r="E6" s="382" t="s">
        <v>502</v>
      </c>
      <c r="F6" s="382" t="s">
        <v>503</v>
      </c>
      <c r="G6" s="687"/>
    </row>
    <row r="7" spans="1:7">
      <c r="A7" s="383"/>
      <c r="B7" s="384" t="s">
        <v>504</v>
      </c>
      <c r="C7" s="385"/>
      <c r="D7" s="385"/>
      <c r="E7" s="385"/>
      <c r="F7" s="385"/>
      <c r="G7" s="386"/>
    </row>
    <row r="8" spans="1:7">
      <c r="A8" s="387">
        <v>1</v>
      </c>
      <c r="B8" s="388" t="s">
        <v>505</v>
      </c>
      <c r="C8" s="561">
        <v>89599629</v>
      </c>
      <c r="D8" s="561">
        <v>0</v>
      </c>
      <c r="E8" s="561">
        <v>0</v>
      </c>
      <c r="F8" s="561">
        <v>349756753.50189996</v>
      </c>
      <c r="G8" s="389">
        <v>439356382.50189996</v>
      </c>
    </row>
    <row r="9" spans="1:7">
      <c r="A9" s="387">
        <v>2</v>
      </c>
      <c r="B9" s="390" t="s">
        <v>506</v>
      </c>
      <c r="C9" s="561">
        <v>89599629</v>
      </c>
      <c r="D9" s="561"/>
      <c r="E9" s="561"/>
      <c r="F9" s="561">
        <v>228657100</v>
      </c>
      <c r="G9" s="389">
        <v>318256729</v>
      </c>
    </row>
    <row r="10" spans="1:7">
      <c r="A10" s="387">
        <v>3</v>
      </c>
      <c r="B10" s="390" t="s">
        <v>507</v>
      </c>
      <c r="C10" s="562"/>
      <c r="D10" s="562"/>
      <c r="E10" s="562"/>
      <c r="F10" s="561">
        <v>121099653.50189999</v>
      </c>
      <c r="G10" s="389">
        <v>121099653.50189999</v>
      </c>
    </row>
    <row r="11" spans="1:7" ht="14.65" customHeight="1">
      <c r="A11" s="387">
        <v>4</v>
      </c>
      <c r="B11" s="388" t="s">
        <v>508</v>
      </c>
      <c r="C11" s="561">
        <v>80944483.176498994</v>
      </c>
      <c r="D11" s="561">
        <v>104246984.823</v>
      </c>
      <c r="E11" s="561">
        <v>65381121.603399999</v>
      </c>
      <c r="F11" s="561">
        <v>0</v>
      </c>
      <c r="G11" s="389">
        <v>228634847.27485403</v>
      </c>
    </row>
    <row r="12" spans="1:7">
      <c r="A12" s="387">
        <v>5</v>
      </c>
      <c r="B12" s="390" t="s">
        <v>509</v>
      </c>
      <c r="C12" s="561">
        <v>65045835.807698995</v>
      </c>
      <c r="D12" s="563">
        <v>103541975.5298</v>
      </c>
      <c r="E12" s="561">
        <v>61075638.603399999</v>
      </c>
      <c r="F12" s="561"/>
      <c r="G12" s="389">
        <v>218180277.44385403</v>
      </c>
    </row>
    <row r="13" spans="1:7">
      <c r="A13" s="387">
        <v>6</v>
      </c>
      <c r="B13" s="390" t="s">
        <v>510</v>
      </c>
      <c r="C13" s="561">
        <v>15898647.368800001</v>
      </c>
      <c r="D13" s="563">
        <v>705009.29320000019</v>
      </c>
      <c r="E13" s="561">
        <v>4305483</v>
      </c>
      <c r="F13" s="561"/>
      <c r="G13" s="389">
        <v>10454569.831</v>
      </c>
    </row>
    <row r="14" spans="1:7">
      <c r="A14" s="387">
        <v>7</v>
      </c>
      <c r="B14" s="388" t="s">
        <v>511</v>
      </c>
      <c r="C14" s="561">
        <v>299137563.31250006</v>
      </c>
      <c r="D14" s="561">
        <v>304181436.46519995</v>
      </c>
      <c r="E14" s="561">
        <v>58358231.287500009</v>
      </c>
      <c r="F14" s="561">
        <v>0</v>
      </c>
      <c r="G14" s="389">
        <v>317460689.97390002</v>
      </c>
    </row>
    <row r="15" spans="1:7" ht="39">
      <c r="A15" s="387">
        <v>8</v>
      </c>
      <c r="B15" s="390" t="s">
        <v>512</v>
      </c>
      <c r="C15" s="561">
        <v>297629776.84510005</v>
      </c>
      <c r="D15" s="561">
        <v>278933371.81519997</v>
      </c>
      <c r="E15" s="561">
        <v>29591407.287500001</v>
      </c>
      <c r="F15" s="561"/>
      <c r="G15" s="389">
        <v>303077277.97390002</v>
      </c>
    </row>
    <row r="16" spans="1:7" ht="26.25">
      <c r="A16" s="387">
        <v>9</v>
      </c>
      <c r="B16" s="390" t="s">
        <v>513</v>
      </c>
      <c r="C16" s="561">
        <v>1507786.4674</v>
      </c>
      <c r="D16" s="563">
        <v>25248064.649999999</v>
      </c>
      <c r="E16" s="561">
        <v>28766824.000000004</v>
      </c>
      <c r="F16" s="561"/>
      <c r="G16" s="389">
        <v>14383412.000000002</v>
      </c>
    </row>
    <row r="17" spans="1:7">
      <c r="A17" s="387">
        <v>10</v>
      </c>
      <c r="B17" s="388" t="s">
        <v>514</v>
      </c>
      <c r="C17" s="561"/>
      <c r="D17" s="563"/>
      <c r="E17" s="561"/>
      <c r="F17" s="561"/>
      <c r="G17" s="389"/>
    </row>
    <row r="18" spans="1:7">
      <c r="A18" s="387">
        <v>11</v>
      </c>
      <c r="B18" s="388" t="s">
        <v>515</v>
      </c>
      <c r="C18" s="561">
        <v>0</v>
      </c>
      <c r="D18" s="563">
        <v>81264895.22280103</v>
      </c>
      <c r="E18" s="561">
        <v>781293.10909999162</v>
      </c>
      <c r="F18" s="561">
        <v>4832871.4981000125</v>
      </c>
      <c r="G18" s="389">
        <v>0</v>
      </c>
    </row>
    <row r="19" spans="1:7">
      <c r="A19" s="387">
        <v>12</v>
      </c>
      <c r="B19" s="390" t="s">
        <v>516</v>
      </c>
      <c r="C19" s="562"/>
      <c r="D19" s="563">
        <v>0</v>
      </c>
      <c r="E19" s="561">
        <v>0</v>
      </c>
      <c r="F19" s="561"/>
      <c r="G19" s="389">
        <v>0</v>
      </c>
    </row>
    <row r="20" spans="1:7">
      <c r="A20" s="387">
        <v>13</v>
      </c>
      <c r="B20" s="390" t="s">
        <v>517</v>
      </c>
      <c r="C20" s="561">
        <v>0</v>
      </c>
      <c r="D20" s="561">
        <v>81264895.22280103</v>
      </c>
      <c r="E20" s="561">
        <v>781293.10909999162</v>
      </c>
      <c r="F20" s="561">
        <v>4832871.4981000125</v>
      </c>
      <c r="G20" s="389">
        <v>0</v>
      </c>
    </row>
    <row r="21" spans="1:7">
      <c r="A21" s="391">
        <v>14</v>
      </c>
      <c r="B21" s="392" t="s">
        <v>518</v>
      </c>
      <c r="C21" s="562"/>
      <c r="D21" s="562"/>
      <c r="E21" s="562"/>
      <c r="F21" s="562"/>
      <c r="G21" s="393">
        <v>985451919.75065398</v>
      </c>
    </row>
    <row r="22" spans="1:7">
      <c r="A22" s="394"/>
      <c r="B22" s="395" t="s">
        <v>519</v>
      </c>
      <c r="C22" s="396"/>
      <c r="D22" s="397"/>
      <c r="E22" s="396"/>
      <c r="F22" s="396"/>
      <c r="G22" s="398"/>
    </row>
    <row r="23" spans="1:7">
      <c r="A23" s="387">
        <v>15</v>
      </c>
      <c r="B23" s="388" t="s">
        <v>520</v>
      </c>
      <c r="C23" s="564">
        <v>599233881.85000002</v>
      </c>
      <c r="D23" s="541">
        <v>0</v>
      </c>
      <c r="E23" s="564">
        <v>0</v>
      </c>
      <c r="F23" s="564">
        <v>27874220</v>
      </c>
      <c r="G23" s="389">
        <v>17822042.0425</v>
      </c>
    </row>
    <row r="24" spans="1:7">
      <c r="A24" s="387">
        <v>16</v>
      </c>
      <c r="B24" s="388" t="s">
        <v>521</v>
      </c>
      <c r="C24" s="561">
        <v>16128997.409999937</v>
      </c>
      <c r="D24" s="563">
        <v>199971955.64707273</v>
      </c>
      <c r="E24" s="561">
        <v>65703872.256196931</v>
      </c>
      <c r="F24" s="561">
        <v>255258423.78801066</v>
      </c>
      <c r="G24" s="389">
        <v>352226923.78294384</v>
      </c>
    </row>
    <row r="25" spans="1:7">
      <c r="A25" s="387">
        <v>17</v>
      </c>
      <c r="B25" s="390" t="s">
        <v>522</v>
      </c>
      <c r="C25" s="561"/>
      <c r="D25" s="563">
        <v>0</v>
      </c>
      <c r="E25" s="561"/>
      <c r="F25" s="561"/>
      <c r="G25" s="389"/>
    </row>
    <row r="26" spans="1:7" ht="26.25">
      <c r="A26" s="387">
        <v>18</v>
      </c>
      <c r="B26" s="390" t="s">
        <v>523</v>
      </c>
      <c r="C26" s="561">
        <v>16128997.409999937</v>
      </c>
      <c r="D26" s="563">
        <v>0</v>
      </c>
      <c r="E26" s="561">
        <v>139399</v>
      </c>
      <c r="F26" s="561">
        <v>0</v>
      </c>
      <c r="G26" s="389">
        <v>2489049.1114999903</v>
      </c>
    </row>
    <row r="27" spans="1:7">
      <c r="A27" s="387">
        <v>19</v>
      </c>
      <c r="B27" s="390" t="s">
        <v>524</v>
      </c>
      <c r="C27" s="561"/>
      <c r="D27" s="563">
        <v>186033380.11645892</v>
      </c>
      <c r="E27" s="561">
        <v>61339474.469682679</v>
      </c>
      <c r="F27" s="561">
        <v>232806124.43255377</v>
      </c>
      <c r="G27" s="389">
        <v>321571633.06074148</v>
      </c>
    </row>
    <row r="28" spans="1:7">
      <c r="A28" s="387">
        <v>20</v>
      </c>
      <c r="B28" s="399" t="s">
        <v>525</v>
      </c>
      <c r="C28" s="561"/>
      <c r="D28" s="563"/>
      <c r="E28" s="561"/>
      <c r="F28" s="561"/>
      <c r="G28" s="389"/>
    </row>
    <row r="29" spans="1:7">
      <c r="A29" s="387">
        <v>21</v>
      </c>
      <c r="B29" s="390" t="s">
        <v>526</v>
      </c>
      <c r="C29" s="561"/>
      <c r="D29" s="563">
        <v>12473452.440613795</v>
      </c>
      <c r="E29" s="561">
        <v>4224998.7865142561</v>
      </c>
      <c r="F29" s="561">
        <v>21049649.355456892</v>
      </c>
      <c r="G29" s="389">
        <v>26241427.565702382</v>
      </c>
    </row>
    <row r="30" spans="1:7">
      <c r="A30" s="387">
        <v>22</v>
      </c>
      <c r="B30" s="399" t="s">
        <v>525</v>
      </c>
      <c r="C30" s="561"/>
      <c r="D30" s="563"/>
      <c r="E30" s="561"/>
      <c r="F30" s="561"/>
      <c r="G30" s="389"/>
    </row>
    <row r="31" spans="1:7">
      <c r="A31" s="387">
        <v>23</v>
      </c>
      <c r="B31" s="390" t="s">
        <v>527</v>
      </c>
      <c r="C31" s="561"/>
      <c r="D31" s="563">
        <v>1465123.09</v>
      </c>
      <c r="E31" s="561">
        <v>0</v>
      </c>
      <c r="F31" s="561">
        <v>1402650</v>
      </c>
      <c r="G31" s="389">
        <v>1924814.0449999999</v>
      </c>
    </row>
    <row r="32" spans="1:7">
      <c r="A32" s="387">
        <v>24</v>
      </c>
      <c r="B32" s="388" t="s">
        <v>528</v>
      </c>
      <c r="C32" s="561"/>
      <c r="D32" s="563"/>
      <c r="E32" s="561"/>
      <c r="F32" s="561"/>
      <c r="G32" s="389"/>
    </row>
    <row r="33" spans="1:7">
      <c r="A33" s="387">
        <v>25</v>
      </c>
      <c r="B33" s="388" t="s">
        <v>529</v>
      </c>
      <c r="C33" s="561">
        <v>0</v>
      </c>
      <c r="D33" s="561">
        <v>25360507.102927297</v>
      </c>
      <c r="E33" s="561">
        <v>27770216.113803074</v>
      </c>
      <c r="F33" s="561">
        <v>221361970.83198935</v>
      </c>
      <c r="G33" s="389">
        <v>250952844.71531159</v>
      </c>
    </row>
    <row r="34" spans="1:7">
      <c r="A34" s="387">
        <v>26</v>
      </c>
      <c r="B34" s="390" t="s">
        <v>530</v>
      </c>
      <c r="C34" s="562"/>
      <c r="D34" s="563">
        <v>0</v>
      </c>
      <c r="E34" s="561"/>
      <c r="F34" s="561"/>
      <c r="G34" s="389">
        <v>0</v>
      </c>
    </row>
    <row r="35" spans="1:7">
      <c r="A35" s="387">
        <v>27</v>
      </c>
      <c r="B35" s="390" t="s">
        <v>531</v>
      </c>
      <c r="C35" s="561"/>
      <c r="D35" s="563">
        <v>25360507.102927297</v>
      </c>
      <c r="E35" s="561">
        <v>27770216.113803074</v>
      </c>
      <c r="F35" s="561">
        <v>221361970.83198935</v>
      </c>
      <c r="G35" s="389">
        <v>250952844.71531159</v>
      </c>
    </row>
    <row r="36" spans="1:7">
      <c r="A36" s="387">
        <v>28</v>
      </c>
      <c r="B36" s="388" t="s">
        <v>532</v>
      </c>
      <c r="C36" s="561"/>
      <c r="D36" s="563">
        <v>49481495.527782992</v>
      </c>
      <c r="E36" s="561">
        <v>6888876.5978000006</v>
      </c>
      <c r="F36" s="561">
        <v>3504175.4944429998</v>
      </c>
      <c r="G36" s="389">
        <v>4374755.6300375992</v>
      </c>
    </row>
    <row r="37" spans="1:7">
      <c r="A37" s="391">
        <v>29</v>
      </c>
      <c r="B37" s="392" t="s">
        <v>533</v>
      </c>
      <c r="C37" s="562"/>
      <c r="D37" s="562"/>
      <c r="E37" s="562"/>
      <c r="F37" s="562"/>
      <c r="G37" s="393">
        <v>625376566.17079306</v>
      </c>
    </row>
    <row r="38" spans="1:7">
      <c r="A38" s="383"/>
      <c r="B38" s="400"/>
      <c r="C38" s="565"/>
      <c r="D38" s="565"/>
      <c r="E38" s="565"/>
      <c r="F38" s="565"/>
      <c r="G38" s="401"/>
    </row>
    <row r="39" spans="1:7" ht="15.75" thickBot="1">
      <c r="A39" s="402">
        <v>30</v>
      </c>
      <c r="B39" s="403" t="s">
        <v>534</v>
      </c>
      <c r="C39" s="285"/>
      <c r="D39" s="286"/>
      <c r="E39" s="286"/>
      <c r="F39" s="287"/>
      <c r="G39" s="404">
        <f>IFERROR(G21/G37,0)</f>
        <v>1.575773658716727</v>
      </c>
    </row>
    <row r="42" spans="1:7" ht="39">
      <c r="B42" s="232"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C7" sqref="C7:S20"/>
      <selection pane="topRight" activeCell="C7" sqref="C7:S20"/>
      <selection pane="bottomLeft" activeCell="C7" sqref="C7:S20"/>
      <selection pane="bottomRight"/>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CARTU BANK</v>
      </c>
    </row>
    <row r="2" spans="1:7">
      <c r="A2" s="2" t="s">
        <v>31</v>
      </c>
      <c r="B2" s="370">
        <v>44742</v>
      </c>
    </row>
    <row r="3" spans="1:7">
      <c r="A3" s="2"/>
    </row>
    <row r="4" spans="1:7" ht="15" thickBot="1">
      <c r="A4" s="6" t="s">
        <v>140</v>
      </c>
      <c r="B4" s="7" t="s">
        <v>139</v>
      </c>
      <c r="C4" s="7"/>
      <c r="D4" s="7"/>
      <c r="E4" s="7"/>
      <c r="F4" s="7"/>
      <c r="G4" s="7"/>
    </row>
    <row r="5" spans="1:7">
      <c r="A5" s="8" t="s">
        <v>6</v>
      </c>
      <c r="B5" s="9"/>
      <c r="C5" s="368" t="str">
        <f>INT((MONTH($B$2))/3)&amp;"Q"&amp;"-"&amp;YEAR($B$2)</f>
        <v>2Q-2022</v>
      </c>
      <c r="D5" s="368" t="str">
        <f>IF(INT(MONTH($B$2))=3, "4"&amp;"Q"&amp;"-"&amp;YEAR($B$2)-1, IF(INT(MONTH($B$2))=6, "1"&amp;"Q"&amp;"-"&amp;YEAR($B$2), IF(INT(MONTH($B$2))=9, "2"&amp;"Q"&amp;"-"&amp;YEAR($B$2),IF(INT(MONTH($B$2))=12, "3"&amp;"Q"&amp;"-"&amp;YEAR($B$2), 0))))</f>
        <v>1Q-2022</v>
      </c>
      <c r="E5" s="368" t="str">
        <f>IF(INT(MONTH($B$2))=3, "3"&amp;"Q"&amp;"-"&amp;YEAR($B$2)-1, IF(INT(MONTH($B$2))=6, "4"&amp;"Q"&amp;"-"&amp;YEAR($B$2)-1, IF(INT(MONTH($B$2))=9, "1"&amp;"Q"&amp;"-"&amp;YEAR($B$2),IF(INT(MONTH($B$2))=12, "2"&amp;"Q"&amp;"-"&amp;YEAR($B$2), 0))))</f>
        <v>4Q-2021</v>
      </c>
      <c r="F5" s="368" t="str">
        <f>IF(INT(MONTH($B$2))=3, "2"&amp;"Q"&amp;"-"&amp;YEAR($B$2)-1, IF(INT(MONTH($B$2))=6, "3"&amp;"Q"&amp;"-"&amp;YEAR($B$2)-1, IF(INT(MONTH($B$2))=9, "4"&amp;"Q"&amp;"-"&amp;YEAR($B$2)-1,IF(INT(MONTH($B$2))=12, "1"&amp;"Q"&amp;"-"&amp;YEAR($B$2), 0))))</f>
        <v>3Q-2021</v>
      </c>
      <c r="G5" s="369" t="str">
        <f>IF(INT(MONTH($B$2))=3, "1"&amp;"Q"&amp;"-"&amp;YEAR($B$2)-1, IF(INT(MONTH($B$2))=6, "2"&amp;"Q"&amp;"-"&amp;YEAR($B$2)-1, IF(INT(MONTH($B$2))=9, "3"&amp;"Q"&amp;"-"&amp;YEAR($B$2)-1,IF(INT(MONTH($B$2))=12, "4"&amp;"Q"&amp;"-"&amp;YEAR($B$2)-1, 0))))</f>
        <v>2Q-2021</v>
      </c>
    </row>
    <row r="6" spans="1:7">
      <c r="B6" s="200" t="s">
        <v>138</v>
      </c>
      <c r="C6" s="372"/>
      <c r="D6" s="372"/>
      <c r="E6" s="372"/>
      <c r="F6" s="372"/>
      <c r="G6" s="373"/>
    </row>
    <row r="7" spans="1:7">
      <c r="A7" s="10"/>
      <c r="B7" s="201" t="s">
        <v>136</v>
      </c>
      <c r="C7" s="372"/>
      <c r="D7" s="372"/>
      <c r="E7" s="372"/>
      <c r="F7" s="372"/>
      <c r="G7" s="373"/>
    </row>
    <row r="8" spans="1:7">
      <c r="A8" s="8">
        <v>1</v>
      </c>
      <c r="B8" s="11" t="s">
        <v>487</v>
      </c>
      <c r="C8" s="460">
        <v>204029629</v>
      </c>
      <c r="D8" s="460">
        <v>191863393</v>
      </c>
      <c r="E8" s="460">
        <v>189239889</v>
      </c>
      <c r="F8" s="460">
        <v>175613617.65000001</v>
      </c>
      <c r="G8" s="461">
        <v>168291279.65000001</v>
      </c>
    </row>
    <row r="9" spans="1:7">
      <c r="A9" s="8">
        <v>2</v>
      </c>
      <c r="B9" s="11" t="s">
        <v>488</v>
      </c>
      <c r="C9" s="460">
        <v>283109929</v>
      </c>
      <c r="D9" s="460">
        <v>275598493</v>
      </c>
      <c r="E9" s="460">
        <v>272875089</v>
      </c>
      <c r="F9" s="460">
        <v>259929217.65000001</v>
      </c>
      <c r="G9" s="461">
        <v>253619379.65000001</v>
      </c>
    </row>
    <row r="10" spans="1:7">
      <c r="A10" s="8">
        <v>3</v>
      </c>
      <c r="B10" s="11" t="s">
        <v>245</v>
      </c>
      <c r="C10" s="460">
        <v>328430263</v>
      </c>
      <c r="D10" s="460">
        <v>324944902</v>
      </c>
      <c r="E10" s="460">
        <v>322397605</v>
      </c>
      <c r="F10" s="460">
        <v>309904913.64999998</v>
      </c>
      <c r="G10" s="461">
        <v>351699748.64999998</v>
      </c>
    </row>
    <row r="11" spans="1:7">
      <c r="A11" s="8">
        <v>4</v>
      </c>
      <c r="B11" s="11" t="s">
        <v>490</v>
      </c>
      <c r="C11" s="460">
        <v>151883464.59065759</v>
      </c>
      <c r="D11" s="460">
        <v>156772134.65544373</v>
      </c>
      <c r="E11" s="460">
        <v>136577495.8508997</v>
      </c>
      <c r="F11" s="460">
        <v>138365879.42782193</v>
      </c>
      <c r="G11" s="461">
        <v>145963792.78535116</v>
      </c>
    </row>
    <row r="12" spans="1:7">
      <c r="A12" s="8">
        <v>5</v>
      </c>
      <c r="B12" s="11" t="s">
        <v>491</v>
      </c>
      <c r="C12" s="460">
        <v>191304963.68665263</v>
      </c>
      <c r="D12" s="460">
        <v>197780823.05211535</v>
      </c>
      <c r="E12" s="460">
        <v>171373251.16610357</v>
      </c>
      <c r="F12" s="460">
        <v>173604853.06885102</v>
      </c>
      <c r="G12" s="461">
        <v>183360504.28682971</v>
      </c>
    </row>
    <row r="13" spans="1:7">
      <c r="A13" s="8">
        <v>6</v>
      </c>
      <c r="B13" s="11" t="s">
        <v>489</v>
      </c>
      <c r="C13" s="460">
        <v>263335691.15359637</v>
      </c>
      <c r="D13" s="460">
        <v>272657637.15705895</v>
      </c>
      <c r="E13" s="460">
        <v>263543735.53833356</v>
      </c>
      <c r="F13" s="460">
        <v>265118839.3574006</v>
      </c>
      <c r="G13" s="461">
        <v>282749317.92180848</v>
      </c>
    </row>
    <row r="14" spans="1:7">
      <c r="A14" s="10"/>
      <c r="B14" s="200" t="s">
        <v>493</v>
      </c>
      <c r="C14" s="462"/>
      <c r="D14" s="462"/>
      <c r="E14" s="462"/>
      <c r="F14" s="462"/>
      <c r="G14" s="463"/>
    </row>
    <row r="15" spans="1:7" ht="15" customHeight="1">
      <c r="A15" s="8">
        <v>7</v>
      </c>
      <c r="B15" s="11" t="s">
        <v>492</v>
      </c>
      <c r="C15" s="460">
        <v>1354126092.0266535</v>
      </c>
      <c r="D15" s="460">
        <v>1361151845.6909597</v>
      </c>
      <c r="E15" s="460">
        <v>1299143576.9453716</v>
      </c>
      <c r="F15" s="460">
        <v>1318377848.5747347</v>
      </c>
      <c r="G15" s="461">
        <v>1364203504.3029904</v>
      </c>
    </row>
    <row r="16" spans="1:7">
      <c r="A16" s="10"/>
      <c r="B16" s="200" t="s">
        <v>494</v>
      </c>
      <c r="C16" s="462"/>
      <c r="D16" s="462"/>
      <c r="E16" s="462"/>
      <c r="F16" s="462"/>
      <c r="G16" s="463"/>
    </row>
    <row r="17" spans="1:7">
      <c r="A17" s="8"/>
      <c r="B17" s="201" t="s">
        <v>478</v>
      </c>
      <c r="C17" s="462"/>
      <c r="D17" s="462"/>
      <c r="E17" s="462"/>
      <c r="F17" s="462"/>
      <c r="G17" s="463"/>
    </row>
    <row r="18" spans="1:7">
      <c r="A18" s="8">
        <v>8</v>
      </c>
      <c r="B18" s="11" t="s">
        <v>487</v>
      </c>
      <c r="C18" s="464">
        <v>0.15067254829617746</v>
      </c>
      <c r="D18" s="464">
        <v>0.14095664169092365</v>
      </c>
      <c r="E18" s="464">
        <v>0.14566510765881072</v>
      </c>
      <c r="F18" s="464">
        <v>0.13320431455963214</v>
      </c>
      <c r="G18" s="465">
        <v>0.1233622983075276</v>
      </c>
    </row>
    <row r="19" spans="1:7" ht="15" customHeight="1">
      <c r="A19" s="8">
        <v>9</v>
      </c>
      <c r="B19" s="11" t="s">
        <v>488</v>
      </c>
      <c r="C19" s="464">
        <v>0.20907205810965757</v>
      </c>
      <c r="D19" s="464">
        <v>0.20247446592565749</v>
      </c>
      <c r="E19" s="464">
        <v>0.21004228773666506</v>
      </c>
      <c r="F19" s="464">
        <v>0.19715836240043247</v>
      </c>
      <c r="G19" s="465">
        <v>0.1859102244276826</v>
      </c>
    </row>
    <row r="20" spans="1:7">
      <c r="A20" s="8">
        <v>10</v>
      </c>
      <c r="B20" s="11" t="s">
        <v>245</v>
      </c>
      <c r="C20" s="464">
        <v>0.24254038448402887</v>
      </c>
      <c r="D20" s="464">
        <v>0.23872788552481347</v>
      </c>
      <c r="E20" s="464">
        <v>0.24816164334818297</v>
      </c>
      <c r="F20" s="464">
        <v>0.23506532211917125</v>
      </c>
      <c r="G20" s="465">
        <v>0.25780592671156727</v>
      </c>
    </row>
    <row r="21" spans="1:7">
      <c r="A21" s="8">
        <v>11</v>
      </c>
      <c r="B21" s="11" t="s">
        <v>490</v>
      </c>
      <c r="C21" s="466">
        <v>0.11216345766097832</v>
      </c>
      <c r="D21" s="466">
        <v>0.11517608057597843</v>
      </c>
      <c r="E21" s="466">
        <v>0.1051288697220282</v>
      </c>
      <c r="F21" s="466">
        <v>0.10495161123755668</v>
      </c>
      <c r="G21" s="467">
        <v>0.10699561489539504</v>
      </c>
    </row>
    <row r="22" spans="1:7">
      <c r="A22" s="8">
        <v>12</v>
      </c>
      <c r="B22" s="11" t="s">
        <v>491</v>
      </c>
      <c r="C22" s="466">
        <v>0.14127559081321295</v>
      </c>
      <c r="D22" s="466">
        <v>0.1453040112153807</v>
      </c>
      <c r="E22" s="466">
        <v>0.1319124800424655</v>
      </c>
      <c r="F22" s="466">
        <v>0.13168065077589924</v>
      </c>
      <c r="G22" s="467">
        <v>0.13440846890399516</v>
      </c>
    </row>
    <row r="23" spans="1:7">
      <c r="A23" s="8">
        <v>13</v>
      </c>
      <c r="B23" s="11" t="s">
        <v>489</v>
      </c>
      <c r="C23" s="466">
        <v>0.19446910646221643</v>
      </c>
      <c r="D23" s="466">
        <v>0.20031390180325556</v>
      </c>
      <c r="E23" s="466">
        <v>0.20285959166883943</v>
      </c>
      <c r="F23" s="466">
        <v>0.20109473141103967</v>
      </c>
      <c r="G23" s="467">
        <v>0.20726329834951787</v>
      </c>
    </row>
    <row r="24" spans="1:7">
      <c r="A24" s="10"/>
      <c r="B24" s="200" t="s">
        <v>135</v>
      </c>
      <c r="C24" s="462"/>
      <c r="D24" s="462"/>
      <c r="E24" s="462"/>
      <c r="F24" s="462"/>
      <c r="G24" s="463"/>
    </row>
    <row r="25" spans="1:7" ht="15" customHeight="1">
      <c r="A25" s="374">
        <v>14</v>
      </c>
      <c r="B25" s="11" t="s">
        <v>134</v>
      </c>
      <c r="C25" s="464">
        <v>5.4130876345677141E-2</v>
      </c>
      <c r="D25" s="464">
        <v>5.5217963470513227E-2</v>
      </c>
      <c r="E25" s="464">
        <v>6.2673778124179097E-2</v>
      </c>
      <c r="F25" s="464">
        <v>5.8734843791540745E-2</v>
      </c>
      <c r="G25" s="468">
        <v>5.5542293726259066E-2</v>
      </c>
    </row>
    <row r="26" spans="1:7" ht="15">
      <c r="A26" s="374">
        <v>15</v>
      </c>
      <c r="B26" s="11" t="s">
        <v>133</v>
      </c>
      <c r="C26" s="464">
        <v>2.1765817945438849E-2</v>
      </c>
      <c r="D26" s="464">
        <v>2.3750955387297712E-2</v>
      </c>
      <c r="E26" s="464">
        <v>2.6338428477537989E-2</v>
      </c>
      <c r="F26" s="464">
        <v>2.6580411114409629E-2</v>
      </c>
      <c r="G26" s="468">
        <v>2.6655256322156262E-2</v>
      </c>
    </row>
    <row r="27" spans="1:7" ht="15">
      <c r="A27" s="374">
        <v>16</v>
      </c>
      <c r="B27" s="11" t="s">
        <v>132</v>
      </c>
      <c r="C27" s="464">
        <v>1.8001206168453712E-2</v>
      </c>
      <c r="D27" s="464">
        <v>1.3518240122090078E-2</v>
      </c>
      <c r="E27" s="464">
        <v>2.3620151247014328E-2</v>
      </c>
      <c r="F27" s="464">
        <v>2.4212417832762862E-2</v>
      </c>
      <c r="G27" s="468">
        <v>2.4645138820403801E-2</v>
      </c>
    </row>
    <row r="28" spans="1:7" ht="15">
      <c r="A28" s="374">
        <v>17</v>
      </c>
      <c r="B28" s="11" t="s">
        <v>131</v>
      </c>
      <c r="C28" s="464">
        <v>3.2365058400238296E-2</v>
      </c>
      <c r="D28" s="464">
        <v>3.1467008083215516E-2</v>
      </c>
      <c r="E28" s="464">
        <v>3.6335349646641105E-2</v>
      </c>
      <c r="F28" s="464">
        <v>3.2154432677131126E-2</v>
      </c>
      <c r="G28" s="468">
        <v>2.8887037404102808E-2</v>
      </c>
    </row>
    <row r="29" spans="1:7" ht="15">
      <c r="A29" s="374">
        <v>18</v>
      </c>
      <c r="B29" s="11" t="s">
        <v>271</v>
      </c>
      <c r="C29" s="464">
        <v>2.1041192230812078E-2</v>
      </c>
      <c r="D29" s="464">
        <v>7.971422259524916E-3</v>
      </c>
      <c r="E29" s="464">
        <v>2.524722168252869E-2</v>
      </c>
      <c r="F29" s="464">
        <v>2.2211413514672047E-2</v>
      </c>
      <c r="G29" s="468">
        <v>2.2677858071597234E-2</v>
      </c>
    </row>
    <row r="30" spans="1:7" ht="15">
      <c r="A30" s="374">
        <v>19</v>
      </c>
      <c r="B30" s="11" t="s">
        <v>272</v>
      </c>
      <c r="C30" s="464">
        <v>0.14662297148583683</v>
      </c>
      <c r="D30" s="464">
        <v>5.2637786581932862E-2</v>
      </c>
      <c r="E30" s="464">
        <v>0.1854104744367665</v>
      </c>
      <c r="F30" s="464">
        <v>0.16787117394092582</v>
      </c>
      <c r="G30" s="468">
        <v>0.17453698031898413</v>
      </c>
    </row>
    <row r="31" spans="1:7">
      <c r="A31" s="10"/>
      <c r="B31" s="200" t="s">
        <v>351</v>
      </c>
      <c r="C31" s="462"/>
      <c r="D31" s="462"/>
      <c r="E31" s="462"/>
      <c r="F31" s="462"/>
      <c r="G31" s="463"/>
    </row>
    <row r="32" spans="1:7" ht="15">
      <c r="A32" s="374">
        <v>20</v>
      </c>
      <c r="B32" s="11" t="s">
        <v>130</v>
      </c>
      <c r="C32" s="464">
        <v>0.30309246452686134</v>
      </c>
      <c r="D32" s="464">
        <v>0.33475227028271398</v>
      </c>
      <c r="E32" s="464">
        <v>0.33812745576393999</v>
      </c>
      <c r="F32" s="464">
        <v>0.35630392196599409</v>
      </c>
      <c r="G32" s="468">
        <v>0.35472797783322557</v>
      </c>
    </row>
    <row r="33" spans="1:7" ht="15" customHeight="1">
      <c r="A33" s="374">
        <v>21</v>
      </c>
      <c r="B33" s="11" t="s">
        <v>129</v>
      </c>
      <c r="C33" s="464">
        <v>0.16382420903175393</v>
      </c>
      <c r="D33" s="464">
        <v>0.1678699433937868</v>
      </c>
      <c r="E33" s="464">
        <v>0.16490978842264903</v>
      </c>
      <c r="F33" s="464">
        <v>0.16969773024225895</v>
      </c>
      <c r="G33" s="468">
        <v>0.16766481389724347</v>
      </c>
    </row>
    <row r="34" spans="1:7" ht="15">
      <c r="A34" s="374">
        <v>22</v>
      </c>
      <c r="B34" s="11" t="s">
        <v>128</v>
      </c>
      <c r="C34" s="464">
        <v>0.61064724275037874</v>
      </c>
      <c r="D34" s="464">
        <v>0.64561336562421345</v>
      </c>
      <c r="E34" s="464">
        <v>0.6444377856671768</v>
      </c>
      <c r="F34" s="464">
        <v>0.67609118361544418</v>
      </c>
      <c r="G34" s="468">
        <v>0.67110475618654031</v>
      </c>
    </row>
    <row r="35" spans="1:7" ht="15" customHeight="1">
      <c r="A35" s="374">
        <v>23</v>
      </c>
      <c r="B35" s="11" t="s">
        <v>127</v>
      </c>
      <c r="C35" s="464">
        <v>0.70108379089626094</v>
      </c>
      <c r="D35" s="464">
        <v>0.70853086473567184</v>
      </c>
      <c r="E35" s="464">
        <v>0.65562891198801532</v>
      </c>
      <c r="F35" s="464">
        <v>0.67865249363567326</v>
      </c>
      <c r="G35" s="468">
        <v>0.69225947801502896</v>
      </c>
    </row>
    <row r="36" spans="1:7" ht="15">
      <c r="A36" s="374">
        <v>24</v>
      </c>
      <c r="B36" s="11" t="s">
        <v>126</v>
      </c>
      <c r="C36" s="464">
        <v>-0.13984400348300918</v>
      </c>
      <c r="D36" s="464">
        <v>-1.8561518919768538E-5</v>
      </c>
      <c r="E36" s="464">
        <v>-0.11443914848653591</v>
      </c>
      <c r="F36" s="464">
        <v>-9.9150915080462032E-2</v>
      </c>
      <c r="G36" s="468">
        <v>-5.6507426203625366E-2</v>
      </c>
    </row>
    <row r="37" spans="1:7" ht="15" customHeight="1">
      <c r="A37" s="10"/>
      <c r="B37" s="200" t="s">
        <v>352</v>
      </c>
      <c r="C37" s="462"/>
      <c r="D37" s="462"/>
      <c r="E37" s="462"/>
      <c r="F37" s="462"/>
      <c r="G37" s="463"/>
    </row>
    <row r="38" spans="1:7" ht="15" customHeight="1">
      <c r="A38" s="374">
        <v>25</v>
      </c>
      <c r="B38" s="11" t="s">
        <v>125</v>
      </c>
      <c r="C38" s="464">
        <v>0.44605749662012129</v>
      </c>
      <c r="D38" s="464">
        <v>0.32548879086164673</v>
      </c>
      <c r="E38" s="464">
        <v>0.25449985241213907</v>
      </c>
      <c r="F38" s="464">
        <v>0.29753365588698838</v>
      </c>
      <c r="G38" s="468">
        <v>0.2919400858310241</v>
      </c>
    </row>
    <row r="39" spans="1:7" ht="15" customHeight="1">
      <c r="A39" s="374">
        <v>26</v>
      </c>
      <c r="B39" s="11" t="s">
        <v>124</v>
      </c>
      <c r="C39" s="464">
        <v>0.84703413513355286</v>
      </c>
      <c r="D39" s="464">
        <v>0.87279238032237949</v>
      </c>
      <c r="E39" s="464">
        <v>0.84522257781254639</v>
      </c>
      <c r="F39" s="464">
        <v>0.85097565903823214</v>
      </c>
      <c r="G39" s="468">
        <v>0.86001489400574915</v>
      </c>
    </row>
    <row r="40" spans="1:7" ht="15" customHeight="1">
      <c r="A40" s="374">
        <v>27</v>
      </c>
      <c r="B40" s="11" t="s">
        <v>123</v>
      </c>
      <c r="C40" s="464">
        <v>0.40295698430299592</v>
      </c>
      <c r="D40" s="464">
        <v>0.38758967558553742</v>
      </c>
      <c r="E40" s="464">
        <v>0.30735457621809875</v>
      </c>
      <c r="F40" s="464">
        <v>0.35146013112548596</v>
      </c>
      <c r="G40" s="468">
        <v>0.30285646200244348</v>
      </c>
    </row>
    <row r="41" spans="1:7" ht="15" customHeight="1">
      <c r="A41" s="375"/>
      <c r="B41" s="200" t="s">
        <v>395</v>
      </c>
      <c r="C41" s="462"/>
      <c r="D41" s="462"/>
      <c r="E41" s="462"/>
      <c r="F41" s="462"/>
      <c r="G41" s="463"/>
    </row>
    <row r="42" spans="1:7" ht="15">
      <c r="A42" s="374">
        <v>28</v>
      </c>
      <c r="B42" s="11" t="s">
        <v>378</v>
      </c>
      <c r="C42" s="469">
        <v>631144334.8084414</v>
      </c>
      <c r="D42" s="469">
        <v>373335681.19728094</v>
      </c>
      <c r="E42" s="469">
        <v>341714471.76642001</v>
      </c>
      <c r="F42" s="469">
        <v>366706723.50065273</v>
      </c>
      <c r="G42" s="470">
        <v>396583679.82541364</v>
      </c>
    </row>
    <row r="43" spans="1:7" ht="15" customHeight="1">
      <c r="A43" s="374">
        <v>29</v>
      </c>
      <c r="B43" s="11" t="s">
        <v>390</v>
      </c>
      <c r="C43" s="471">
        <v>356160850.5765754</v>
      </c>
      <c r="D43" s="471">
        <v>211298854.08155167</v>
      </c>
      <c r="E43" s="471">
        <v>186391521.88685745</v>
      </c>
      <c r="F43" s="471">
        <v>183443529.42646217</v>
      </c>
      <c r="G43" s="472">
        <v>183554387.7792919</v>
      </c>
    </row>
    <row r="44" spans="1:7" ht="15" customHeight="1" thickBot="1">
      <c r="A44" s="405">
        <v>30</v>
      </c>
      <c r="B44" s="406" t="s">
        <v>379</v>
      </c>
      <c r="C44" s="473">
        <v>1.7720766720618102</v>
      </c>
      <c r="D44" s="473">
        <v>1.7668608891423068</v>
      </c>
      <c r="E44" s="473">
        <v>1.8333155301658302</v>
      </c>
      <c r="F44" s="473">
        <v>1.9990169435093434</v>
      </c>
      <c r="G44" s="474">
        <v>2.1605785872156367</v>
      </c>
    </row>
    <row r="45" spans="1:7" ht="15" customHeight="1">
      <c r="A45" s="405"/>
      <c r="B45" s="200" t="s">
        <v>497</v>
      </c>
      <c r="C45" s="462"/>
      <c r="D45" s="462"/>
      <c r="E45" s="462"/>
      <c r="F45" s="462"/>
      <c r="G45" s="463"/>
    </row>
    <row r="46" spans="1:7" ht="15" customHeight="1">
      <c r="A46" s="405">
        <v>31</v>
      </c>
      <c r="B46" s="406" t="s">
        <v>504</v>
      </c>
      <c r="C46" s="475">
        <v>985451919.75065398</v>
      </c>
      <c r="D46" s="475">
        <v>995046414.02548432</v>
      </c>
      <c r="E46" s="475">
        <v>899894024.43556547</v>
      </c>
      <c r="F46" s="475">
        <v>932795846.52724504</v>
      </c>
      <c r="G46" s="476">
        <v>966294672.35287499</v>
      </c>
    </row>
    <row r="47" spans="1:7" ht="15" customHeight="1">
      <c r="A47" s="405">
        <v>32</v>
      </c>
      <c r="B47" s="406" t="s">
        <v>519</v>
      </c>
      <c r="C47" s="477">
        <v>625376566.17079306</v>
      </c>
      <c r="D47" s="477">
        <v>744830716.93965733</v>
      </c>
      <c r="E47" s="477">
        <v>727034249.07264376</v>
      </c>
      <c r="F47" s="477">
        <v>738361347.59228504</v>
      </c>
      <c r="G47" s="478">
        <v>759925219.10264087</v>
      </c>
    </row>
    <row r="48" spans="1:7" ht="15.75" thickBot="1">
      <c r="A48" s="376">
        <v>33</v>
      </c>
      <c r="B48" s="202" t="s">
        <v>537</v>
      </c>
      <c r="C48" s="479">
        <v>1.575773658716727</v>
      </c>
      <c r="D48" s="479">
        <v>1.3359363294171154</v>
      </c>
      <c r="E48" s="479">
        <v>1.2377601544678398</v>
      </c>
      <c r="F48" s="479">
        <v>1.2633324449728978</v>
      </c>
      <c r="G48" s="480">
        <v>1.2715654752107397</v>
      </c>
    </row>
    <row r="49" spans="1:2">
      <c r="A49" s="12"/>
    </row>
    <row r="50" spans="1:2" ht="38.25">
      <c r="B50" s="265" t="s">
        <v>479</v>
      </c>
    </row>
    <row r="51" spans="1:2" ht="51">
      <c r="B51" s="265" t="s">
        <v>394</v>
      </c>
    </row>
    <row r="53" spans="1:2">
      <c r="B53" s="26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8515625" defaultRowHeight="12.75"/>
  <cols>
    <col min="1" max="1" width="11.7109375" style="415" bestFit="1" customWidth="1"/>
    <col min="2" max="2" width="105.28515625" style="415" bestFit="1" customWidth="1"/>
    <col min="3" max="4" width="15.140625" style="415" bestFit="1" customWidth="1"/>
    <col min="5" max="5" width="17.42578125" style="415" bestFit="1" customWidth="1"/>
    <col min="6" max="6" width="15.140625" style="415" bestFit="1" customWidth="1"/>
    <col min="7" max="7" width="28.7109375" style="415" bestFit="1" customWidth="1"/>
    <col min="8" max="8" width="14.140625" style="415" bestFit="1" customWidth="1"/>
    <col min="9" max="16384" width="9.28515625" style="415"/>
  </cols>
  <sheetData>
    <row r="1" spans="1:8">
      <c r="A1" s="407" t="s">
        <v>30</v>
      </c>
    </row>
    <row r="2" spans="1:8" ht="13.5">
      <c r="A2" s="407" t="s">
        <v>31</v>
      </c>
      <c r="B2" s="371">
        <f>'1. key ratios '!B2</f>
        <v>44742</v>
      </c>
    </row>
    <row r="3" spans="1:8">
      <c r="A3" s="408" t="s">
        <v>544</v>
      </c>
    </row>
    <row r="5" spans="1:8" ht="15" customHeight="1">
      <c r="A5" s="688" t="s">
        <v>545</v>
      </c>
      <c r="B5" s="689"/>
      <c r="C5" s="694" t="s">
        <v>546</v>
      </c>
      <c r="D5" s="695"/>
      <c r="E5" s="695"/>
      <c r="F5" s="695"/>
      <c r="G5" s="695"/>
      <c r="H5" s="696"/>
    </row>
    <row r="6" spans="1:8">
      <c r="A6" s="690"/>
      <c r="B6" s="691"/>
      <c r="C6" s="697"/>
      <c r="D6" s="698"/>
      <c r="E6" s="698"/>
      <c r="F6" s="698"/>
      <c r="G6" s="698"/>
      <c r="H6" s="699"/>
    </row>
    <row r="7" spans="1:8">
      <c r="A7" s="692"/>
      <c r="B7" s="693"/>
      <c r="C7" s="437" t="s">
        <v>547</v>
      </c>
      <c r="D7" s="437" t="s">
        <v>548</v>
      </c>
      <c r="E7" s="437" t="s">
        <v>549</v>
      </c>
      <c r="F7" s="437" t="s">
        <v>550</v>
      </c>
      <c r="G7" s="437" t="s">
        <v>551</v>
      </c>
      <c r="H7" s="437" t="s">
        <v>109</v>
      </c>
    </row>
    <row r="8" spans="1:8">
      <c r="A8" s="410">
        <v>1</v>
      </c>
      <c r="B8" s="409" t="s">
        <v>96</v>
      </c>
      <c r="C8" s="566">
        <v>249114282</v>
      </c>
      <c r="D8" s="566">
        <v>935664</v>
      </c>
      <c r="E8" s="566">
        <v>7000000</v>
      </c>
      <c r="F8" s="566">
        <v>21053000</v>
      </c>
      <c r="G8" s="566"/>
      <c r="H8" s="567">
        <v>278102946</v>
      </c>
    </row>
    <row r="9" spans="1:8">
      <c r="A9" s="410">
        <v>2</v>
      </c>
      <c r="B9" s="409" t="s">
        <v>97</v>
      </c>
      <c r="C9" s="566"/>
      <c r="D9" s="566"/>
      <c r="E9" s="566"/>
      <c r="F9" s="566"/>
      <c r="G9" s="566"/>
      <c r="H9" s="567">
        <v>0</v>
      </c>
    </row>
    <row r="10" spans="1:8">
      <c r="A10" s="410">
        <v>3</v>
      </c>
      <c r="B10" s="409" t="s">
        <v>269</v>
      </c>
      <c r="C10" s="566"/>
      <c r="D10" s="566"/>
      <c r="E10" s="566"/>
      <c r="F10" s="566"/>
      <c r="G10" s="566"/>
      <c r="H10" s="567">
        <v>0</v>
      </c>
    </row>
    <row r="11" spans="1:8">
      <c r="A11" s="410">
        <v>4</v>
      </c>
      <c r="B11" s="409" t="s">
        <v>98</v>
      </c>
      <c r="C11" s="566"/>
      <c r="D11" s="566"/>
      <c r="E11" s="566"/>
      <c r="F11" s="566"/>
      <c r="G11" s="566"/>
      <c r="H11" s="567">
        <v>0</v>
      </c>
    </row>
    <row r="12" spans="1:8">
      <c r="A12" s="410">
        <v>5</v>
      </c>
      <c r="B12" s="409" t="s">
        <v>99</v>
      </c>
      <c r="C12" s="566"/>
      <c r="D12" s="566"/>
      <c r="E12" s="566"/>
      <c r="F12" s="566"/>
      <c r="G12" s="566"/>
      <c r="H12" s="567">
        <v>0</v>
      </c>
    </row>
    <row r="13" spans="1:8">
      <c r="A13" s="410">
        <v>6</v>
      </c>
      <c r="B13" s="409" t="s">
        <v>100</v>
      </c>
      <c r="C13" s="566">
        <v>201043647.26000002</v>
      </c>
      <c r="D13" s="566">
        <v>142295399</v>
      </c>
      <c r="E13" s="566">
        <v>0</v>
      </c>
      <c r="F13" s="566">
        <v>4463510.1499999994</v>
      </c>
      <c r="G13" s="566"/>
      <c r="H13" s="567">
        <v>347802556.40999997</v>
      </c>
    </row>
    <row r="14" spans="1:8">
      <c r="A14" s="410">
        <v>7</v>
      </c>
      <c r="B14" s="409" t="s">
        <v>101</v>
      </c>
      <c r="C14" s="566"/>
      <c r="D14" s="566">
        <v>233443953.11872199</v>
      </c>
      <c r="E14" s="566">
        <v>241470890.73686501</v>
      </c>
      <c r="F14" s="566">
        <v>196175070.84035414</v>
      </c>
      <c r="G14" s="566">
        <v>40842123.570859984</v>
      </c>
      <c r="H14" s="567">
        <v>711932038.26680124</v>
      </c>
    </row>
    <row r="15" spans="1:8">
      <c r="A15" s="410">
        <v>8</v>
      </c>
      <c r="B15" s="409" t="s">
        <v>102</v>
      </c>
      <c r="C15" s="566"/>
      <c r="D15" s="566"/>
      <c r="E15" s="566"/>
      <c r="F15" s="566"/>
      <c r="G15" s="566"/>
      <c r="H15" s="567">
        <v>0</v>
      </c>
    </row>
    <row r="16" spans="1:8">
      <c r="A16" s="410">
        <v>9</v>
      </c>
      <c r="B16" s="409" t="s">
        <v>103</v>
      </c>
      <c r="C16" s="566"/>
      <c r="D16" s="566"/>
      <c r="E16" s="566"/>
      <c r="F16" s="566"/>
      <c r="G16" s="566"/>
      <c r="H16" s="567">
        <v>0</v>
      </c>
    </row>
    <row r="17" spans="1:8">
      <c r="A17" s="410">
        <v>10</v>
      </c>
      <c r="B17" s="440" t="s">
        <v>563</v>
      </c>
      <c r="C17" s="566"/>
      <c r="D17" s="566">
        <v>8826043.8564439975</v>
      </c>
      <c r="E17" s="566">
        <v>31665190.4243</v>
      </c>
      <c r="F17" s="566">
        <v>24667596.790783007</v>
      </c>
      <c r="G17" s="566">
        <v>26903462.061827995</v>
      </c>
      <c r="H17" s="567">
        <v>92062293.133354992</v>
      </c>
    </row>
    <row r="18" spans="1:8">
      <c r="A18" s="410">
        <v>11</v>
      </c>
      <c r="B18" s="409" t="s">
        <v>105</v>
      </c>
      <c r="C18" s="566"/>
      <c r="D18" s="566"/>
      <c r="E18" s="566"/>
      <c r="F18" s="566"/>
      <c r="G18" s="566"/>
      <c r="H18" s="567">
        <v>0</v>
      </c>
    </row>
    <row r="19" spans="1:8">
      <c r="A19" s="410">
        <v>12</v>
      </c>
      <c r="B19" s="409" t="s">
        <v>106</v>
      </c>
      <c r="C19" s="566"/>
      <c r="D19" s="566"/>
      <c r="E19" s="566"/>
      <c r="F19" s="566"/>
      <c r="G19" s="566"/>
      <c r="H19" s="567">
        <v>0</v>
      </c>
    </row>
    <row r="20" spans="1:8">
      <c r="A20" s="410">
        <v>13</v>
      </c>
      <c r="B20" s="409" t="s">
        <v>247</v>
      </c>
      <c r="C20" s="566"/>
      <c r="D20" s="566"/>
      <c r="E20" s="566"/>
      <c r="F20" s="566"/>
      <c r="G20" s="566"/>
      <c r="H20" s="567">
        <v>0</v>
      </c>
    </row>
    <row r="21" spans="1:8">
      <c r="A21" s="410">
        <v>14</v>
      </c>
      <c r="B21" s="409" t="s">
        <v>108</v>
      </c>
      <c r="C21" s="566">
        <v>21552979</v>
      </c>
      <c r="D21" s="566">
        <v>2944102.336497</v>
      </c>
      <c r="E21" s="566">
        <v>3559963.112613</v>
      </c>
      <c r="F21" s="566">
        <v>14045062.282891992</v>
      </c>
      <c r="G21" s="566">
        <v>76866631.013403997</v>
      </c>
      <c r="H21" s="567">
        <v>118968737.74540599</v>
      </c>
    </row>
    <row r="22" spans="1:8">
      <c r="A22" s="411">
        <v>15</v>
      </c>
      <c r="B22" s="417" t="s">
        <v>109</v>
      </c>
      <c r="C22" s="567">
        <f>+SUM(C8:C16)+SUM(C18:C21)</f>
        <v>471710908.25999999</v>
      </c>
      <c r="D22" s="567">
        <f t="shared" ref="D22:G22" si="0">+SUM(D8:D16)+SUM(D18:D21)</f>
        <v>379619118.45521897</v>
      </c>
      <c r="E22" s="567">
        <f t="shared" si="0"/>
        <v>252030853.84947801</v>
      </c>
      <c r="F22" s="567">
        <f t="shared" si="0"/>
        <v>235736643.27324614</v>
      </c>
      <c r="G22" s="567">
        <f t="shared" si="0"/>
        <v>117708754.58426398</v>
      </c>
      <c r="H22" s="567">
        <f>+SUM(H8:H16)+SUM(H18:H21)</f>
        <v>1456806278.4222071</v>
      </c>
    </row>
    <row r="26" spans="1:8" ht="25.5">
      <c r="B26" s="441"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heetViews>
  <sheetFormatPr defaultColWidth="9.28515625" defaultRowHeight="12.75"/>
  <cols>
    <col min="1" max="1" width="11.7109375" style="442" bestFit="1" customWidth="1"/>
    <col min="2" max="2" width="114.7109375" style="415" customWidth="1"/>
    <col min="3" max="3" width="22.42578125" style="415" customWidth="1"/>
    <col min="4" max="4" width="23.5703125" style="415" customWidth="1"/>
    <col min="5" max="8" width="22.28515625" style="415" customWidth="1"/>
    <col min="9" max="9" width="41.42578125" style="415" customWidth="1"/>
    <col min="10" max="16384" width="9.28515625" style="415"/>
  </cols>
  <sheetData>
    <row r="1" spans="1:9" ht="13.5">
      <c r="A1" s="407" t="s">
        <v>30</v>
      </c>
      <c r="B1" s="371" t="str">
        <f>'1. key ratios '!B1</f>
        <v>JSC CARTU BANK</v>
      </c>
    </row>
    <row r="2" spans="1:9" ht="13.5">
      <c r="A2" s="407" t="s">
        <v>31</v>
      </c>
      <c r="B2" s="371">
        <f>'1. key ratios '!B2</f>
        <v>44742</v>
      </c>
    </row>
    <row r="3" spans="1:9">
      <c r="A3" s="408" t="s">
        <v>552</v>
      </c>
    </row>
    <row r="4" spans="1:9">
      <c r="C4" s="443" t="s">
        <v>0</v>
      </c>
      <c r="D4" s="443" t="s">
        <v>1</v>
      </c>
      <c r="E4" s="443" t="s">
        <v>2</v>
      </c>
      <c r="F4" s="443" t="s">
        <v>3</v>
      </c>
      <c r="G4" s="443" t="s">
        <v>4</v>
      </c>
      <c r="H4" s="443" t="s">
        <v>5</v>
      </c>
      <c r="I4" s="443" t="s">
        <v>8</v>
      </c>
    </row>
    <row r="5" spans="1:9" ht="44.25" customHeight="1">
      <c r="A5" s="688" t="s">
        <v>553</v>
      </c>
      <c r="B5" s="689"/>
      <c r="C5" s="702" t="s">
        <v>554</v>
      </c>
      <c r="D5" s="702"/>
      <c r="E5" s="702" t="s">
        <v>555</v>
      </c>
      <c r="F5" s="702" t="s">
        <v>556</v>
      </c>
      <c r="G5" s="700" t="s">
        <v>557</v>
      </c>
      <c r="H5" s="700" t="s">
        <v>558</v>
      </c>
      <c r="I5" s="444" t="s">
        <v>559</v>
      </c>
    </row>
    <row r="6" spans="1:9" ht="60" customHeight="1">
      <c r="A6" s="692"/>
      <c r="B6" s="693"/>
      <c r="C6" s="433" t="s">
        <v>560</v>
      </c>
      <c r="D6" s="433" t="s">
        <v>561</v>
      </c>
      <c r="E6" s="702"/>
      <c r="F6" s="702"/>
      <c r="G6" s="701"/>
      <c r="H6" s="701"/>
      <c r="I6" s="444" t="s">
        <v>562</v>
      </c>
    </row>
    <row r="7" spans="1:9">
      <c r="A7" s="413">
        <v>1</v>
      </c>
      <c r="B7" s="409" t="s">
        <v>96</v>
      </c>
      <c r="C7" s="566"/>
      <c r="D7" s="566">
        <v>277924166</v>
      </c>
      <c r="E7" s="566"/>
      <c r="F7" s="566"/>
      <c r="G7" s="566"/>
      <c r="H7" s="566">
        <v>0</v>
      </c>
      <c r="I7" s="568">
        <f t="shared" ref="I7:I23" si="0">C7+D7-E7-F7-G7</f>
        <v>277924166</v>
      </c>
    </row>
    <row r="8" spans="1:9">
      <c r="A8" s="413">
        <v>2</v>
      </c>
      <c r="B8" s="409" t="s">
        <v>97</v>
      </c>
      <c r="C8" s="566"/>
      <c r="D8" s="566"/>
      <c r="E8" s="566"/>
      <c r="F8" s="566"/>
      <c r="G8" s="566"/>
      <c r="H8" s="566">
        <v>0</v>
      </c>
      <c r="I8" s="568">
        <f t="shared" si="0"/>
        <v>0</v>
      </c>
    </row>
    <row r="9" spans="1:9">
      <c r="A9" s="413">
        <v>3</v>
      </c>
      <c r="B9" s="409" t="s">
        <v>269</v>
      </c>
      <c r="C9" s="566"/>
      <c r="D9" s="566"/>
      <c r="E9" s="566"/>
      <c r="F9" s="566"/>
      <c r="G9" s="566"/>
      <c r="H9" s="566">
        <v>0</v>
      </c>
      <c r="I9" s="568">
        <f t="shared" si="0"/>
        <v>0</v>
      </c>
    </row>
    <row r="10" spans="1:9">
      <c r="A10" s="413">
        <v>4</v>
      </c>
      <c r="B10" s="409" t="s">
        <v>98</v>
      </c>
      <c r="C10" s="566"/>
      <c r="D10" s="566"/>
      <c r="E10" s="566"/>
      <c r="F10" s="566"/>
      <c r="G10" s="566"/>
      <c r="H10" s="566">
        <v>0</v>
      </c>
      <c r="I10" s="568">
        <f t="shared" si="0"/>
        <v>0</v>
      </c>
    </row>
    <row r="11" spans="1:9">
      <c r="A11" s="413">
        <v>5</v>
      </c>
      <c r="B11" s="409" t="s">
        <v>99</v>
      </c>
      <c r="C11" s="566"/>
      <c r="D11" s="566"/>
      <c r="E11" s="566"/>
      <c r="F11" s="566"/>
      <c r="G11" s="566"/>
      <c r="H11" s="566">
        <v>0</v>
      </c>
      <c r="I11" s="568">
        <f t="shared" si="0"/>
        <v>0</v>
      </c>
    </row>
    <row r="12" spans="1:9">
      <c r="A12" s="413">
        <v>6</v>
      </c>
      <c r="B12" s="409" t="s">
        <v>100</v>
      </c>
      <c r="C12" s="566"/>
      <c r="D12" s="566">
        <v>347802556</v>
      </c>
      <c r="E12" s="566"/>
      <c r="F12" s="566"/>
      <c r="G12" s="566"/>
      <c r="H12" s="566">
        <v>0</v>
      </c>
      <c r="I12" s="568">
        <f t="shared" si="0"/>
        <v>347802556</v>
      </c>
    </row>
    <row r="13" spans="1:9">
      <c r="A13" s="413">
        <v>7</v>
      </c>
      <c r="B13" s="409" t="s">
        <v>101</v>
      </c>
      <c r="C13" s="566">
        <v>247085977.82340002</v>
      </c>
      <c r="D13" s="566">
        <v>589314081.40614843</v>
      </c>
      <c r="E13" s="566">
        <v>124468020.53274594</v>
      </c>
      <c r="F13" s="566">
        <v>9557687.0557929818</v>
      </c>
      <c r="G13" s="566"/>
      <c r="H13" s="566">
        <v>9136634.5600000005</v>
      </c>
      <c r="I13" s="568">
        <f>C13+D13-E13-F13-G13</f>
        <v>702374351.64100957</v>
      </c>
    </row>
    <row r="14" spans="1:9">
      <c r="A14" s="413">
        <v>8</v>
      </c>
      <c r="B14" s="409" t="s">
        <v>102</v>
      </c>
      <c r="C14" s="566"/>
      <c r="D14" s="566"/>
      <c r="E14" s="566"/>
      <c r="F14" s="566"/>
      <c r="G14" s="566"/>
      <c r="H14" s="566">
        <v>0</v>
      </c>
      <c r="I14" s="568">
        <f t="shared" si="0"/>
        <v>0</v>
      </c>
    </row>
    <row r="15" spans="1:9">
      <c r="A15" s="413">
        <v>9</v>
      </c>
      <c r="B15" s="409" t="s">
        <v>103</v>
      </c>
      <c r="C15" s="566"/>
      <c r="D15" s="566"/>
      <c r="E15" s="566"/>
      <c r="F15" s="566"/>
      <c r="G15" s="566"/>
      <c r="H15" s="566">
        <v>0</v>
      </c>
      <c r="I15" s="568">
        <f t="shared" si="0"/>
        <v>0</v>
      </c>
    </row>
    <row r="16" spans="1:9">
      <c r="A16" s="413">
        <v>10</v>
      </c>
      <c r="B16" s="440" t="s">
        <v>563</v>
      </c>
      <c r="C16" s="566">
        <v>179947187.6987001</v>
      </c>
      <c r="D16" s="566">
        <v>82289.153299999976</v>
      </c>
      <c r="E16" s="566">
        <v>87967183.718644962</v>
      </c>
      <c r="F16" s="566">
        <v>1645.7830660000038</v>
      </c>
      <c r="G16" s="566"/>
      <c r="H16" s="566">
        <v>9138224.1800000016</v>
      </c>
      <c r="I16" s="568">
        <f t="shared" si="0"/>
        <v>92060647.350289121</v>
      </c>
    </row>
    <row r="17" spans="1:9">
      <c r="A17" s="413">
        <v>11</v>
      </c>
      <c r="B17" s="409" t="s">
        <v>105</v>
      </c>
      <c r="C17" s="566"/>
      <c r="D17" s="566"/>
      <c r="E17" s="566"/>
      <c r="F17" s="566"/>
      <c r="G17" s="566"/>
      <c r="H17" s="566">
        <v>0</v>
      </c>
      <c r="I17" s="568">
        <f t="shared" si="0"/>
        <v>0</v>
      </c>
    </row>
    <row r="18" spans="1:9">
      <c r="A18" s="413">
        <v>12</v>
      </c>
      <c r="B18" s="409" t="s">
        <v>106</v>
      </c>
      <c r="C18" s="566"/>
      <c r="D18" s="566"/>
      <c r="E18" s="566"/>
      <c r="F18" s="566"/>
      <c r="G18" s="566"/>
      <c r="H18" s="566">
        <v>0</v>
      </c>
      <c r="I18" s="568">
        <f t="shared" si="0"/>
        <v>0</v>
      </c>
    </row>
    <row r="19" spans="1:9">
      <c r="A19" s="413">
        <v>13</v>
      </c>
      <c r="B19" s="409" t="s">
        <v>247</v>
      </c>
      <c r="C19" s="566"/>
      <c r="D19" s="566"/>
      <c r="E19" s="566"/>
      <c r="F19" s="566"/>
      <c r="G19" s="566"/>
      <c r="H19" s="566">
        <v>0</v>
      </c>
      <c r="I19" s="568">
        <f t="shared" si="0"/>
        <v>0</v>
      </c>
    </row>
    <row r="20" spans="1:9">
      <c r="A20" s="413">
        <v>14</v>
      </c>
      <c r="B20" s="409" t="s">
        <v>108</v>
      </c>
      <c r="C20" s="566">
        <v>39604632.985300004</v>
      </c>
      <c r="D20" s="566">
        <v>95310869.942140013</v>
      </c>
      <c r="E20" s="566">
        <v>12404686.684922999</v>
      </c>
      <c r="F20" s="566">
        <v>311670.8034800014</v>
      </c>
      <c r="G20" s="566">
        <v>8272882.8499999996</v>
      </c>
      <c r="H20" s="566">
        <v>361339.32</v>
      </c>
      <c r="I20" s="568">
        <f t="shared" si="0"/>
        <v>113926262.58903703</v>
      </c>
    </row>
    <row r="21" spans="1:9" s="445" customFormat="1">
      <c r="A21" s="414">
        <v>15</v>
      </c>
      <c r="B21" s="417" t="s">
        <v>109</v>
      </c>
      <c r="C21" s="567">
        <f>SUM(C7:C15)+SUM(C17:C20)</f>
        <v>286690610.80870003</v>
      </c>
      <c r="D21" s="567">
        <f t="shared" ref="D21:H21" si="1">SUM(D7:D15)+SUM(D17:D20)</f>
        <v>1310351673.3482885</v>
      </c>
      <c r="E21" s="567">
        <f t="shared" si="1"/>
        <v>136872707.21766895</v>
      </c>
      <c r="F21" s="567">
        <f t="shared" si="1"/>
        <v>9869357.8592729829</v>
      </c>
      <c r="G21" s="567">
        <f t="shared" si="1"/>
        <v>8272882.8499999996</v>
      </c>
      <c r="H21" s="567">
        <f t="shared" si="1"/>
        <v>9497973.8800000008</v>
      </c>
      <c r="I21" s="568">
        <f t="shared" si="0"/>
        <v>1442027336.2300467</v>
      </c>
    </row>
    <row r="22" spans="1:9">
      <c r="A22" s="446">
        <v>16</v>
      </c>
      <c r="B22" s="447" t="s">
        <v>564</v>
      </c>
      <c r="C22" s="566">
        <v>251695928.80870008</v>
      </c>
      <c r="D22" s="566">
        <v>604333547.56117868</v>
      </c>
      <c r="E22" s="566">
        <v>126197947.21766898</v>
      </c>
      <c r="F22" s="566">
        <v>9808217.859272968</v>
      </c>
      <c r="G22" s="566">
        <v>0</v>
      </c>
      <c r="H22" s="566">
        <v>9138224.1800000016</v>
      </c>
      <c r="I22" s="568">
        <f t="shared" si="0"/>
        <v>720023311.2929368</v>
      </c>
    </row>
    <row r="23" spans="1:9">
      <c r="A23" s="446">
        <v>17</v>
      </c>
      <c r="B23" s="447" t="s">
        <v>565</v>
      </c>
      <c r="C23" s="566"/>
      <c r="D23" s="566">
        <v>31898343.52</v>
      </c>
      <c r="E23" s="566">
        <v>0</v>
      </c>
      <c r="F23" s="566">
        <v>60000</v>
      </c>
      <c r="G23" s="566">
        <v>0</v>
      </c>
      <c r="H23" s="566">
        <v>0</v>
      </c>
      <c r="I23" s="568">
        <f t="shared" si="0"/>
        <v>31838343.52</v>
      </c>
    </row>
    <row r="26" spans="1:9" ht="25.5">
      <c r="B26" s="441"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19" workbookViewId="0"/>
  </sheetViews>
  <sheetFormatPr defaultColWidth="9.28515625" defaultRowHeight="12.75"/>
  <cols>
    <col min="1" max="1" width="11" style="415" bestFit="1" customWidth="1"/>
    <col min="2" max="2" width="93.42578125" style="415" customWidth="1"/>
    <col min="3" max="8" width="22" style="415" customWidth="1"/>
    <col min="9" max="9" width="42.28515625" style="415" bestFit="1" customWidth="1"/>
    <col min="10" max="16384" width="9.28515625" style="415"/>
  </cols>
  <sheetData>
    <row r="1" spans="1:9">
      <c r="A1" s="407" t="s">
        <v>30</v>
      </c>
      <c r="B1" s="415" t="str">
        <f>'1. key ratios '!B1</f>
        <v>JSC CARTU BANK</v>
      </c>
    </row>
    <row r="2" spans="1:9" ht="13.5">
      <c r="A2" s="407" t="s">
        <v>31</v>
      </c>
      <c r="B2" s="371">
        <f>'1. key ratios '!B2</f>
        <v>44742</v>
      </c>
    </row>
    <row r="3" spans="1:9">
      <c r="A3" s="408" t="s">
        <v>566</v>
      </c>
    </row>
    <row r="4" spans="1:9">
      <c r="C4" s="443" t="s">
        <v>0</v>
      </c>
      <c r="D4" s="443" t="s">
        <v>1</v>
      </c>
      <c r="E4" s="443" t="s">
        <v>2</v>
      </c>
      <c r="F4" s="443" t="s">
        <v>3</v>
      </c>
      <c r="G4" s="443" t="s">
        <v>4</v>
      </c>
      <c r="H4" s="443" t="s">
        <v>5</v>
      </c>
      <c r="I4" s="443" t="s">
        <v>8</v>
      </c>
    </row>
    <row r="5" spans="1:9" ht="46.5" customHeight="1">
      <c r="A5" s="688" t="s">
        <v>707</v>
      </c>
      <c r="B5" s="689"/>
      <c r="C5" s="702" t="s">
        <v>554</v>
      </c>
      <c r="D5" s="702"/>
      <c r="E5" s="702" t="s">
        <v>555</v>
      </c>
      <c r="F5" s="702" t="s">
        <v>556</v>
      </c>
      <c r="G5" s="700" t="s">
        <v>557</v>
      </c>
      <c r="H5" s="700" t="s">
        <v>558</v>
      </c>
      <c r="I5" s="444" t="s">
        <v>559</v>
      </c>
    </row>
    <row r="6" spans="1:9" ht="75" customHeight="1">
      <c r="A6" s="692"/>
      <c r="B6" s="693"/>
      <c r="C6" s="433" t="s">
        <v>560</v>
      </c>
      <c r="D6" s="433" t="s">
        <v>561</v>
      </c>
      <c r="E6" s="702"/>
      <c r="F6" s="702"/>
      <c r="G6" s="701"/>
      <c r="H6" s="701"/>
      <c r="I6" s="444" t="s">
        <v>562</v>
      </c>
    </row>
    <row r="7" spans="1:9">
      <c r="A7" s="412">
        <v>1</v>
      </c>
      <c r="B7" s="416" t="s">
        <v>697</v>
      </c>
      <c r="C7" s="566">
        <v>314900.47999999998</v>
      </c>
      <c r="D7" s="566">
        <v>287113722.57943499</v>
      </c>
      <c r="E7" s="566">
        <v>84003.503577999989</v>
      </c>
      <c r="F7" s="566">
        <v>182869.41090199997</v>
      </c>
      <c r="G7" s="566">
        <v>0</v>
      </c>
      <c r="H7" s="566">
        <v>0</v>
      </c>
      <c r="I7" s="568">
        <f t="shared" ref="I7:I34" si="0">C7+D7-E7-F7-G7</f>
        <v>287161750.14495498</v>
      </c>
    </row>
    <row r="8" spans="1:9">
      <c r="A8" s="412">
        <v>2</v>
      </c>
      <c r="B8" s="416" t="s">
        <v>567</v>
      </c>
      <c r="C8" s="566">
        <v>319400.76</v>
      </c>
      <c r="D8" s="566">
        <v>350956746.60478598</v>
      </c>
      <c r="E8" s="566">
        <v>107495.367918</v>
      </c>
      <c r="F8" s="566">
        <v>60257.56884400003</v>
      </c>
      <c r="G8" s="566">
        <v>0</v>
      </c>
      <c r="H8" s="566">
        <v>1589.62</v>
      </c>
      <c r="I8" s="568">
        <f t="shared" si="0"/>
        <v>351108394.42802393</v>
      </c>
    </row>
    <row r="9" spans="1:9">
      <c r="A9" s="412">
        <v>3</v>
      </c>
      <c r="B9" s="416" t="s">
        <v>568</v>
      </c>
      <c r="C9" s="566">
        <v>0</v>
      </c>
      <c r="D9" s="566">
        <v>0</v>
      </c>
      <c r="E9" s="566">
        <v>0</v>
      </c>
      <c r="F9" s="566">
        <v>0</v>
      </c>
      <c r="G9" s="566">
        <v>0</v>
      </c>
      <c r="H9" s="566">
        <v>0</v>
      </c>
      <c r="I9" s="568">
        <f t="shared" si="0"/>
        <v>0</v>
      </c>
    </row>
    <row r="10" spans="1:9">
      <c r="A10" s="412">
        <v>4</v>
      </c>
      <c r="B10" s="416" t="s">
        <v>698</v>
      </c>
      <c r="C10" s="566">
        <v>39205685.380000003</v>
      </c>
      <c r="D10" s="566">
        <v>38765760.935986981</v>
      </c>
      <c r="E10" s="566">
        <v>15670281.346746001</v>
      </c>
      <c r="F10" s="566">
        <v>721113.94113000028</v>
      </c>
      <c r="G10" s="566">
        <v>0</v>
      </c>
      <c r="H10" s="566">
        <v>0</v>
      </c>
      <c r="I10" s="568">
        <f t="shared" si="0"/>
        <v>61580051.028110996</v>
      </c>
    </row>
    <row r="11" spans="1:9">
      <c r="A11" s="412">
        <v>5</v>
      </c>
      <c r="B11" s="416" t="s">
        <v>569</v>
      </c>
      <c r="C11" s="566">
        <v>28204115.605</v>
      </c>
      <c r="D11" s="566">
        <v>48888436.31226401</v>
      </c>
      <c r="E11" s="566">
        <v>12837041.245896002</v>
      </c>
      <c r="F11" s="566">
        <v>896031.33322300017</v>
      </c>
      <c r="G11" s="566">
        <v>0</v>
      </c>
      <c r="H11" s="566">
        <v>0</v>
      </c>
      <c r="I11" s="568">
        <f t="shared" si="0"/>
        <v>63359479.33814501</v>
      </c>
    </row>
    <row r="12" spans="1:9">
      <c r="A12" s="412">
        <v>6</v>
      </c>
      <c r="B12" s="416" t="s">
        <v>570</v>
      </c>
      <c r="C12" s="566">
        <v>5071287.91</v>
      </c>
      <c r="D12" s="566">
        <v>50235244.897541992</v>
      </c>
      <c r="E12" s="566">
        <v>2739249.8846249999</v>
      </c>
      <c r="F12" s="566">
        <v>903147.75262100005</v>
      </c>
      <c r="G12" s="566">
        <v>0</v>
      </c>
      <c r="H12" s="566">
        <v>0</v>
      </c>
      <c r="I12" s="568">
        <f t="shared" si="0"/>
        <v>51664135.170295991</v>
      </c>
    </row>
    <row r="13" spans="1:9">
      <c r="A13" s="412">
        <v>7</v>
      </c>
      <c r="B13" s="416" t="s">
        <v>571</v>
      </c>
      <c r="C13" s="566">
        <v>6061023.6000000006</v>
      </c>
      <c r="D13" s="566">
        <v>6836282.270105999</v>
      </c>
      <c r="E13" s="566">
        <v>2672031.9141319999</v>
      </c>
      <c r="F13" s="566">
        <v>83948.695331999988</v>
      </c>
      <c r="G13" s="566">
        <v>0</v>
      </c>
      <c r="H13" s="566">
        <v>0</v>
      </c>
      <c r="I13" s="568">
        <f t="shared" si="0"/>
        <v>10141325.260642001</v>
      </c>
    </row>
    <row r="14" spans="1:9">
      <c r="A14" s="412">
        <v>8</v>
      </c>
      <c r="B14" s="416" t="s">
        <v>572</v>
      </c>
      <c r="C14" s="566">
        <v>18135635.420000002</v>
      </c>
      <c r="D14" s="566">
        <v>6294452.9913499989</v>
      </c>
      <c r="E14" s="566">
        <v>8076700.626685001</v>
      </c>
      <c r="F14" s="566">
        <v>125081.34431599999</v>
      </c>
      <c r="G14" s="566">
        <v>0</v>
      </c>
      <c r="H14" s="566">
        <v>9073913.4199999999</v>
      </c>
      <c r="I14" s="568">
        <f t="shared" si="0"/>
        <v>16228306.440349</v>
      </c>
    </row>
    <row r="15" spans="1:9">
      <c r="A15" s="412">
        <v>9</v>
      </c>
      <c r="B15" s="416" t="s">
        <v>573</v>
      </c>
      <c r="C15" s="566">
        <v>52014519.609999992</v>
      </c>
      <c r="D15" s="566">
        <v>101334318.93243903</v>
      </c>
      <c r="E15" s="566">
        <v>31348430.121345993</v>
      </c>
      <c r="F15" s="566">
        <v>1853118.6909719999</v>
      </c>
      <c r="G15" s="566">
        <v>0</v>
      </c>
      <c r="H15" s="566">
        <v>0</v>
      </c>
      <c r="I15" s="568">
        <f t="shared" si="0"/>
        <v>120147289.73012102</v>
      </c>
    </row>
    <row r="16" spans="1:9">
      <c r="A16" s="412">
        <v>10</v>
      </c>
      <c r="B16" s="416" t="s">
        <v>574</v>
      </c>
      <c r="C16" s="566">
        <v>47907.579999999994</v>
      </c>
      <c r="D16" s="566">
        <v>1326966.9882819995</v>
      </c>
      <c r="E16" s="566">
        <v>14372.27339</v>
      </c>
      <c r="F16" s="566">
        <v>26422.397503</v>
      </c>
      <c r="G16" s="566">
        <v>0</v>
      </c>
      <c r="H16" s="566">
        <v>0</v>
      </c>
      <c r="I16" s="568">
        <f t="shared" si="0"/>
        <v>1334079.8973889996</v>
      </c>
    </row>
    <row r="17" spans="1:9">
      <c r="A17" s="412">
        <v>11</v>
      </c>
      <c r="B17" s="416" t="s">
        <v>575</v>
      </c>
      <c r="C17" s="566">
        <v>0</v>
      </c>
      <c r="D17" s="566">
        <v>890119.99808599998</v>
      </c>
      <c r="E17" s="566">
        <v>0</v>
      </c>
      <c r="F17" s="566">
        <v>17775.470001000002</v>
      </c>
      <c r="G17" s="566">
        <v>0</v>
      </c>
      <c r="H17" s="566">
        <v>0</v>
      </c>
      <c r="I17" s="568">
        <f t="shared" si="0"/>
        <v>872344.528085</v>
      </c>
    </row>
    <row r="18" spans="1:9">
      <c r="A18" s="412">
        <v>12</v>
      </c>
      <c r="B18" s="416" t="s">
        <v>576</v>
      </c>
      <c r="C18" s="566">
        <v>21837550.069999997</v>
      </c>
      <c r="D18" s="566">
        <v>7851421.9904579977</v>
      </c>
      <c r="E18" s="566">
        <v>6614927.0228949999</v>
      </c>
      <c r="F18" s="566">
        <v>135741.925812</v>
      </c>
      <c r="G18" s="566">
        <v>0</v>
      </c>
      <c r="H18" s="566">
        <v>0</v>
      </c>
      <c r="I18" s="568">
        <f t="shared" si="0"/>
        <v>22938303.111750994</v>
      </c>
    </row>
    <row r="19" spans="1:9">
      <c r="A19" s="412">
        <v>13</v>
      </c>
      <c r="B19" s="416" t="s">
        <v>577</v>
      </c>
      <c r="C19" s="566">
        <v>5080357.13</v>
      </c>
      <c r="D19" s="566">
        <v>6110880.1602659989</v>
      </c>
      <c r="E19" s="566">
        <v>1882812.5149109999</v>
      </c>
      <c r="F19" s="566">
        <v>121091.87337599999</v>
      </c>
      <c r="G19" s="566">
        <v>0</v>
      </c>
      <c r="H19" s="566">
        <v>0</v>
      </c>
      <c r="I19" s="568">
        <f t="shared" si="0"/>
        <v>9187332.9019789994</v>
      </c>
    </row>
    <row r="20" spans="1:9">
      <c r="A20" s="412">
        <v>14</v>
      </c>
      <c r="B20" s="416" t="s">
        <v>578</v>
      </c>
      <c r="C20" s="566">
        <v>35446028.600000001</v>
      </c>
      <c r="D20" s="566">
        <v>25455038.528564002</v>
      </c>
      <c r="E20" s="566">
        <v>15801065.760929001</v>
      </c>
      <c r="F20" s="566">
        <v>415863.52934499999</v>
      </c>
      <c r="G20" s="566">
        <v>0</v>
      </c>
      <c r="H20" s="566">
        <v>62721.14</v>
      </c>
      <c r="I20" s="568">
        <f t="shared" si="0"/>
        <v>44684137.838289998</v>
      </c>
    </row>
    <row r="21" spans="1:9">
      <c r="A21" s="412">
        <v>15</v>
      </c>
      <c r="B21" s="416" t="s">
        <v>579</v>
      </c>
      <c r="C21" s="566">
        <v>654375.42000000004</v>
      </c>
      <c r="D21" s="566">
        <v>0</v>
      </c>
      <c r="E21" s="566">
        <v>196312.62785799999</v>
      </c>
      <c r="F21" s="566">
        <v>0</v>
      </c>
      <c r="G21" s="566">
        <v>0</v>
      </c>
      <c r="H21" s="566">
        <v>0</v>
      </c>
      <c r="I21" s="568">
        <f t="shared" si="0"/>
        <v>458062.79214200005</v>
      </c>
    </row>
    <row r="22" spans="1:9">
      <c r="A22" s="412">
        <v>16</v>
      </c>
      <c r="B22" s="416" t="s">
        <v>580</v>
      </c>
      <c r="C22" s="566">
        <v>69093.48</v>
      </c>
      <c r="D22" s="566">
        <v>50302476.240473002</v>
      </c>
      <c r="E22" s="566">
        <v>34546.741612999998</v>
      </c>
      <c r="F22" s="566">
        <v>948237.70841199998</v>
      </c>
      <c r="G22" s="566">
        <v>0</v>
      </c>
      <c r="H22" s="566">
        <v>0</v>
      </c>
      <c r="I22" s="568">
        <f t="shared" si="0"/>
        <v>49388785.270447999</v>
      </c>
    </row>
    <row r="23" spans="1:9">
      <c r="A23" s="412">
        <v>17</v>
      </c>
      <c r="B23" s="416" t="s">
        <v>701</v>
      </c>
      <c r="C23" s="566">
        <v>129804.45</v>
      </c>
      <c r="D23" s="566">
        <v>18132301.535664</v>
      </c>
      <c r="E23" s="566">
        <v>524109.66528400005</v>
      </c>
      <c r="F23" s="566">
        <v>263530.29514000006</v>
      </c>
      <c r="G23" s="566">
        <v>0</v>
      </c>
      <c r="H23" s="566">
        <v>0</v>
      </c>
      <c r="I23" s="568">
        <f t="shared" si="0"/>
        <v>17474466.025239997</v>
      </c>
    </row>
    <row r="24" spans="1:9">
      <c r="A24" s="412">
        <v>18</v>
      </c>
      <c r="B24" s="416" t="s">
        <v>581</v>
      </c>
      <c r="C24" s="566">
        <v>1962363</v>
      </c>
      <c r="D24" s="566">
        <v>1422528.1535419999</v>
      </c>
      <c r="E24" s="566">
        <v>1227427.136103</v>
      </c>
      <c r="F24" s="566">
        <v>3562.3349600000001</v>
      </c>
      <c r="G24" s="566">
        <v>0</v>
      </c>
      <c r="H24" s="566">
        <v>0</v>
      </c>
      <c r="I24" s="568">
        <f t="shared" si="0"/>
        <v>2153901.6824789997</v>
      </c>
    </row>
    <row r="25" spans="1:9">
      <c r="A25" s="412">
        <v>19</v>
      </c>
      <c r="B25" s="416" t="s">
        <v>582</v>
      </c>
      <c r="C25" s="566">
        <v>0</v>
      </c>
      <c r="D25" s="566">
        <v>27343667.450435005</v>
      </c>
      <c r="E25" s="566">
        <v>2567755.359594</v>
      </c>
      <c r="F25" s="566">
        <v>32826.128391000006</v>
      </c>
      <c r="G25" s="566">
        <v>0</v>
      </c>
      <c r="H25" s="566">
        <v>0</v>
      </c>
      <c r="I25" s="568">
        <f t="shared" si="0"/>
        <v>24743085.962450005</v>
      </c>
    </row>
    <row r="26" spans="1:9">
      <c r="A26" s="412">
        <v>20</v>
      </c>
      <c r="B26" s="416" t="s">
        <v>700</v>
      </c>
      <c r="C26" s="566">
        <v>0</v>
      </c>
      <c r="D26" s="566">
        <v>37066223.11459101</v>
      </c>
      <c r="E26" s="566">
        <v>43289.704348999992</v>
      </c>
      <c r="F26" s="566">
        <v>730156.05318999977</v>
      </c>
      <c r="G26" s="566">
        <v>0</v>
      </c>
      <c r="H26" s="566">
        <v>0</v>
      </c>
      <c r="I26" s="568">
        <f t="shared" si="0"/>
        <v>36292777.357052013</v>
      </c>
    </row>
    <row r="27" spans="1:9">
      <c r="A27" s="412">
        <v>21</v>
      </c>
      <c r="B27" s="416" t="s">
        <v>583</v>
      </c>
      <c r="C27" s="566">
        <v>0</v>
      </c>
      <c r="D27" s="566">
        <v>2305994.7293400001</v>
      </c>
      <c r="E27" s="566">
        <v>0</v>
      </c>
      <c r="F27" s="566">
        <v>45937.889975000006</v>
      </c>
      <c r="G27" s="566">
        <v>0</v>
      </c>
      <c r="H27" s="566">
        <v>0</v>
      </c>
      <c r="I27" s="568">
        <f t="shared" si="0"/>
        <v>2260056.8393649999</v>
      </c>
    </row>
    <row r="28" spans="1:9">
      <c r="A28" s="412">
        <v>22</v>
      </c>
      <c r="B28" s="416" t="s">
        <v>584</v>
      </c>
      <c r="C28" s="566">
        <v>8801932.8499999996</v>
      </c>
      <c r="D28" s="566">
        <v>33779797.569387004</v>
      </c>
      <c r="E28" s="566">
        <v>8382988.6323570004</v>
      </c>
      <c r="F28" s="566">
        <v>12590.422514</v>
      </c>
      <c r="G28" s="566">
        <v>0</v>
      </c>
      <c r="H28" s="566">
        <v>0</v>
      </c>
      <c r="I28" s="568">
        <f t="shared" si="0"/>
        <v>34186151.364516005</v>
      </c>
    </row>
    <row r="29" spans="1:9">
      <c r="A29" s="412">
        <v>23</v>
      </c>
      <c r="B29" s="416" t="s">
        <v>585</v>
      </c>
      <c r="C29" s="566">
        <v>10431391.470000001</v>
      </c>
      <c r="D29" s="566">
        <v>67559438.426205978</v>
      </c>
      <c r="E29" s="566">
        <v>5115401.2762510013</v>
      </c>
      <c r="F29" s="566">
        <v>1335096.4048849999</v>
      </c>
      <c r="G29" s="566">
        <v>0</v>
      </c>
      <c r="H29" s="566">
        <v>0</v>
      </c>
      <c r="I29" s="568">
        <f t="shared" si="0"/>
        <v>71540332.215069979</v>
      </c>
    </row>
    <row r="30" spans="1:9">
      <c r="A30" s="412">
        <v>24</v>
      </c>
      <c r="B30" s="416" t="s">
        <v>699</v>
      </c>
      <c r="C30" s="566">
        <v>13271631.180000002</v>
      </c>
      <c r="D30" s="566">
        <v>30189508.447790999</v>
      </c>
      <c r="E30" s="566">
        <v>8392167.7460900005</v>
      </c>
      <c r="F30" s="566">
        <v>403578.03948199993</v>
      </c>
      <c r="G30" s="566">
        <v>0</v>
      </c>
      <c r="H30" s="566">
        <v>0</v>
      </c>
      <c r="I30" s="568">
        <f t="shared" si="0"/>
        <v>34665393.842219003</v>
      </c>
    </row>
    <row r="31" spans="1:9">
      <c r="A31" s="412">
        <v>25</v>
      </c>
      <c r="B31" s="416" t="s">
        <v>586</v>
      </c>
      <c r="C31" s="566">
        <v>4621563.6441000002</v>
      </c>
      <c r="D31" s="566">
        <v>31559657.103191994</v>
      </c>
      <c r="E31" s="566">
        <v>1855706.3592389994</v>
      </c>
      <c r="F31" s="566">
        <v>528590.33081900002</v>
      </c>
      <c r="G31" s="566">
        <v>0</v>
      </c>
      <c r="H31" s="566">
        <v>0</v>
      </c>
      <c r="I31" s="568">
        <f t="shared" si="0"/>
        <v>33796924.057233997</v>
      </c>
    </row>
    <row r="32" spans="1:9">
      <c r="A32" s="412">
        <v>26</v>
      </c>
      <c r="B32" s="416" t="s">
        <v>696</v>
      </c>
      <c r="C32" s="566">
        <v>15361.169599999999</v>
      </c>
      <c r="D32" s="566">
        <v>1427743.0309899992</v>
      </c>
      <c r="E32" s="566">
        <v>9830.3858800000016</v>
      </c>
      <c r="F32" s="566">
        <v>21648.318128000028</v>
      </c>
      <c r="G32" s="566">
        <v>0</v>
      </c>
      <c r="H32" s="566">
        <v>0</v>
      </c>
      <c r="I32" s="568">
        <f t="shared" si="0"/>
        <v>1411625.4965819991</v>
      </c>
    </row>
    <row r="33" spans="1:9">
      <c r="A33" s="412">
        <v>27</v>
      </c>
      <c r="B33" s="412" t="s">
        <v>587</v>
      </c>
      <c r="C33" s="566">
        <v>34994682</v>
      </c>
      <c r="D33" s="566">
        <v>77202944.357111007</v>
      </c>
      <c r="E33" s="566">
        <v>10674760</v>
      </c>
      <c r="F33" s="566">
        <v>1140</v>
      </c>
      <c r="G33" s="566">
        <v>8272882.8499999996</v>
      </c>
      <c r="H33" s="566">
        <v>359749.7</v>
      </c>
      <c r="I33" s="568">
        <f t="shared" si="0"/>
        <v>93248843.507111013</v>
      </c>
    </row>
    <row r="34" spans="1:9">
      <c r="A34" s="412">
        <v>28</v>
      </c>
      <c r="B34" s="417" t="s">
        <v>109</v>
      </c>
      <c r="C34" s="567">
        <f>SUM(C7:C33)</f>
        <v>286690610.80869997</v>
      </c>
      <c r="D34" s="567">
        <f t="shared" ref="D34:H34" si="1">SUM(D7:D33)</f>
        <v>1310351673.3482871</v>
      </c>
      <c r="E34" s="567">
        <f t="shared" si="1"/>
        <v>136872707.21766895</v>
      </c>
      <c r="F34" s="567">
        <f t="shared" si="1"/>
        <v>9869357.8592729997</v>
      </c>
      <c r="G34" s="567">
        <f t="shared" si="1"/>
        <v>8272882.8499999996</v>
      </c>
      <c r="H34" s="567">
        <f t="shared" si="1"/>
        <v>9497973.879999999</v>
      </c>
      <c r="I34" s="568">
        <f t="shared" si="0"/>
        <v>1442027336.2300453</v>
      </c>
    </row>
    <row r="36" spans="1:9">
      <c r="B36" s="448"/>
    </row>
    <row r="42" spans="1:9">
      <c r="A42" s="445"/>
      <c r="B42" s="445"/>
    </row>
    <row r="43" spans="1:9">
      <c r="A43" s="445"/>
      <c r="B43" s="44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heetViews>
  <sheetFormatPr defaultColWidth="9.28515625" defaultRowHeight="12.75"/>
  <cols>
    <col min="1" max="1" width="11.7109375" style="415" bestFit="1" customWidth="1"/>
    <col min="2" max="2" width="108" style="415" bestFit="1" customWidth="1"/>
    <col min="3" max="4" width="35.5703125" style="415" customWidth="1"/>
    <col min="5" max="16384" width="9.28515625" style="415"/>
  </cols>
  <sheetData>
    <row r="1" spans="1:4">
      <c r="A1" s="407" t="s">
        <v>30</v>
      </c>
      <c r="B1" s="415" t="str">
        <f>'1. key ratios '!B1</f>
        <v>JSC CARTU BANK</v>
      </c>
    </row>
    <row r="2" spans="1:4" ht="13.5">
      <c r="A2" s="407" t="s">
        <v>31</v>
      </c>
      <c r="B2" s="371">
        <f>'1. key ratios '!B2</f>
        <v>44742</v>
      </c>
    </row>
    <row r="3" spans="1:4">
      <c r="A3" s="408" t="s">
        <v>588</v>
      </c>
    </row>
    <row r="5" spans="1:4" ht="25.5">
      <c r="A5" s="703" t="s">
        <v>589</v>
      </c>
      <c r="B5" s="703"/>
      <c r="C5" s="437" t="s">
        <v>590</v>
      </c>
      <c r="D5" s="437" t="s">
        <v>591</v>
      </c>
    </row>
    <row r="6" spans="1:4">
      <c r="A6" s="418">
        <v>1</v>
      </c>
      <c r="B6" s="419" t="s">
        <v>592</v>
      </c>
      <c r="C6" s="567">
        <v>162019834.3748894</v>
      </c>
      <c r="D6" s="567">
        <v>60000</v>
      </c>
    </row>
    <row r="7" spans="1:4">
      <c r="A7" s="420">
        <v>2</v>
      </c>
      <c r="B7" s="419" t="s">
        <v>593</v>
      </c>
      <c r="C7" s="567">
        <v>18568345.650485344</v>
      </c>
      <c r="D7" s="567">
        <f>SUM(D8:D11)</f>
        <v>0</v>
      </c>
    </row>
    <row r="8" spans="1:4">
      <c r="A8" s="420">
        <v>2.1</v>
      </c>
      <c r="B8" s="421" t="s">
        <v>704</v>
      </c>
      <c r="C8" s="566">
        <v>4819336.5710110879</v>
      </c>
      <c r="D8" s="566"/>
    </row>
    <row r="9" spans="1:4">
      <c r="A9" s="420">
        <v>2.2000000000000002</v>
      </c>
      <c r="B9" s="421" t="s">
        <v>702</v>
      </c>
      <c r="C9" s="566">
        <v>13749009.079474255</v>
      </c>
      <c r="D9" s="566"/>
    </row>
    <row r="10" spans="1:4">
      <c r="A10" s="420">
        <v>2.2999999999999998</v>
      </c>
      <c r="B10" s="421" t="s">
        <v>594</v>
      </c>
      <c r="C10" s="566">
        <v>8.9779258246464044E-14</v>
      </c>
      <c r="D10" s="566"/>
    </row>
    <row r="11" spans="1:4">
      <c r="A11" s="420">
        <v>2.4</v>
      </c>
      <c r="B11" s="421" t="s">
        <v>595</v>
      </c>
      <c r="C11" s="566">
        <v>0</v>
      </c>
      <c r="D11" s="566"/>
    </row>
    <row r="12" spans="1:4">
      <c r="A12" s="418">
        <v>3</v>
      </c>
      <c r="B12" s="419" t="s">
        <v>596</v>
      </c>
      <c r="C12" s="567">
        <f>SUM(C13:C18)</f>
        <v>44582014.35675934</v>
      </c>
      <c r="D12" s="567">
        <f>SUM(D13:D18)</f>
        <v>0</v>
      </c>
    </row>
    <row r="13" spans="1:4">
      <c r="A13" s="420">
        <v>3.1</v>
      </c>
      <c r="B13" s="421" t="s">
        <v>597</v>
      </c>
      <c r="C13" s="566">
        <v>9137678.5730529986</v>
      </c>
      <c r="D13" s="566"/>
    </row>
    <row r="14" spans="1:4">
      <c r="A14" s="420">
        <v>3.2</v>
      </c>
      <c r="B14" s="421" t="s">
        <v>598</v>
      </c>
      <c r="C14" s="566">
        <v>3416697.6131179021</v>
      </c>
      <c r="D14" s="566">
        <v>0</v>
      </c>
    </row>
    <row r="15" spans="1:4">
      <c r="A15" s="420">
        <v>3.3</v>
      </c>
      <c r="B15" s="421" t="s">
        <v>693</v>
      </c>
      <c r="C15" s="566">
        <v>19181842.624162849</v>
      </c>
      <c r="D15" s="566"/>
    </row>
    <row r="16" spans="1:4">
      <c r="A16" s="420">
        <v>3.4</v>
      </c>
      <c r="B16" s="421" t="s">
        <v>703</v>
      </c>
      <c r="C16" s="566">
        <v>7254707.5974727366</v>
      </c>
      <c r="D16" s="566"/>
    </row>
    <row r="17" spans="1:4">
      <c r="A17" s="420">
        <v>3.5</v>
      </c>
      <c r="B17" s="421" t="s">
        <v>599</v>
      </c>
      <c r="C17" s="566">
        <v>5591087.9489528555</v>
      </c>
      <c r="D17" s="566">
        <v>0</v>
      </c>
    </row>
    <row r="18" spans="1:4">
      <c r="A18" s="420">
        <v>3.6</v>
      </c>
      <c r="B18" s="421" t="s">
        <v>600</v>
      </c>
      <c r="C18" s="566">
        <v>0</v>
      </c>
      <c r="D18" s="566"/>
    </row>
    <row r="19" spans="1:4">
      <c r="A19" s="422">
        <v>4</v>
      </c>
      <c r="B19" s="419" t="s">
        <v>601</v>
      </c>
      <c r="C19" s="567">
        <f>C6+C7-C12</f>
        <v>136006165.6686154</v>
      </c>
      <c r="D19" s="567">
        <f>D6+D7-D12</f>
        <v>60000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heetViews>
  <sheetFormatPr defaultColWidth="9.28515625" defaultRowHeight="12.75"/>
  <cols>
    <col min="1" max="1" width="11.7109375" style="415" bestFit="1" customWidth="1"/>
    <col min="2" max="2" width="124.7109375" style="415" customWidth="1"/>
    <col min="3" max="3" width="31.5703125" style="415" customWidth="1"/>
    <col min="4" max="4" width="39.28515625" style="415" customWidth="1"/>
    <col min="5" max="16384" width="9.28515625" style="415"/>
  </cols>
  <sheetData>
    <row r="1" spans="1:4">
      <c r="A1" s="407" t="s">
        <v>30</v>
      </c>
      <c r="B1" s="415" t="str">
        <f>'1. key ratios '!B1</f>
        <v>JSC CARTU BANK</v>
      </c>
    </row>
    <row r="2" spans="1:4" ht="13.5">
      <c r="A2" s="407" t="s">
        <v>31</v>
      </c>
      <c r="B2" s="371">
        <f>'1. key ratios '!B2</f>
        <v>44742</v>
      </c>
    </row>
    <row r="3" spans="1:4">
      <c r="A3" s="408" t="s">
        <v>602</v>
      </c>
    </row>
    <row r="4" spans="1:4">
      <c r="A4" s="408"/>
    </row>
    <row r="5" spans="1:4" ht="15" customHeight="1">
      <c r="A5" s="704" t="s">
        <v>705</v>
      </c>
      <c r="B5" s="705"/>
      <c r="C5" s="694" t="s">
        <v>603</v>
      </c>
      <c r="D5" s="708" t="s">
        <v>604</v>
      </c>
    </row>
    <row r="6" spans="1:4">
      <c r="A6" s="706"/>
      <c r="B6" s="707"/>
      <c r="C6" s="697"/>
      <c r="D6" s="708"/>
    </row>
    <row r="7" spans="1:4">
      <c r="A7" s="417">
        <v>1</v>
      </c>
      <c r="B7" s="417" t="s">
        <v>592</v>
      </c>
      <c r="C7" s="567">
        <v>323086469.97390014</v>
      </c>
      <c r="D7" s="569"/>
    </row>
    <row r="8" spans="1:4">
      <c r="A8" s="412">
        <v>2</v>
      </c>
      <c r="B8" s="412" t="s">
        <v>605</v>
      </c>
      <c r="C8" s="566">
        <v>15077485.46027364</v>
      </c>
      <c r="D8" s="569"/>
    </row>
    <row r="9" spans="1:4">
      <c r="A9" s="412">
        <v>3</v>
      </c>
      <c r="B9" s="423" t="s">
        <v>606</v>
      </c>
      <c r="C9" s="566">
        <v>8.6250000295748919E-3</v>
      </c>
      <c r="D9" s="569"/>
    </row>
    <row r="10" spans="1:4">
      <c r="A10" s="412">
        <v>4</v>
      </c>
      <c r="B10" s="412" t="s">
        <v>607</v>
      </c>
      <c r="C10" s="566">
        <f>SUM(C11:C18)</f>
        <v>86537870.224098608</v>
      </c>
      <c r="D10" s="569"/>
    </row>
    <row r="11" spans="1:4">
      <c r="A11" s="412">
        <v>5</v>
      </c>
      <c r="B11" s="424" t="s">
        <v>608</v>
      </c>
      <c r="C11" s="566">
        <v>5091439.8000000007</v>
      </c>
      <c r="D11" s="569"/>
    </row>
    <row r="12" spans="1:4">
      <c r="A12" s="412">
        <v>6</v>
      </c>
      <c r="B12" s="424" t="s">
        <v>609</v>
      </c>
      <c r="C12" s="566">
        <v>26165815.099999998</v>
      </c>
      <c r="D12" s="569"/>
    </row>
    <row r="13" spans="1:4">
      <c r="A13" s="412">
        <v>7</v>
      </c>
      <c r="B13" s="424" t="s">
        <v>610</v>
      </c>
      <c r="C13" s="566">
        <v>34164569.385402538</v>
      </c>
      <c r="D13" s="569"/>
    </row>
    <row r="14" spans="1:4">
      <c r="A14" s="412">
        <v>8</v>
      </c>
      <c r="B14" s="424" t="s">
        <v>611</v>
      </c>
      <c r="C14" s="566">
        <v>276883.85438999999</v>
      </c>
      <c r="D14" s="566">
        <v>277536</v>
      </c>
    </row>
    <row r="15" spans="1:4">
      <c r="A15" s="412">
        <v>9</v>
      </c>
      <c r="B15" s="424" t="s">
        <v>612</v>
      </c>
      <c r="C15" s="566">
        <v>0</v>
      </c>
      <c r="D15" s="566"/>
    </row>
    <row r="16" spans="1:4">
      <c r="A16" s="412">
        <v>10</v>
      </c>
      <c r="B16" s="424" t="s">
        <v>613</v>
      </c>
      <c r="C16" s="566">
        <v>9137678.5730529986</v>
      </c>
      <c r="D16" s="569"/>
    </row>
    <row r="17" spans="1:4">
      <c r="A17" s="412">
        <v>11</v>
      </c>
      <c r="B17" s="424" t="s">
        <v>614</v>
      </c>
      <c r="C17" s="566">
        <v>0</v>
      </c>
      <c r="D17" s="566"/>
    </row>
    <row r="18" spans="1:4">
      <c r="A18" s="412">
        <v>12</v>
      </c>
      <c r="B18" s="421" t="s">
        <v>710</v>
      </c>
      <c r="C18" s="566">
        <v>11701483.511253068</v>
      </c>
      <c r="D18" s="569"/>
    </row>
    <row r="19" spans="1:4">
      <c r="A19" s="417">
        <v>13</v>
      </c>
      <c r="B19" s="449" t="s">
        <v>601</v>
      </c>
      <c r="C19" s="567">
        <f>C7+C8+C9-C10</f>
        <v>251626085.21870011</v>
      </c>
      <c r="D19" s="570"/>
    </row>
    <row r="22" spans="1:4">
      <c r="B22" s="407"/>
    </row>
    <row r="23" spans="1:4">
      <c r="B23" s="407"/>
    </row>
    <row r="24" spans="1:4">
      <c r="B24" s="40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J1" workbookViewId="0">
      <selection activeCell="C12" sqref="C12:U14"/>
    </sheetView>
  </sheetViews>
  <sheetFormatPr defaultColWidth="9.28515625" defaultRowHeight="12.75"/>
  <cols>
    <col min="1" max="1" width="11.7109375" style="415" bestFit="1" customWidth="1"/>
    <col min="2" max="2" width="80.7109375" style="415" customWidth="1"/>
    <col min="3" max="3" width="15.5703125" style="415" customWidth="1"/>
    <col min="4" max="5" width="22.28515625" style="415" customWidth="1"/>
    <col min="6" max="6" width="23.42578125" style="415" customWidth="1"/>
    <col min="7" max="14" width="22.28515625" style="415" customWidth="1"/>
    <col min="15" max="15" width="23.28515625" style="415" bestFit="1" customWidth="1"/>
    <col min="16" max="16" width="21.7109375" style="415" bestFit="1" customWidth="1"/>
    <col min="17" max="19" width="19" style="415" bestFit="1" customWidth="1"/>
    <col min="20" max="20" width="16.28515625" style="415" customWidth="1"/>
    <col min="21" max="21" width="21" style="415" customWidth="1"/>
    <col min="22" max="22" width="20" style="415" customWidth="1"/>
    <col min="23" max="16384" width="9.28515625" style="415"/>
  </cols>
  <sheetData>
    <row r="1" spans="1:22">
      <c r="A1" s="407" t="s">
        <v>30</v>
      </c>
      <c r="B1" s="415" t="str">
        <f>'1. key ratios '!B1</f>
        <v>JSC CARTU BANK</v>
      </c>
    </row>
    <row r="2" spans="1:22" ht="13.5">
      <c r="A2" s="407" t="s">
        <v>31</v>
      </c>
      <c r="B2" s="371">
        <f>'1. key ratios '!B2</f>
        <v>44742</v>
      </c>
      <c r="C2" s="442"/>
    </row>
    <row r="3" spans="1:22">
      <c r="A3" s="408" t="s">
        <v>615</v>
      </c>
    </row>
    <row r="5" spans="1:22" ht="15" customHeight="1">
      <c r="A5" s="694" t="s">
        <v>540</v>
      </c>
      <c r="B5" s="696"/>
      <c r="C5" s="711" t="s">
        <v>616</v>
      </c>
      <c r="D5" s="712"/>
      <c r="E5" s="712"/>
      <c r="F5" s="712"/>
      <c r="G5" s="712"/>
      <c r="H5" s="712"/>
      <c r="I5" s="712"/>
      <c r="J5" s="712"/>
      <c r="K5" s="712"/>
      <c r="L5" s="712"/>
      <c r="M5" s="712"/>
      <c r="N5" s="712"/>
      <c r="O5" s="712"/>
      <c r="P5" s="712"/>
      <c r="Q5" s="712"/>
      <c r="R5" s="712"/>
      <c r="S5" s="712"/>
      <c r="T5" s="712"/>
      <c r="U5" s="713"/>
      <c r="V5" s="450"/>
    </row>
    <row r="6" spans="1:22">
      <c r="A6" s="709"/>
      <c r="B6" s="710"/>
      <c r="C6" s="714" t="s">
        <v>109</v>
      </c>
      <c r="D6" s="716" t="s">
        <v>617</v>
      </c>
      <c r="E6" s="716"/>
      <c r="F6" s="701"/>
      <c r="G6" s="717" t="s">
        <v>618</v>
      </c>
      <c r="H6" s="718"/>
      <c r="I6" s="718"/>
      <c r="J6" s="718"/>
      <c r="K6" s="719"/>
      <c r="L6" s="439"/>
      <c r="M6" s="720" t="s">
        <v>619</v>
      </c>
      <c r="N6" s="720"/>
      <c r="O6" s="701"/>
      <c r="P6" s="701"/>
      <c r="Q6" s="701"/>
      <c r="R6" s="701"/>
      <c r="S6" s="701"/>
      <c r="T6" s="701"/>
      <c r="U6" s="701"/>
      <c r="V6" s="439"/>
    </row>
    <row r="7" spans="1:22" ht="25.5">
      <c r="A7" s="697"/>
      <c r="B7" s="699"/>
      <c r="C7" s="715"/>
      <c r="D7" s="451"/>
      <c r="E7" s="444" t="s">
        <v>620</v>
      </c>
      <c r="F7" s="444" t="s">
        <v>621</v>
      </c>
      <c r="G7" s="442"/>
      <c r="H7" s="444" t="s">
        <v>620</v>
      </c>
      <c r="I7" s="444" t="s">
        <v>622</v>
      </c>
      <c r="J7" s="444" t="s">
        <v>623</v>
      </c>
      <c r="K7" s="444" t="s">
        <v>624</v>
      </c>
      <c r="L7" s="438"/>
      <c r="M7" s="433" t="s">
        <v>625</v>
      </c>
      <c r="N7" s="444" t="s">
        <v>623</v>
      </c>
      <c r="O7" s="444" t="s">
        <v>626</v>
      </c>
      <c r="P7" s="444" t="s">
        <v>627</v>
      </c>
      <c r="Q7" s="444" t="s">
        <v>628</v>
      </c>
      <c r="R7" s="444" t="s">
        <v>629</v>
      </c>
      <c r="S7" s="444" t="s">
        <v>630</v>
      </c>
      <c r="T7" s="452" t="s">
        <v>631</v>
      </c>
      <c r="U7" s="444" t="s">
        <v>632</v>
      </c>
      <c r="V7" s="450"/>
    </row>
    <row r="8" spans="1:22">
      <c r="A8" s="453">
        <v>1</v>
      </c>
      <c r="B8" s="417" t="s">
        <v>633</v>
      </c>
      <c r="C8" s="567">
        <f>SUM(C9:C14)</f>
        <v>830195779.48520148</v>
      </c>
      <c r="D8" s="567">
        <f t="shared" ref="D8:U8" si="0">SUM(D9:D14)</f>
        <v>520215213.00649965</v>
      </c>
      <c r="E8" s="567">
        <f t="shared" si="0"/>
        <v>1050052.07</v>
      </c>
      <c r="F8" s="567">
        <f t="shared" si="0"/>
        <v>82857.583899999969</v>
      </c>
      <c r="G8" s="567">
        <f t="shared" si="0"/>
        <v>58354481.259999983</v>
      </c>
      <c r="H8" s="567">
        <f t="shared" si="0"/>
        <v>1041573.13</v>
      </c>
      <c r="I8" s="567">
        <f t="shared" si="0"/>
        <v>355907.03</v>
      </c>
      <c r="J8" s="567">
        <f t="shared" si="0"/>
        <v>8154373.5299999993</v>
      </c>
      <c r="K8" s="567">
        <f t="shared" si="0"/>
        <v>0</v>
      </c>
      <c r="L8" s="567">
        <f t="shared" si="0"/>
        <v>251626085.21870005</v>
      </c>
      <c r="M8" s="567">
        <f t="shared" si="0"/>
        <v>10821848.220000003</v>
      </c>
      <c r="N8" s="567">
        <f t="shared" si="0"/>
        <v>14403029.329999998</v>
      </c>
      <c r="O8" s="567">
        <f t="shared" si="0"/>
        <v>25349829.91</v>
      </c>
      <c r="P8" s="567">
        <f t="shared" si="0"/>
        <v>15474896.5</v>
      </c>
      <c r="Q8" s="567">
        <f t="shared" si="0"/>
        <v>14630811.300000003</v>
      </c>
      <c r="R8" s="567">
        <f t="shared" si="0"/>
        <v>73193645.294099987</v>
      </c>
      <c r="S8" s="567">
        <f t="shared" si="0"/>
        <v>14493207.224600004</v>
      </c>
      <c r="T8" s="567">
        <f t="shared" si="0"/>
        <v>27090803.839999996</v>
      </c>
      <c r="U8" s="567">
        <f t="shared" si="0"/>
        <v>101976490.78339998</v>
      </c>
    </row>
    <row r="9" spans="1:22">
      <c r="A9" s="412">
        <v>1.1000000000000001</v>
      </c>
      <c r="B9" s="435" t="s">
        <v>634</v>
      </c>
      <c r="C9" s="571"/>
      <c r="D9" s="566"/>
      <c r="E9" s="566"/>
      <c r="F9" s="566"/>
      <c r="G9" s="566"/>
      <c r="H9" s="566"/>
      <c r="I9" s="566"/>
      <c r="J9" s="566"/>
      <c r="K9" s="566"/>
      <c r="L9" s="566"/>
      <c r="M9" s="566"/>
      <c r="N9" s="566"/>
      <c r="O9" s="566"/>
      <c r="P9" s="566"/>
      <c r="Q9" s="566"/>
      <c r="R9" s="566"/>
      <c r="S9" s="566"/>
      <c r="T9" s="566"/>
      <c r="U9" s="566"/>
    </row>
    <row r="10" spans="1:22">
      <c r="A10" s="412">
        <v>1.2</v>
      </c>
      <c r="B10" s="435" t="s">
        <v>635</v>
      </c>
      <c r="C10" s="571"/>
      <c r="D10" s="566"/>
      <c r="E10" s="566"/>
      <c r="F10" s="566"/>
      <c r="G10" s="566"/>
      <c r="H10" s="566"/>
      <c r="I10" s="566"/>
      <c r="J10" s="566"/>
      <c r="K10" s="566"/>
      <c r="L10" s="566"/>
      <c r="M10" s="566"/>
      <c r="N10" s="566"/>
      <c r="O10" s="566"/>
      <c r="P10" s="566"/>
      <c r="Q10" s="566"/>
      <c r="R10" s="566"/>
      <c r="S10" s="566"/>
      <c r="T10" s="566"/>
      <c r="U10" s="566"/>
    </row>
    <row r="11" spans="1:22">
      <c r="A11" s="412">
        <v>1.3</v>
      </c>
      <c r="B11" s="435" t="s">
        <v>636</v>
      </c>
      <c r="C11" s="571"/>
      <c r="D11" s="566"/>
      <c r="E11" s="566"/>
      <c r="F11" s="566"/>
      <c r="G11" s="566"/>
      <c r="H11" s="566"/>
      <c r="I11" s="566"/>
      <c r="J11" s="566"/>
      <c r="K11" s="566"/>
      <c r="L11" s="566"/>
      <c r="M11" s="566"/>
      <c r="N11" s="566"/>
      <c r="O11" s="566"/>
      <c r="P11" s="566"/>
      <c r="Q11" s="566"/>
      <c r="R11" s="566"/>
      <c r="S11" s="566"/>
      <c r="T11" s="566"/>
      <c r="U11" s="566"/>
    </row>
    <row r="12" spans="1:22">
      <c r="A12" s="412">
        <v>1.4</v>
      </c>
      <c r="B12" s="435" t="s">
        <v>637</v>
      </c>
      <c r="C12" s="571">
        <v>4200</v>
      </c>
      <c r="D12" s="566">
        <v>4200</v>
      </c>
      <c r="E12" s="566">
        <v>0</v>
      </c>
      <c r="F12" s="566">
        <v>0</v>
      </c>
      <c r="G12" s="566">
        <v>0</v>
      </c>
      <c r="H12" s="566">
        <v>0</v>
      </c>
      <c r="I12" s="566">
        <v>0</v>
      </c>
      <c r="J12" s="566">
        <v>0</v>
      </c>
      <c r="K12" s="566">
        <v>0</v>
      </c>
      <c r="L12" s="566">
        <v>0</v>
      </c>
      <c r="M12" s="566">
        <v>0</v>
      </c>
      <c r="N12" s="566">
        <v>0</v>
      </c>
      <c r="O12" s="566">
        <v>0</v>
      </c>
      <c r="P12" s="566">
        <v>0</v>
      </c>
      <c r="Q12" s="566">
        <v>0</v>
      </c>
      <c r="R12" s="566">
        <v>0</v>
      </c>
      <c r="S12" s="566">
        <v>0</v>
      </c>
      <c r="T12" s="566">
        <v>0</v>
      </c>
      <c r="U12" s="566">
        <v>0</v>
      </c>
    </row>
    <row r="13" spans="1:22">
      <c r="A13" s="412">
        <v>1.5</v>
      </c>
      <c r="B13" s="435" t="s">
        <v>638</v>
      </c>
      <c r="C13" s="571">
        <v>753292078.76530147</v>
      </c>
      <c r="D13" s="566">
        <v>471125899.90189964</v>
      </c>
      <c r="E13" s="566">
        <v>0</v>
      </c>
      <c r="F13" s="566">
        <v>14461.356900000004</v>
      </c>
      <c r="G13" s="566">
        <v>51961836.869999982</v>
      </c>
      <c r="H13" s="566">
        <v>634071.47</v>
      </c>
      <c r="I13" s="566">
        <v>270378.82</v>
      </c>
      <c r="J13" s="566">
        <v>6794913.1699999999</v>
      </c>
      <c r="K13" s="566">
        <v>0</v>
      </c>
      <c r="L13" s="566">
        <v>230204341.99340007</v>
      </c>
      <c r="M13" s="566">
        <v>9745509.3400000017</v>
      </c>
      <c r="N13" s="566">
        <v>14399817.119999997</v>
      </c>
      <c r="O13" s="566">
        <v>25310082.210000001</v>
      </c>
      <c r="P13" s="566">
        <v>13130688.969999999</v>
      </c>
      <c r="Q13" s="566">
        <v>10258588.940000001</v>
      </c>
      <c r="R13" s="566">
        <v>71870106.298399985</v>
      </c>
      <c r="S13" s="566">
        <v>11060832.285000004</v>
      </c>
      <c r="T13" s="566">
        <v>22158725.239999995</v>
      </c>
      <c r="U13" s="566">
        <v>100534972.82339999</v>
      </c>
    </row>
    <row r="14" spans="1:22">
      <c r="A14" s="412">
        <v>1.6</v>
      </c>
      <c r="B14" s="435" t="s">
        <v>639</v>
      </c>
      <c r="C14" s="571">
        <v>76899500.719900012</v>
      </c>
      <c r="D14" s="566">
        <v>49085113.104600005</v>
      </c>
      <c r="E14" s="566">
        <v>1050052.07</v>
      </c>
      <c r="F14" s="566">
        <v>68396.22699999997</v>
      </c>
      <c r="G14" s="566">
        <v>6392644.3899999997</v>
      </c>
      <c r="H14" s="566">
        <v>407501.66000000003</v>
      </c>
      <c r="I14" s="566">
        <v>85528.21</v>
      </c>
      <c r="J14" s="566">
        <v>1359460.3599999999</v>
      </c>
      <c r="K14" s="566">
        <v>0</v>
      </c>
      <c r="L14" s="566">
        <v>21421743.225299999</v>
      </c>
      <c r="M14" s="566">
        <v>1076338.8800000001</v>
      </c>
      <c r="N14" s="566">
        <v>3212.21</v>
      </c>
      <c r="O14" s="566">
        <v>39747.699999999997</v>
      </c>
      <c r="P14" s="566">
        <v>2344207.5300000003</v>
      </c>
      <c r="Q14" s="566">
        <v>4372222.3600000013</v>
      </c>
      <c r="R14" s="566">
        <v>1323538.9956999999</v>
      </c>
      <c r="S14" s="566">
        <v>3432374.9396000002</v>
      </c>
      <c r="T14" s="566">
        <v>4932078.5999999996</v>
      </c>
      <c r="U14" s="566">
        <v>1441517.96</v>
      </c>
    </row>
    <row r="15" spans="1:22">
      <c r="A15" s="453">
        <v>2</v>
      </c>
      <c r="B15" s="417" t="s">
        <v>640</v>
      </c>
      <c r="C15" s="567">
        <f>SUM(C16:C21)</f>
        <v>30874220</v>
      </c>
      <c r="D15" s="567">
        <f t="shared" ref="D15:U15" si="1">SUM(D16:D21)</f>
        <v>30874220</v>
      </c>
      <c r="E15" s="567">
        <f t="shared" si="1"/>
        <v>0</v>
      </c>
      <c r="F15" s="567">
        <f t="shared" si="1"/>
        <v>0</v>
      </c>
      <c r="G15" s="567">
        <f t="shared" si="1"/>
        <v>0</v>
      </c>
      <c r="H15" s="567">
        <f t="shared" si="1"/>
        <v>0</v>
      </c>
      <c r="I15" s="567">
        <f t="shared" si="1"/>
        <v>0</v>
      </c>
      <c r="J15" s="567">
        <f t="shared" si="1"/>
        <v>0</v>
      </c>
      <c r="K15" s="567">
        <f t="shared" si="1"/>
        <v>0</v>
      </c>
      <c r="L15" s="567">
        <f t="shared" si="1"/>
        <v>0</v>
      </c>
      <c r="M15" s="567">
        <f t="shared" si="1"/>
        <v>0</v>
      </c>
      <c r="N15" s="567">
        <f t="shared" si="1"/>
        <v>0</v>
      </c>
      <c r="O15" s="567">
        <f t="shared" si="1"/>
        <v>0</v>
      </c>
      <c r="P15" s="567">
        <f t="shared" si="1"/>
        <v>0</v>
      </c>
      <c r="Q15" s="567">
        <f t="shared" si="1"/>
        <v>0</v>
      </c>
      <c r="R15" s="567">
        <f t="shared" si="1"/>
        <v>0</v>
      </c>
      <c r="S15" s="567">
        <f t="shared" si="1"/>
        <v>0</v>
      </c>
      <c r="T15" s="567">
        <f t="shared" si="1"/>
        <v>0</v>
      </c>
      <c r="U15" s="567">
        <f t="shared" si="1"/>
        <v>0</v>
      </c>
    </row>
    <row r="16" spans="1:22">
      <c r="A16" s="412">
        <v>2.1</v>
      </c>
      <c r="B16" s="435" t="s">
        <v>634</v>
      </c>
      <c r="C16" s="571">
        <v>0</v>
      </c>
      <c r="D16" s="566">
        <v>0</v>
      </c>
      <c r="E16" s="566"/>
      <c r="F16" s="566"/>
      <c r="G16" s="566"/>
      <c r="H16" s="566"/>
      <c r="I16" s="566"/>
      <c r="J16" s="566"/>
      <c r="K16" s="566"/>
      <c r="L16" s="566"/>
      <c r="M16" s="566"/>
      <c r="N16" s="566"/>
      <c r="O16" s="566"/>
      <c r="P16" s="566"/>
      <c r="Q16" s="566"/>
      <c r="R16" s="566"/>
      <c r="S16" s="566"/>
      <c r="T16" s="566"/>
      <c r="U16" s="566"/>
    </row>
    <row r="17" spans="1:21">
      <c r="A17" s="412">
        <v>2.2000000000000002</v>
      </c>
      <c r="B17" s="435" t="s">
        <v>635</v>
      </c>
      <c r="C17" s="571">
        <v>27874220</v>
      </c>
      <c r="D17" s="566">
        <v>27874220</v>
      </c>
      <c r="E17" s="566"/>
      <c r="F17" s="566"/>
      <c r="G17" s="566"/>
      <c r="H17" s="566"/>
      <c r="I17" s="566"/>
      <c r="J17" s="566"/>
      <c r="K17" s="566"/>
      <c r="L17" s="566"/>
      <c r="M17" s="566"/>
      <c r="N17" s="566"/>
      <c r="O17" s="566"/>
      <c r="P17" s="566"/>
      <c r="Q17" s="566"/>
      <c r="R17" s="566"/>
      <c r="S17" s="566"/>
      <c r="T17" s="566"/>
      <c r="U17" s="566"/>
    </row>
    <row r="18" spans="1:21">
      <c r="A18" s="412">
        <v>2.2999999999999998</v>
      </c>
      <c r="B18" s="435" t="s">
        <v>636</v>
      </c>
      <c r="C18" s="571"/>
      <c r="D18" s="566"/>
      <c r="E18" s="566"/>
      <c r="F18" s="566"/>
      <c r="G18" s="566"/>
      <c r="H18" s="566"/>
      <c r="I18" s="566"/>
      <c r="J18" s="566"/>
      <c r="K18" s="566"/>
      <c r="L18" s="566"/>
      <c r="M18" s="566"/>
      <c r="N18" s="566"/>
      <c r="O18" s="566"/>
      <c r="P18" s="566"/>
      <c r="Q18" s="566"/>
      <c r="R18" s="566"/>
      <c r="S18" s="566"/>
      <c r="T18" s="566"/>
      <c r="U18" s="566"/>
    </row>
    <row r="19" spans="1:21">
      <c r="A19" s="412">
        <v>2.4</v>
      </c>
      <c r="B19" s="435" t="s">
        <v>637</v>
      </c>
      <c r="C19" s="571"/>
      <c r="D19" s="566"/>
      <c r="E19" s="566"/>
      <c r="F19" s="566"/>
      <c r="G19" s="566"/>
      <c r="H19" s="566"/>
      <c r="I19" s="566"/>
      <c r="J19" s="566"/>
      <c r="K19" s="566"/>
      <c r="L19" s="566"/>
      <c r="M19" s="566"/>
      <c r="N19" s="566"/>
      <c r="O19" s="566"/>
      <c r="P19" s="566"/>
      <c r="Q19" s="566"/>
      <c r="R19" s="566"/>
      <c r="S19" s="566"/>
      <c r="T19" s="566"/>
      <c r="U19" s="566"/>
    </row>
    <row r="20" spans="1:21">
      <c r="A20" s="412">
        <v>2.5</v>
      </c>
      <c r="B20" s="435" t="s">
        <v>638</v>
      </c>
      <c r="C20" s="571">
        <v>3000000</v>
      </c>
      <c r="D20" s="566">
        <v>3000000</v>
      </c>
      <c r="E20" s="566">
        <v>0</v>
      </c>
      <c r="F20" s="566">
        <v>0</v>
      </c>
      <c r="G20" s="566">
        <v>0</v>
      </c>
      <c r="H20" s="566">
        <v>0</v>
      </c>
      <c r="I20" s="566">
        <v>0</v>
      </c>
      <c r="J20" s="566">
        <v>0</v>
      </c>
      <c r="K20" s="566">
        <v>0</v>
      </c>
      <c r="L20" s="566">
        <v>0</v>
      </c>
      <c r="M20" s="566">
        <v>0</v>
      </c>
      <c r="N20" s="566">
        <v>0</v>
      </c>
      <c r="O20" s="566">
        <v>0</v>
      </c>
      <c r="P20" s="566">
        <v>0</v>
      </c>
      <c r="Q20" s="566">
        <v>0</v>
      </c>
      <c r="R20" s="566">
        <v>0</v>
      </c>
      <c r="S20" s="566">
        <v>0</v>
      </c>
      <c r="T20" s="566">
        <v>0</v>
      </c>
      <c r="U20" s="566">
        <v>0</v>
      </c>
    </row>
    <row r="21" spans="1:21">
      <c r="A21" s="412">
        <v>2.6</v>
      </c>
      <c r="B21" s="435" t="s">
        <v>639</v>
      </c>
      <c r="C21" s="571"/>
      <c r="D21" s="566"/>
      <c r="E21" s="566"/>
      <c r="F21" s="566"/>
      <c r="G21" s="566"/>
      <c r="H21" s="566"/>
      <c r="I21" s="566"/>
      <c r="J21" s="566"/>
      <c r="K21" s="566"/>
      <c r="L21" s="566"/>
      <c r="M21" s="566"/>
      <c r="N21" s="566"/>
      <c r="O21" s="566"/>
      <c r="P21" s="566"/>
      <c r="Q21" s="566"/>
      <c r="R21" s="566"/>
      <c r="S21" s="566"/>
      <c r="T21" s="566"/>
      <c r="U21" s="566"/>
    </row>
    <row r="22" spans="1:21">
      <c r="A22" s="453">
        <v>3</v>
      </c>
      <c r="B22" s="417" t="s">
        <v>695</v>
      </c>
      <c r="C22" s="567">
        <f>SUM(C23:C28)</f>
        <v>61382815.297700018</v>
      </c>
      <c r="D22" s="567">
        <f t="shared" ref="D22:U22" si="2">SUM(D23:D28)</f>
        <v>21422898.020000003</v>
      </c>
      <c r="E22" s="639">
        <f t="shared" si="2"/>
        <v>0</v>
      </c>
      <c r="F22" s="639"/>
      <c r="G22" s="567">
        <f t="shared" si="2"/>
        <v>282176.16000000003</v>
      </c>
      <c r="H22" s="572"/>
      <c r="I22" s="572"/>
      <c r="J22" s="572"/>
      <c r="K22" s="572"/>
      <c r="L22" s="567">
        <f t="shared" si="2"/>
        <v>3919583.2</v>
      </c>
      <c r="M22" s="572"/>
      <c r="N22" s="572"/>
      <c r="O22" s="572"/>
      <c r="P22" s="572"/>
      <c r="Q22" s="572"/>
      <c r="R22" s="572"/>
      <c r="S22" s="572"/>
      <c r="T22" s="572"/>
      <c r="U22" s="566">
        <f t="shared" si="2"/>
        <v>0</v>
      </c>
    </row>
    <row r="23" spans="1:21">
      <c r="A23" s="412">
        <v>3.1</v>
      </c>
      <c r="B23" s="435" t="s">
        <v>634</v>
      </c>
      <c r="C23" s="571"/>
      <c r="D23" s="566"/>
      <c r="E23" s="572"/>
      <c r="F23" s="572"/>
      <c r="G23" s="566"/>
      <c r="H23" s="572"/>
      <c r="I23" s="572"/>
      <c r="J23" s="572"/>
      <c r="K23" s="572"/>
      <c r="L23" s="566"/>
      <c r="M23" s="572"/>
      <c r="N23" s="572"/>
      <c r="O23" s="572"/>
      <c r="P23" s="572"/>
      <c r="Q23" s="572"/>
      <c r="R23" s="572"/>
      <c r="S23" s="572"/>
      <c r="T23" s="572"/>
      <c r="U23" s="566"/>
    </row>
    <row r="24" spans="1:21">
      <c r="A24" s="412">
        <v>3.2</v>
      </c>
      <c r="B24" s="435" t="s">
        <v>635</v>
      </c>
      <c r="C24" s="571"/>
      <c r="D24" s="566"/>
      <c r="E24" s="572"/>
      <c r="F24" s="572"/>
      <c r="G24" s="566"/>
      <c r="H24" s="572"/>
      <c r="I24" s="572"/>
      <c r="J24" s="572"/>
      <c r="K24" s="572"/>
      <c r="L24" s="566"/>
      <c r="M24" s="572"/>
      <c r="N24" s="572"/>
      <c r="O24" s="572"/>
      <c r="P24" s="572"/>
      <c r="Q24" s="572"/>
      <c r="R24" s="572"/>
      <c r="S24" s="572"/>
      <c r="T24" s="572"/>
      <c r="U24" s="566"/>
    </row>
    <row r="25" spans="1:21">
      <c r="A25" s="412">
        <v>3.3</v>
      </c>
      <c r="B25" s="435" t="s">
        <v>636</v>
      </c>
      <c r="C25" s="571"/>
      <c r="D25" s="566"/>
      <c r="E25" s="572"/>
      <c r="F25" s="572"/>
      <c r="G25" s="566"/>
      <c r="H25" s="572"/>
      <c r="I25" s="572"/>
      <c r="J25" s="572"/>
      <c r="K25" s="572"/>
      <c r="L25" s="566"/>
      <c r="M25" s="572"/>
      <c r="N25" s="572"/>
      <c r="O25" s="572"/>
      <c r="P25" s="572"/>
      <c r="Q25" s="572"/>
      <c r="R25" s="572"/>
      <c r="S25" s="572"/>
      <c r="T25" s="572"/>
      <c r="U25" s="566"/>
    </row>
    <row r="26" spans="1:21">
      <c r="A26" s="412">
        <v>3.4</v>
      </c>
      <c r="B26" s="435" t="s">
        <v>637</v>
      </c>
      <c r="C26" s="571">
        <v>5472939.2699999996</v>
      </c>
      <c r="D26" s="566">
        <v>367139.27</v>
      </c>
      <c r="E26" s="572"/>
      <c r="F26" s="572"/>
      <c r="G26" s="566">
        <v>0</v>
      </c>
      <c r="H26" s="572"/>
      <c r="I26" s="572"/>
      <c r="J26" s="572"/>
      <c r="K26" s="572"/>
      <c r="L26" s="566">
        <v>0</v>
      </c>
      <c r="M26" s="572"/>
      <c r="N26" s="572"/>
      <c r="O26" s="572"/>
      <c r="P26" s="572"/>
      <c r="Q26" s="572"/>
      <c r="R26" s="572"/>
      <c r="S26" s="572"/>
      <c r="T26" s="572"/>
      <c r="U26" s="566">
        <v>0</v>
      </c>
    </row>
    <row r="27" spans="1:21">
      <c r="A27" s="412">
        <v>3.5</v>
      </c>
      <c r="B27" s="435" t="s">
        <v>638</v>
      </c>
      <c r="C27" s="571">
        <v>53377960.160000026</v>
      </c>
      <c r="D27" s="566">
        <v>21031358.750000004</v>
      </c>
      <c r="E27" s="572"/>
      <c r="F27" s="572"/>
      <c r="G27" s="566">
        <v>282176.16000000003</v>
      </c>
      <c r="H27" s="572"/>
      <c r="I27" s="572"/>
      <c r="J27" s="572"/>
      <c r="K27" s="572"/>
      <c r="L27" s="566">
        <v>3919583.2</v>
      </c>
      <c r="M27" s="572"/>
      <c r="N27" s="572"/>
      <c r="O27" s="572"/>
      <c r="P27" s="572"/>
      <c r="Q27" s="572"/>
      <c r="R27" s="572"/>
      <c r="S27" s="572"/>
      <c r="T27" s="572"/>
      <c r="U27" s="566">
        <v>0</v>
      </c>
    </row>
    <row r="28" spans="1:21">
      <c r="A28" s="412">
        <v>3.6</v>
      </c>
      <c r="B28" s="435" t="s">
        <v>639</v>
      </c>
      <c r="C28" s="571">
        <v>2531915.8676999984</v>
      </c>
      <c r="D28" s="566">
        <v>24400</v>
      </c>
      <c r="E28" s="572"/>
      <c r="F28" s="572"/>
      <c r="G28" s="566">
        <v>0</v>
      </c>
      <c r="H28" s="572"/>
      <c r="I28" s="572"/>
      <c r="J28" s="572"/>
      <c r="K28" s="572"/>
      <c r="L28" s="566">
        <v>0</v>
      </c>
      <c r="M28" s="572"/>
      <c r="N28" s="572"/>
      <c r="O28" s="572"/>
      <c r="P28" s="572"/>
      <c r="Q28" s="572"/>
      <c r="R28" s="572"/>
      <c r="S28" s="572"/>
      <c r="T28" s="572"/>
      <c r="U28" s="566">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workbookViewId="0"/>
  </sheetViews>
  <sheetFormatPr defaultColWidth="9.28515625" defaultRowHeight="12.75"/>
  <cols>
    <col min="1" max="1" width="11.7109375" style="415" bestFit="1" customWidth="1"/>
    <col min="2" max="2" width="90.28515625" style="415" bestFit="1" customWidth="1"/>
    <col min="3" max="3" width="19.7109375" style="415" customWidth="1"/>
    <col min="4" max="4" width="21.140625" style="415" customWidth="1"/>
    <col min="5" max="5" width="17.140625" style="415" customWidth="1"/>
    <col min="6" max="6" width="22.28515625" style="415" customWidth="1"/>
    <col min="7" max="7" width="19.28515625" style="415" customWidth="1"/>
    <col min="8" max="8" width="17.140625" style="415" customWidth="1"/>
    <col min="9" max="14" width="22.28515625" style="415" customWidth="1"/>
    <col min="15" max="15" width="23" style="415" customWidth="1"/>
    <col min="16" max="16" width="21.7109375" style="415" bestFit="1" customWidth="1"/>
    <col min="17" max="19" width="19" style="415" bestFit="1" customWidth="1"/>
    <col min="20" max="20" width="14.7109375" style="415" customWidth="1"/>
    <col min="21" max="21" width="20" style="415" customWidth="1"/>
    <col min="22" max="16384" width="9.28515625" style="415"/>
  </cols>
  <sheetData>
    <row r="1" spans="1:21">
      <c r="A1" s="407" t="s">
        <v>30</v>
      </c>
      <c r="B1" s="415" t="str">
        <f>'1. key ratios '!B1</f>
        <v>JSC CARTU BANK</v>
      </c>
    </row>
    <row r="2" spans="1:21" ht="13.5">
      <c r="A2" s="407" t="s">
        <v>31</v>
      </c>
      <c r="B2" s="371">
        <f>'1. key ratios '!B2</f>
        <v>44742</v>
      </c>
      <c r="C2" s="371"/>
    </row>
    <row r="3" spans="1:21">
      <c r="A3" s="408" t="s">
        <v>642</v>
      </c>
    </row>
    <row r="5" spans="1:21" ht="13.5" customHeight="1">
      <c r="A5" s="721" t="s">
        <v>643</v>
      </c>
      <c r="B5" s="722"/>
      <c r="C5" s="730" t="s">
        <v>644</v>
      </c>
      <c r="D5" s="731"/>
      <c r="E5" s="731"/>
      <c r="F5" s="731"/>
      <c r="G5" s="731"/>
      <c r="H5" s="731"/>
      <c r="I5" s="731"/>
      <c r="J5" s="731"/>
      <c r="K5" s="731"/>
      <c r="L5" s="731"/>
      <c r="M5" s="731"/>
      <c r="N5" s="731"/>
      <c r="O5" s="731"/>
      <c r="P5" s="731"/>
      <c r="Q5" s="731"/>
      <c r="R5" s="731"/>
      <c r="S5" s="731"/>
      <c r="T5" s="732"/>
      <c r="U5" s="450"/>
    </row>
    <row r="6" spans="1:21">
      <c r="A6" s="723"/>
      <c r="B6" s="724"/>
      <c r="C6" s="714" t="s">
        <v>109</v>
      </c>
      <c r="D6" s="727" t="s">
        <v>645</v>
      </c>
      <c r="E6" s="727"/>
      <c r="F6" s="728"/>
      <c r="G6" s="729" t="s">
        <v>646</v>
      </c>
      <c r="H6" s="727"/>
      <c r="I6" s="727"/>
      <c r="J6" s="727"/>
      <c r="K6" s="728"/>
      <c r="L6" s="717" t="s">
        <v>647</v>
      </c>
      <c r="M6" s="718"/>
      <c r="N6" s="718"/>
      <c r="O6" s="718"/>
      <c r="P6" s="718"/>
      <c r="Q6" s="718"/>
      <c r="R6" s="718"/>
      <c r="S6" s="718"/>
      <c r="T6" s="719"/>
      <c r="U6" s="439"/>
    </row>
    <row r="7" spans="1:21">
      <c r="A7" s="725"/>
      <c r="B7" s="726"/>
      <c r="C7" s="715"/>
      <c r="E7" s="433" t="s">
        <v>620</v>
      </c>
      <c r="F7" s="444" t="s">
        <v>621</v>
      </c>
      <c r="H7" s="433" t="s">
        <v>620</v>
      </c>
      <c r="I7" s="444" t="s">
        <v>622</v>
      </c>
      <c r="J7" s="444" t="s">
        <v>623</v>
      </c>
      <c r="K7" s="444" t="s">
        <v>624</v>
      </c>
      <c r="L7" s="454"/>
      <c r="M7" s="433" t="s">
        <v>625</v>
      </c>
      <c r="N7" s="444" t="s">
        <v>623</v>
      </c>
      <c r="O7" s="444" t="s">
        <v>626</v>
      </c>
      <c r="P7" s="444" t="s">
        <v>627</v>
      </c>
      <c r="Q7" s="444" t="s">
        <v>628</v>
      </c>
      <c r="R7" s="444" t="s">
        <v>629</v>
      </c>
      <c r="S7" s="444" t="s">
        <v>630</v>
      </c>
      <c r="T7" s="452" t="s">
        <v>631</v>
      </c>
      <c r="U7" s="450"/>
    </row>
    <row r="8" spans="1:21">
      <c r="A8" s="454">
        <v>1</v>
      </c>
      <c r="B8" s="449" t="s">
        <v>633</v>
      </c>
      <c r="C8" s="573">
        <v>830195779.48520339</v>
      </c>
      <c r="D8" s="566">
        <v>520215213.00649983</v>
      </c>
      <c r="E8" s="566">
        <v>1050052.07</v>
      </c>
      <c r="F8" s="566">
        <v>82857.583899999983</v>
      </c>
      <c r="G8" s="566">
        <v>58354481.259999983</v>
      </c>
      <c r="H8" s="566">
        <v>1041573.1299999999</v>
      </c>
      <c r="I8" s="566">
        <v>355907.02999999997</v>
      </c>
      <c r="J8" s="566">
        <v>8154373.5299999993</v>
      </c>
      <c r="K8" s="566">
        <v>0</v>
      </c>
      <c r="L8" s="566">
        <v>251626085.21870008</v>
      </c>
      <c r="M8" s="566">
        <v>10821848.220000001</v>
      </c>
      <c r="N8" s="566">
        <v>14403029.329999998</v>
      </c>
      <c r="O8" s="566">
        <v>25349829.91</v>
      </c>
      <c r="P8" s="566">
        <v>15474896.500000002</v>
      </c>
      <c r="Q8" s="566">
        <v>14630811.300000001</v>
      </c>
      <c r="R8" s="566">
        <v>73193645.294100001</v>
      </c>
      <c r="S8" s="566">
        <v>14493207.224600002</v>
      </c>
      <c r="T8" s="566">
        <v>27090803.839999985</v>
      </c>
    </row>
    <row r="9" spans="1:21">
      <c r="A9" s="435">
        <v>1.1000000000000001</v>
      </c>
      <c r="B9" s="435" t="s">
        <v>648</v>
      </c>
      <c r="C9" s="571">
        <v>807567814.57890069</v>
      </c>
      <c r="D9" s="566">
        <v>497631276.33889985</v>
      </c>
      <c r="E9" s="566">
        <v>1049465.5900000001</v>
      </c>
      <c r="F9" s="566">
        <v>0</v>
      </c>
      <c r="G9" s="566">
        <v>58331711.349999987</v>
      </c>
      <c r="H9" s="566">
        <v>1041573.1299999999</v>
      </c>
      <c r="I9" s="566">
        <v>355187.23</v>
      </c>
      <c r="J9" s="566">
        <v>8154373.5299999993</v>
      </c>
      <c r="K9" s="566">
        <v>0</v>
      </c>
      <c r="L9" s="566">
        <v>251604826.89000005</v>
      </c>
      <c r="M9" s="566">
        <v>10821848.220000001</v>
      </c>
      <c r="N9" s="566">
        <v>14403029.329999998</v>
      </c>
      <c r="O9" s="566">
        <v>25349482.210000001</v>
      </c>
      <c r="P9" s="566">
        <v>15474895.880000003</v>
      </c>
      <c r="Q9" s="566">
        <v>14627562.460000001</v>
      </c>
      <c r="R9" s="566">
        <v>73187696.359999999</v>
      </c>
      <c r="S9" s="566">
        <v>14492651.650000002</v>
      </c>
      <c r="T9" s="566">
        <v>27090803.839999985</v>
      </c>
    </row>
    <row r="10" spans="1:21">
      <c r="A10" s="455" t="s">
        <v>14</v>
      </c>
      <c r="B10" s="455" t="s">
        <v>649</v>
      </c>
      <c r="C10" s="574">
        <v>753714946.17890096</v>
      </c>
      <c r="D10" s="566">
        <v>460584096.91889977</v>
      </c>
      <c r="E10" s="566">
        <v>1049465.5900000001</v>
      </c>
      <c r="F10" s="566">
        <v>0</v>
      </c>
      <c r="G10" s="566">
        <v>58323071.909999982</v>
      </c>
      <c r="H10" s="566">
        <v>1041573.1299999999</v>
      </c>
      <c r="I10" s="566">
        <v>355187.23</v>
      </c>
      <c r="J10" s="566">
        <v>8154373.5299999993</v>
      </c>
      <c r="K10" s="566">
        <v>0</v>
      </c>
      <c r="L10" s="566">
        <v>234807777.35000008</v>
      </c>
      <c r="M10" s="566">
        <v>10805252.360000001</v>
      </c>
      <c r="N10" s="566">
        <v>14403029.329999998</v>
      </c>
      <c r="O10" s="566">
        <v>25310082.210000001</v>
      </c>
      <c r="P10" s="566">
        <v>15311475.460000003</v>
      </c>
      <c r="Q10" s="566">
        <v>14627562.460000001</v>
      </c>
      <c r="R10" s="566">
        <v>71015842.469999999</v>
      </c>
      <c r="S10" s="566">
        <v>8623848.4600000009</v>
      </c>
      <c r="T10" s="566">
        <v>27021710.359999985</v>
      </c>
    </row>
    <row r="11" spans="1:21">
      <c r="A11" s="425" t="s">
        <v>650</v>
      </c>
      <c r="B11" s="425" t="s">
        <v>651</v>
      </c>
      <c r="C11" s="575">
        <v>651040828.19000041</v>
      </c>
      <c r="D11" s="566">
        <v>458293150.65999973</v>
      </c>
      <c r="E11" s="566">
        <v>896539.1</v>
      </c>
      <c r="F11" s="566">
        <v>0</v>
      </c>
      <c r="G11" s="566">
        <v>58308076.249999985</v>
      </c>
      <c r="H11" s="566">
        <v>1041573.1299999999</v>
      </c>
      <c r="I11" s="566">
        <v>355187.23</v>
      </c>
      <c r="J11" s="566">
        <v>8154373.5299999993</v>
      </c>
      <c r="K11" s="566">
        <v>0</v>
      </c>
      <c r="L11" s="566">
        <v>134439601.27999997</v>
      </c>
      <c r="M11" s="566">
        <v>2053112.2100000004</v>
      </c>
      <c r="N11" s="566">
        <v>51119.789999999994</v>
      </c>
      <c r="O11" s="566">
        <v>18307114.09</v>
      </c>
      <c r="P11" s="566">
        <v>6970431.3999999985</v>
      </c>
      <c r="Q11" s="566">
        <v>11991969.570000002</v>
      </c>
      <c r="R11" s="566">
        <v>41415196.859999999</v>
      </c>
      <c r="S11" s="566">
        <v>5048040.2300000014</v>
      </c>
      <c r="T11" s="566">
        <v>20963040.649999995</v>
      </c>
    </row>
    <row r="12" spans="1:21">
      <c r="A12" s="425" t="s">
        <v>652</v>
      </c>
      <c r="B12" s="425" t="s">
        <v>653</v>
      </c>
      <c r="C12" s="575">
        <v>23845398.520000003</v>
      </c>
      <c r="D12" s="566">
        <v>0</v>
      </c>
      <c r="E12" s="566">
        <v>0</v>
      </c>
      <c r="F12" s="566">
        <v>0</v>
      </c>
      <c r="G12" s="566">
        <v>0</v>
      </c>
      <c r="H12" s="566">
        <v>0</v>
      </c>
      <c r="I12" s="566">
        <v>0</v>
      </c>
      <c r="J12" s="566">
        <v>0</v>
      </c>
      <c r="K12" s="566">
        <v>0</v>
      </c>
      <c r="L12" s="566">
        <v>23845398.520000003</v>
      </c>
      <c r="M12" s="566">
        <v>942063.55</v>
      </c>
      <c r="N12" s="566">
        <v>857362.78</v>
      </c>
      <c r="O12" s="566">
        <v>6897190.25</v>
      </c>
      <c r="P12" s="566">
        <v>0</v>
      </c>
      <c r="Q12" s="566">
        <v>2071631</v>
      </c>
      <c r="R12" s="566">
        <v>375363.01</v>
      </c>
      <c r="S12" s="566">
        <v>3575808.2299999995</v>
      </c>
      <c r="T12" s="566">
        <v>0</v>
      </c>
    </row>
    <row r="13" spans="1:21">
      <c r="A13" s="425" t="s">
        <v>654</v>
      </c>
      <c r="B13" s="425" t="s">
        <v>655</v>
      </c>
      <c r="C13" s="575">
        <v>24242687.460000001</v>
      </c>
      <c r="D13" s="566">
        <v>670718.1</v>
      </c>
      <c r="E13" s="566">
        <v>0</v>
      </c>
      <c r="F13" s="566">
        <v>0</v>
      </c>
      <c r="G13" s="566">
        <v>0</v>
      </c>
      <c r="H13" s="566">
        <v>0</v>
      </c>
      <c r="I13" s="566">
        <v>0</v>
      </c>
      <c r="J13" s="566">
        <v>0</v>
      </c>
      <c r="K13" s="566">
        <v>0</v>
      </c>
      <c r="L13" s="566">
        <v>23571969.359999999</v>
      </c>
      <c r="M13" s="566">
        <v>7770075.6399999997</v>
      </c>
      <c r="N13" s="566">
        <v>13494546.76</v>
      </c>
      <c r="O13" s="566">
        <v>0</v>
      </c>
      <c r="P13" s="566">
        <v>0</v>
      </c>
      <c r="Q13" s="566">
        <v>475881.2</v>
      </c>
      <c r="R13" s="566">
        <v>585780</v>
      </c>
      <c r="S13" s="566">
        <v>0</v>
      </c>
      <c r="T13" s="566">
        <v>0</v>
      </c>
    </row>
    <row r="14" spans="1:21">
      <c r="A14" s="425" t="s">
        <v>656</v>
      </c>
      <c r="B14" s="425" t="s">
        <v>657</v>
      </c>
      <c r="C14" s="575">
        <v>54586032.008900002</v>
      </c>
      <c r="D14" s="566">
        <v>1620228.1589000002</v>
      </c>
      <c r="E14" s="566">
        <v>152926.49</v>
      </c>
      <c r="F14" s="566">
        <v>0</v>
      </c>
      <c r="G14" s="566">
        <v>14995.66</v>
      </c>
      <c r="H14" s="566">
        <v>0</v>
      </c>
      <c r="I14" s="566">
        <v>0</v>
      </c>
      <c r="J14" s="566">
        <v>0</v>
      </c>
      <c r="K14" s="566">
        <v>0</v>
      </c>
      <c r="L14" s="566">
        <v>52950808.189999998</v>
      </c>
      <c r="M14" s="566">
        <v>40000.959999999999</v>
      </c>
      <c r="N14" s="566">
        <v>0</v>
      </c>
      <c r="O14" s="566">
        <v>105777.87</v>
      </c>
      <c r="P14" s="566">
        <v>8341044.0599999996</v>
      </c>
      <c r="Q14" s="566">
        <v>88080.69</v>
      </c>
      <c r="R14" s="566">
        <v>28639502.600000001</v>
      </c>
      <c r="S14" s="566">
        <v>0</v>
      </c>
      <c r="T14" s="566">
        <v>6058669.709999999</v>
      </c>
    </row>
    <row r="15" spans="1:21">
      <c r="A15" s="426">
        <v>1.2</v>
      </c>
      <c r="B15" s="426" t="s">
        <v>658</v>
      </c>
      <c r="C15" s="571">
        <v>135664575.91078529</v>
      </c>
      <c r="D15" s="566">
        <v>9481980.7098469865</v>
      </c>
      <c r="E15" s="566">
        <v>20989.311679999999</v>
      </c>
      <c r="F15" s="566">
        <v>0</v>
      </c>
      <c r="G15" s="566">
        <v>5833171.1361499988</v>
      </c>
      <c r="H15" s="566">
        <v>104157.31320400001</v>
      </c>
      <c r="I15" s="566">
        <v>35518.722830999999</v>
      </c>
      <c r="J15" s="566">
        <v>815437.35355100001</v>
      </c>
      <c r="K15" s="566">
        <v>0</v>
      </c>
      <c r="L15" s="566">
        <v>120349424.064788</v>
      </c>
      <c r="M15" s="566">
        <v>3338146.1920750006</v>
      </c>
      <c r="N15" s="566">
        <v>4321551.2412200021</v>
      </c>
      <c r="O15" s="566">
        <v>11266267.482073</v>
      </c>
      <c r="P15" s="566">
        <v>8921282.6673180014</v>
      </c>
      <c r="Q15" s="566">
        <v>4678229.8389050001</v>
      </c>
      <c r="R15" s="566">
        <v>37723261.187914006</v>
      </c>
      <c r="S15" s="566">
        <v>8678211.4633000009</v>
      </c>
      <c r="T15" s="566">
        <v>13755740.547112998</v>
      </c>
    </row>
    <row r="16" spans="1:21">
      <c r="A16" s="435">
        <v>1.3</v>
      </c>
      <c r="B16" s="426" t="s">
        <v>706</v>
      </c>
      <c r="C16" s="576"/>
      <c r="D16" s="576"/>
      <c r="E16" s="576"/>
      <c r="F16" s="576"/>
      <c r="G16" s="576"/>
      <c r="H16" s="576"/>
      <c r="I16" s="576"/>
      <c r="J16" s="576"/>
      <c r="K16" s="576"/>
      <c r="L16" s="576"/>
      <c r="M16" s="576"/>
      <c r="N16" s="576"/>
      <c r="O16" s="576"/>
      <c r="P16" s="576"/>
      <c r="Q16" s="576"/>
      <c r="R16" s="576"/>
      <c r="S16" s="576"/>
      <c r="T16" s="576"/>
    </row>
    <row r="17" spans="1:20">
      <c r="A17" s="429" t="s">
        <v>659</v>
      </c>
      <c r="B17" s="427" t="s">
        <v>660</v>
      </c>
      <c r="C17" s="577">
        <v>734369208.09413505</v>
      </c>
      <c r="D17" s="566">
        <v>452561521.35019523</v>
      </c>
      <c r="E17" s="566">
        <v>1049465.5900000001</v>
      </c>
      <c r="F17" s="566">
        <v>0</v>
      </c>
      <c r="G17" s="566">
        <v>56199965.549288988</v>
      </c>
      <c r="H17" s="566">
        <v>1041573.1299999999</v>
      </c>
      <c r="I17" s="566">
        <v>355187.23</v>
      </c>
      <c r="J17" s="566">
        <v>8154373.5299999993</v>
      </c>
      <c r="K17" s="566">
        <v>0</v>
      </c>
      <c r="L17" s="566">
        <v>225607721.19465104</v>
      </c>
      <c r="M17" s="566">
        <v>10816382.180000002</v>
      </c>
      <c r="N17" s="566">
        <v>14403029.329999998</v>
      </c>
      <c r="O17" s="566">
        <v>25296012.093061831</v>
      </c>
      <c r="P17" s="566">
        <v>13706158.813749949</v>
      </c>
      <c r="Q17" s="566">
        <v>14608330.094755981</v>
      </c>
      <c r="R17" s="566">
        <v>63461796.771571159</v>
      </c>
      <c r="S17" s="566">
        <v>8672468.9900000021</v>
      </c>
      <c r="T17" s="566">
        <v>26331392.899999999</v>
      </c>
    </row>
    <row r="18" spans="1:20">
      <c r="A18" s="428" t="s">
        <v>661</v>
      </c>
      <c r="B18" s="428" t="s">
        <v>662</v>
      </c>
      <c r="C18" s="578">
        <v>663032198.94993699</v>
      </c>
      <c r="D18" s="566">
        <v>398822948.7207973</v>
      </c>
      <c r="E18" s="566">
        <v>1049465.5900000001</v>
      </c>
      <c r="F18" s="566">
        <v>0</v>
      </c>
      <c r="G18" s="566">
        <v>55930909.858049989</v>
      </c>
      <c r="H18" s="566">
        <v>1041573.1299999999</v>
      </c>
      <c r="I18" s="566">
        <v>355187.23</v>
      </c>
      <c r="J18" s="566">
        <v>8154373.5299999993</v>
      </c>
      <c r="K18" s="566">
        <v>0</v>
      </c>
      <c r="L18" s="566">
        <v>208278340.37109032</v>
      </c>
      <c r="M18" s="566">
        <v>10471676.167224003</v>
      </c>
      <c r="N18" s="566">
        <v>13899238.842326224</v>
      </c>
      <c r="O18" s="566">
        <v>24026795.801251881</v>
      </c>
      <c r="P18" s="566">
        <v>9379662.7658138964</v>
      </c>
      <c r="Q18" s="566">
        <v>14585519.790298669</v>
      </c>
      <c r="R18" s="566">
        <v>59349938.919289976</v>
      </c>
      <c r="S18" s="566">
        <v>7022032.766278116</v>
      </c>
      <c r="T18" s="566">
        <v>26009535.349999998</v>
      </c>
    </row>
    <row r="19" spans="1:20">
      <c r="A19" s="429" t="s">
        <v>663</v>
      </c>
      <c r="B19" s="429" t="s">
        <v>664</v>
      </c>
      <c r="C19" s="579">
        <v>1097302514.2067325</v>
      </c>
      <c r="D19" s="566">
        <v>840295552.85361755</v>
      </c>
      <c r="E19" s="566">
        <v>1449279.3477566829</v>
      </c>
      <c r="F19" s="566">
        <v>0</v>
      </c>
      <c r="G19" s="566">
        <v>66528729.516537897</v>
      </c>
      <c r="H19" s="566">
        <v>424051.22161451576</v>
      </c>
      <c r="I19" s="566">
        <v>2282561.4635171578</v>
      </c>
      <c r="J19" s="566">
        <v>6060378.2812413909</v>
      </c>
      <c r="K19" s="566">
        <v>0</v>
      </c>
      <c r="L19" s="566">
        <v>190478231.8365761</v>
      </c>
      <c r="M19" s="566">
        <v>4720803.1539501511</v>
      </c>
      <c r="N19" s="566">
        <v>1646289.2617030153</v>
      </c>
      <c r="O19" s="566">
        <v>18346702.649988636</v>
      </c>
      <c r="P19" s="566">
        <v>6819377.0550527507</v>
      </c>
      <c r="Q19" s="566">
        <v>19833321.13954353</v>
      </c>
      <c r="R19" s="566">
        <v>51749563.932085045</v>
      </c>
      <c r="S19" s="566">
        <v>8623848.298358243</v>
      </c>
      <c r="T19" s="566">
        <v>26191129.063386291</v>
      </c>
    </row>
    <row r="20" spans="1:20">
      <c r="A20" s="428" t="s">
        <v>665</v>
      </c>
      <c r="B20" s="428" t="s">
        <v>662</v>
      </c>
      <c r="C20" s="578">
        <v>701128095.12237298</v>
      </c>
      <c r="D20" s="566">
        <v>481644180.00764143</v>
      </c>
      <c r="E20" s="566">
        <v>1449279.3477566829</v>
      </c>
      <c r="F20" s="566">
        <v>0</v>
      </c>
      <c r="G20" s="566">
        <v>50557231.487672873</v>
      </c>
      <c r="H20" s="566">
        <v>418547.58387778222</v>
      </c>
      <c r="I20" s="566">
        <v>1484755.6882538912</v>
      </c>
      <c r="J20" s="566">
        <v>1001686.4253525463</v>
      </c>
      <c r="K20" s="566">
        <v>0</v>
      </c>
      <c r="L20" s="566">
        <v>168926683.62706041</v>
      </c>
      <c r="M20" s="566">
        <v>3962401.2418570556</v>
      </c>
      <c r="N20" s="566">
        <v>738218.75999999989</v>
      </c>
      <c r="O20" s="566">
        <v>16986824.79972795</v>
      </c>
      <c r="P20" s="566">
        <v>4743946.3150527496</v>
      </c>
      <c r="Q20" s="566">
        <v>18952992.061121468</v>
      </c>
      <c r="R20" s="566">
        <v>44075324.901900746</v>
      </c>
      <c r="S20" s="566">
        <v>8020943.8585779984</v>
      </c>
      <c r="T20" s="566">
        <v>25055967.422037967</v>
      </c>
    </row>
    <row r="21" spans="1:20">
      <c r="A21" s="430">
        <v>1.4</v>
      </c>
      <c r="B21" s="431" t="s">
        <v>666</v>
      </c>
      <c r="C21" s="580">
        <v>9634242.4513473008</v>
      </c>
      <c r="D21" s="566">
        <v>4136052.2100000004</v>
      </c>
      <c r="E21" s="566">
        <v>0</v>
      </c>
      <c r="F21" s="566">
        <v>0</v>
      </c>
      <c r="G21" s="566">
        <v>1401215.4545473</v>
      </c>
      <c r="H21" s="566">
        <v>0</v>
      </c>
      <c r="I21" s="566">
        <v>0</v>
      </c>
      <c r="J21" s="566">
        <v>0</v>
      </c>
      <c r="K21" s="566">
        <v>0</v>
      </c>
      <c r="L21" s="566">
        <v>4096974.7868000004</v>
      </c>
      <c r="M21" s="566">
        <v>0</v>
      </c>
      <c r="N21" s="566">
        <v>0</v>
      </c>
      <c r="O21" s="566">
        <v>0</v>
      </c>
      <c r="P21" s="566">
        <v>183614.55</v>
      </c>
      <c r="Q21" s="566">
        <v>95975.72</v>
      </c>
      <c r="R21" s="566">
        <v>1281690.2742999999</v>
      </c>
      <c r="S21" s="566">
        <v>2403391.6275000004</v>
      </c>
      <c r="T21" s="566">
        <v>0</v>
      </c>
    </row>
    <row r="22" spans="1:20">
      <c r="A22" s="430">
        <v>1.5</v>
      </c>
      <c r="B22" s="431" t="s">
        <v>667</v>
      </c>
      <c r="C22" s="580">
        <v>0</v>
      </c>
      <c r="D22" s="566">
        <v>0</v>
      </c>
      <c r="E22" s="566">
        <v>0</v>
      </c>
      <c r="F22" s="566">
        <v>0</v>
      </c>
      <c r="G22" s="566">
        <v>0</v>
      </c>
      <c r="H22" s="566">
        <v>0</v>
      </c>
      <c r="I22" s="566">
        <v>0</v>
      </c>
      <c r="J22" s="566">
        <v>0</v>
      </c>
      <c r="K22" s="566">
        <v>0</v>
      </c>
      <c r="L22" s="566">
        <v>0</v>
      </c>
      <c r="M22" s="566">
        <v>0</v>
      </c>
      <c r="N22" s="566">
        <v>0</v>
      </c>
      <c r="O22" s="566">
        <v>0</v>
      </c>
      <c r="P22" s="566">
        <v>0</v>
      </c>
      <c r="Q22" s="566">
        <v>0</v>
      </c>
      <c r="R22" s="566">
        <v>0</v>
      </c>
      <c r="S22" s="566">
        <v>0</v>
      </c>
      <c r="T22" s="566">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115" zoomScaleNormal="115" workbookViewId="0"/>
  </sheetViews>
  <sheetFormatPr defaultColWidth="9.28515625" defaultRowHeight="12.75"/>
  <cols>
    <col min="1" max="1" width="11.7109375" style="415" bestFit="1" customWidth="1"/>
    <col min="2" max="2" width="93.42578125" style="415" customWidth="1"/>
    <col min="3" max="3" width="14.7109375" style="415" customWidth="1"/>
    <col min="4" max="5" width="11.42578125" style="415" customWidth="1"/>
    <col min="6" max="7" width="11.42578125" style="450" customWidth="1"/>
    <col min="8" max="9" width="11.42578125" style="415" customWidth="1"/>
    <col min="10" max="14" width="11.42578125" style="450" customWidth="1"/>
    <col min="15" max="15" width="18.7109375" style="415" bestFit="1" customWidth="1"/>
    <col min="16" max="16384" width="9.28515625" style="415"/>
  </cols>
  <sheetData>
    <row r="1" spans="1:15">
      <c r="A1" s="407" t="s">
        <v>30</v>
      </c>
      <c r="B1" s="415" t="str">
        <f>'1. key ratios '!B1</f>
        <v>JSC CARTU BANK</v>
      </c>
      <c r="F1" s="415"/>
      <c r="G1" s="415"/>
      <c r="J1" s="415"/>
      <c r="K1" s="415"/>
      <c r="L1" s="415"/>
      <c r="M1" s="415"/>
      <c r="N1" s="415"/>
    </row>
    <row r="2" spans="1:15" ht="13.5">
      <c r="A2" s="407" t="s">
        <v>31</v>
      </c>
      <c r="B2" s="371">
        <f>'1. key ratios '!B2</f>
        <v>44742</v>
      </c>
      <c r="F2" s="415"/>
      <c r="G2" s="415"/>
      <c r="J2" s="415"/>
      <c r="K2" s="415"/>
      <c r="L2" s="415"/>
      <c r="M2" s="415"/>
      <c r="N2" s="415"/>
    </row>
    <row r="3" spans="1:15">
      <c r="A3" s="408" t="s">
        <v>668</v>
      </c>
      <c r="F3" s="415"/>
      <c r="G3" s="415"/>
      <c r="J3" s="415"/>
      <c r="K3" s="415"/>
      <c r="L3" s="415"/>
      <c r="M3" s="415"/>
      <c r="N3" s="415"/>
    </row>
    <row r="4" spans="1:15">
      <c r="F4" s="415"/>
      <c r="G4" s="415"/>
      <c r="J4" s="415"/>
      <c r="K4" s="415"/>
      <c r="L4" s="415"/>
      <c r="M4" s="415"/>
      <c r="N4" s="415"/>
    </row>
    <row r="5" spans="1:15" ht="46.5" customHeight="1">
      <c r="A5" s="688" t="s">
        <v>694</v>
      </c>
      <c r="B5" s="689"/>
      <c r="C5" s="733" t="s">
        <v>669</v>
      </c>
      <c r="D5" s="734"/>
      <c r="E5" s="734"/>
      <c r="F5" s="734"/>
      <c r="G5" s="734"/>
      <c r="H5" s="735"/>
      <c r="I5" s="733" t="s">
        <v>670</v>
      </c>
      <c r="J5" s="736"/>
      <c r="K5" s="736"/>
      <c r="L5" s="736"/>
      <c r="M5" s="736"/>
      <c r="N5" s="737"/>
      <c r="O5" s="738" t="s">
        <v>671</v>
      </c>
    </row>
    <row r="6" spans="1:15" ht="75" customHeight="1">
      <c r="A6" s="692"/>
      <c r="B6" s="693"/>
      <c r="C6" s="432"/>
      <c r="D6" s="433" t="s">
        <v>672</v>
      </c>
      <c r="E6" s="433" t="s">
        <v>673</v>
      </c>
      <c r="F6" s="433" t="s">
        <v>674</v>
      </c>
      <c r="G6" s="433" t="s">
        <v>675</v>
      </c>
      <c r="H6" s="433" t="s">
        <v>676</v>
      </c>
      <c r="I6" s="438"/>
      <c r="J6" s="433" t="s">
        <v>672</v>
      </c>
      <c r="K6" s="433" t="s">
        <v>673</v>
      </c>
      <c r="L6" s="433" t="s">
        <v>674</v>
      </c>
      <c r="M6" s="433" t="s">
        <v>675</v>
      </c>
      <c r="N6" s="433" t="s">
        <v>676</v>
      </c>
      <c r="O6" s="739"/>
    </row>
    <row r="7" spans="1:15">
      <c r="A7" s="412">
        <v>1</v>
      </c>
      <c r="B7" s="416" t="s">
        <v>697</v>
      </c>
      <c r="C7" s="581">
        <v>9436548.6600000001</v>
      </c>
      <c r="D7" s="566">
        <v>9143470.549999997</v>
      </c>
      <c r="E7" s="566">
        <v>19599.650000000001</v>
      </c>
      <c r="F7" s="582">
        <v>273478.46000000002</v>
      </c>
      <c r="G7" s="582">
        <v>0</v>
      </c>
      <c r="H7" s="566">
        <v>0</v>
      </c>
      <c r="I7" s="566">
        <v>266872.91448000009</v>
      </c>
      <c r="J7" s="582">
        <v>182869.41090199997</v>
      </c>
      <c r="K7" s="582">
        <v>1959.9649999999999</v>
      </c>
      <c r="L7" s="582">
        <v>82043.538578000007</v>
      </c>
      <c r="M7" s="582">
        <v>0</v>
      </c>
      <c r="N7" s="582">
        <v>0</v>
      </c>
      <c r="O7" s="566">
        <v>0</v>
      </c>
    </row>
    <row r="8" spans="1:15">
      <c r="A8" s="412">
        <v>2</v>
      </c>
      <c r="B8" s="416" t="s">
        <v>567</v>
      </c>
      <c r="C8" s="581">
        <v>3449558.2361000008</v>
      </c>
      <c r="D8" s="566">
        <v>3013402.8061000011</v>
      </c>
      <c r="E8" s="566">
        <v>116756.31000000001</v>
      </c>
      <c r="F8" s="582">
        <v>319399.12</v>
      </c>
      <c r="G8" s="582">
        <v>0</v>
      </c>
      <c r="H8" s="566">
        <v>0</v>
      </c>
      <c r="I8" s="566">
        <v>167752.93676200017</v>
      </c>
      <c r="J8" s="582">
        <v>60257.568843999987</v>
      </c>
      <c r="K8" s="582">
        <v>11675.630830999999</v>
      </c>
      <c r="L8" s="582">
        <v>95819.737087000001</v>
      </c>
      <c r="M8" s="582">
        <v>0</v>
      </c>
      <c r="N8" s="582">
        <v>0</v>
      </c>
      <c r="O8" s="566">
        <v>0</v>
      </c>
    </row>
    <row r="9" spans="1:15">
      <c r="A9" s="412">
        <v>3</v>
      </c>
      <c r="B9" s="416" t="s">
        <v>568</v>
      </c>
      <c r="C9" s="581">
        <v>0</v>
      </c>
      <c r="D9" s="566">
        <v>0</v>
      </c>
      <c r="E9" s="566">
        <v>0</v>
      </c>
      <c r="F9" s="583">
        <v>0</v>
      </c>
      <c r="G9" s="583">
        <v>0</v>
      </c>
      <c r="H9" s="566">
        <v>0</v>
      </c>
      <c r="I9" s="566">
        <v>0</v>
      </c>
      <c r="J9" s="583">
        <v>0</v>
      </c>
      <c r="K9" s="583">
        <v>0</v>
      </c>
      <c r="L9" s="583">
        <v>0</v>
      </c>
      <c r="M9" s="583">
        <v>0</v>
      </c>
      <c r="N9" s="583">
        <v>0</v>
      </c>
      <c r="O9" s="566">
        <v>0</v>
      </c>
    </row>
    <row r="10" spans="1:15">
      <c r="A10" s="412">
        <v>4</v>
      </c>
      <c r="B10" s="416" t="s">
        <v>698</v>
      </c>
      <c r="C10" s="581">
        <v>76395338.710000008</v>
      </c>
      <c r="D10" s="566">
        <v>36055697.059999995</v>
      </c>
      <c r="E10" s="566">
        <v>1133956.27</v>
      </c>
      <c r="F10" s="583">
        <v>19560998.399999999</v>
      </c>
      <c r="G10" s="583">
        <v>19644686.98</v>
      </c>
      <c r="H10" s="566">
        <v>0</v>
      </c>
      <c r="I10" s="566">
        <v>16391395.287875997</v>
      </c>
      <c r="J10" s="583">
        <v>721113.94113000028</v>
      </c>
      <c r="K10" s="583">
        <v>113395.62699999999</v>
      </c>
      <c r="L10" s="583">
        <v>5868299.5175330015</v>
      </c>
      <c r="M10" s="583">
        <v>9688586.2022130005</v>
      </c>
      <c r="N10" s="583">
        <v>0</v>
      </c>
      <c r="O10" s="566">
        <v>0</v>
      </c>
    </row>
    <row r="11" spans="1:15">
      <c r="A11" s="412">
        <v>5</v>
      </c>
      <c r="B11" s="416" t="s">
        <v>569</v>
      </c>
      <c r="C11" s="581">
        <v>74498259.724999994</v>
      </c>
      <c r="D11" s="566">
        <v>44801566.639999986</v>
      </c>
      <c r="E11" s="566">
        <v>1492577.48</v>
      </c>
      <c r="F11" s="583">
        <v>14155185.930000002</v>
      </c>
      <c r="G11" s="583">
        <v>34465.120000000003</v>
      </c>
      <c r="H11" s="566">
        <v>14014464.555000003</v>
      </c>
      <c r="I11" s="566">
        <v>13733072.579118999</v>
      </c>
      <c r="J11" s="583">
        <v>896031.33322300017</v>
      </c>
      <c r="K11" s="583">
        <v>149257.748613</v>
      </c>
      <c r="L11" s="583">
        <v>4246555.779755001</v>
      </c>
      <c r="M11" s="583">
        <v>17232.560000000001</v>
      </c>
      <c r="N11" s="583">
        <v>8423995.1575280018</v>
      </c>
      <c r="O11" s="566">
        <v>0</v>
      </c>
    </row>
    <row r="12" spans="1:15">
      <c r="A12" s="412">
        <v>6</v>
      </c>
      <c r="B12" s="416" t="s">
        <v>570</v>
      </c>
      <c r="C12" s="581">
        <v>50228675.539999999</v>
      </c>
      <c r="D12" s="566">
        <v>45157387.629999995</v>
      </c>
      <c r="E12" s="566">
        <v>0</v>
      </c>
      <c r="F12" s="583">
        <v>2303416.27</v>
      </c>
      <c r="G12" s="583">
        <v>0</v>
      </c>
      <c r="H12" s="566">
        <v>2767871.6399999992</v>
      </c>
      <c r="I12" s="566">
        <v>3642397.6372459996</v>
      </c>
      <c r="J12" s="583">
        <v>903147.75262100005</v>
      </c>
      <c r="K12" s="583">
        <v>0</v>
      </c>
      <c r="L12" s="583">
        <v>691024.88127999997</v>
      </c>
      <c r="M12" s="583">
        <v>0</v>
      </c>
      <c r="N12" s="583">
        <v>2048225.0033450001</v>
      </c>
      <c r="O12" s="566">
        <v>0</v>
      </c>
    </row>
    <row r="13" spans="1:15">
      <c r="A13" s="412">
        <v>7</v>
      </c>
      <c r="B13" s="416" t="s">
        <v>571</v>
      </c>
      <c r="C13" s="581">
        <v>12874817.300000001</v>
      </c>
      <c r="D13" s="566">
        <v>4197434.76</v>
      </c>
      <c r="E13" s="566">
        <v>2618943.1200000006</v>
      </c>
      <c r="F13" s="583">
        <v>663917.97000000009</v>
      </c>
      <c r="G13" s="583">
        <v>5394521.4499999993</v>
      </c>
      <c r="H13" s="566">
        <v>0</v>
      </c>
      <c r="I13" s="566">
        <v>2755980.609464</v>
      </c>
      <c r="J13" s="583">
        <v>83948.695331999988</v>
      </c>
      <c r="K13" s="583">
        <v>261894.31200000001</v>
      </c>
      <c r="L13" s="583">
        <v>199175.39025699999</v>
      </c>
      <c r="M13" s="583">
        <v>2210962.211875</v>
      </c>
      <c r="N13" s="583">
        <v>0</v>
      </c>
      <c r="O13" s="566">
        <v>0</v>
      </c>
    </row>
    <row r="14" spans="1:15">
      <c r="A14" s="412">
        <v>8</v>
      </c>
      <c r="B14" s="416" t="s">
        <v>572</v>
      </c>
      <c r="C14" s="581">
        <v>24389702.629999999</v>
      </c>
      <c r="D14" s="566">
        <v>6254067.2100000009</v>
      </c>
      <c r="E14" s="566">
        <v>0</v>
      </c>
      <c r="F14" s="583">
        <v>9348935.4199999999</v>
      </c>
      <c r="G14" s="583">
        <v>0</v>
      </c>
      <c r="H14" s="566">
        <v>8786700</v>
      </c>
      <c r="I14" s="566">
        <v>8201781.9710010011</v>
      </c>
      <c r="J14" s="583">
        <v>125081.34431599999</v>
      </c>
      <c r="K14" s="583">
        <v>0</v>
      </c>
      <c r="L14" s="583">
        <v>2804680.626685</v>
      </c>
      <c r="M14" s="583">
        <v>0</v>
      </c>
      <c r="N14" s="583">
        <v>5272020</v>
      </c>
      <c r="O14" s="566">
        <v>0</v>
      </c>
    </row>
    <row r="15" spans="1:15">
      <c r="A15" s="412">
        <v>9</v>
      </c>
      <c r="B15" s="416" t="s">
        <v>573</v>
      </c>
      <c r="C15" s="581">
        <v>149065238.45999989</v>
      </c>
      <c r="D15" s="566">
        <v>89655934.540000007</v>
      </c>
      <c r="E15" s="566">
        <v>7394784.3099999996</v>
      </c>
      <c r="F15" s="583">
        <v>8045336.4700000007</v>
      </c>
      <c r="G15" s="583">
        <v>12490464.799999999</v>
      </c>
      <c r="H15" s="566">
        <v>31478718.34</v>
      </c>
      <c r="I15" s="566">
        <v>33141548.812317997</v>
      </c>
      <c r="J15" s="583">
        <v>1793118.6909719999</v>
      </c>
      <c r="K15" s="583">
        <v>739478.43133800011</v>
      </c>
      <c r="L15" s="583">
        <v>2413600.9381539999</v>
      </c>
      <c r="M15" s="583">
        <v>5380318.6091540009</v>
      </c>
      <c r="N15" s="583">
        <v>22815032.142700002</v>
      </c>
      <c r="O15" s="566">
        <v>0</v>
      </c>
    </row>
    <row r="16" spans="1:15">
      <c r="A16" s="412">
        <v>10</v>
      </c>
      <c r="B16" s="416" t="s">
        <v>574</v>
      </c>
      <c r="C16" s="581">
        <v>1369027.46</v>
      </c>
      <c r="D16" s="566">
        <v>1321119.8799999999</v>
      </c>
      <c r="E16" s="566">
        <v>0</v>
      </c>
      <c r="F16" s="583">
        <v>47907.579999999994</v>
      </c>
      <c r="G16" s="583">
        <v>0</v>
      </c>
      <c r="H16" s="566">
        <v>0</v>
      </c>
      <c r="I16" s="566">
        <v>40794.670892999995</v>
      </c>
      <c r="J16" s="583">
        <v>26422.397503</v>
      </c>
      <c r="K16" s="583">
        <v>0</v>
      </c>
      <c r="L16" s="583">
        <v>14372.27339</v>
      </c>
      <c r="M16" s="583">
        <v>0</v>
      </c>
      <c r="N16" s="583">
        <v>0</v>
      </c>
      <c r="O16" s="566">
        <v>0</v>
      </c>
    </row>
    <row r="17" spans="1:15">
      <c r="A17" s="412">
        <v>11</v>
      </c>
      <c r="B17" s="416" t="s">
        <v>575</v>
      </c>
      <c r="C17" s="581">
        <v>888773.5</v>
      </c>
      <c r="D17" s="566">
        <v>888773.5</v>
      </c>
      <c r="E17" s="566">
        <v>0</v>
      </c>
      <c r="F17" s="583">
        <v>0</v>
      </c>
      <c r="G17" s="583">
        <v>0</v>
      </c>
      <c r="H17" s="566">
        <v>0</v>
      </c>
      <c r="I17" s="566">
        <v>17775.470001000002</v>
      </c>
      <c r="J17" s="583">
        <v>17775.470001000002</v>
      </c>
      <c r="K17" s="583">
        <v>0</v>
      </c>
      <c r="L17" s="583">
        <v>0</v>
      </c>
      <c r="M17" s="583">
        <v>0</v>
      </c>
      <c r="N17" s="583">
        <v>0</v>
      </c>
      <c r="O17" s="566">
        <v>0</v>
      </c>
    </row>
    <row r="18" spans="1:15">
      <c r="A18" s="412">
        <v>12</v>
      </c>
      <c r="B18" s="416" t="s">
        <v>576</v>
      </c>
      <c r="C18" s="581">
        <v>28624451.677199993</v>
      </c>
      <c r="D18" s="566">
        <v>6787096.2972000008</v>
      </c>
      <c r="E18" s="566">
        <v>0</v>
      </c>
      <c r="F18" s="583">
        <v>21518753.359999999</v>
      </c>
      <c r="G18" s="583">
        <v>318602.02</v>
      </c>
      <c r="H18" s="566">
        <v>0</v>
      </c>
      <c r="I18" s="566">
        <v>6750668.9487069985</v>
      </c>
      <c r="J18" s="583">
        <v>135741.925812</v>
      </c>
      <c r="K18" s="583">
        <v>0</v>
      </c>
      <c r="L18" s="583">
        <v>6455626.0117459996</v>
      </c>
      <c r="M18" s="583">
        <v>159301.011149</v>
      </c>
      <c r="N18" s="583">
        <v>0</v>
      </c>
      <c r="O18" s="566">
        <v>0</v>
      </c>
    </row>
    <row r="19" spans="1:15">
      <c r="A19" s="412">
        <v>13</v>
      </c>
      <c r="B19" s="416" t="s">
        <v>577</v>
      </c>
      <c r="C19" s="581">
        <v>11173508.339999998</v>
      </c>
      <c r="D19" s="566">
        <v>6093151.21</v>
      </c>
      <c r="E19" s="566">
        <v>0</v>
      </c>
      <c r="F19" s="583">
        <v>3884672.54</v>
      </c>
      <c r="G19" s="583">
        <v>0</v>
      </c>
      <c r="H19" s="566">
        <v>1195684.5900000001</v>
      </c>
      <c r="I19" s="566">
        <v>2003904.3882869999</v>
      </c>
      <c r="J19" s="583">
        <v>121091.87337599999</v>
      </c>
      <c r="K19" s="583">
        <v>0</v>
      </c>
      <c r="L19" s="583">
        <v>1165401.7622390001</v>
      </c>
      <c r="M19" s="583">
        <v>0</v>
      </c>
      <c r="N19" s="583">
        <v>717410.75267199997</v>
      </c>
      <c r="O19" s="566">
        <v>0</v>
      </c>
    </row>
    <row r="20" spans="1:15">
      <c r="A20" s="412">
        <v>14</v>
      </c>
      <c r="B20" s="416" t="s">
        <v>578</v>
      </c>
      <c r="C20" s="581">
        <v>59798463.179999977</v>
      </c>
      <c r="D20" s="566">
        <v>20793176.48</v>
      </c>
      <c r="E20" s="566">
        <v>3563445.9599999995</v>
      </c>
      <c r="F20" s="583">
        <v>12408433.280000005</v>
      </c>
      <c r="G20" s="583">
        <v>4365691.1400000006</v>
      </c>
      <c r="H20" s="566">
        <v>18667716.319999997</v>
      </c>
      <c r="I20" s="566">
        <v>16216929.290274</v>
      </c>
      <c r="J20" s="583">
        <v>415863.52934499999</v>
      </c>
      <c r="K20" s="583">
        <v>356344.596234</v>
      </c>
      <c r="L20" s="583">
        <v>3722529.9808359989</v>
      </c>
      <c r="M20" s="583">
        <v>1746276.4551489998</v>
      </c>
      <c r="N20" s="583">
        <v>9975914.7287099995</v>
      </c>
      <c r="O20" s="566">
        <v>0</v>
      </c>
    </row>
    <row r="21" spans="1:15">
      <c r="A21" s="412">
        <v>15</v>
      </c>
      <c r="B21" s="416" t="s">
        <v>579</v>
      </c>
      <c r="C21" s="581">
        <v>654375.42000000004</v>
      </c>
      <c r="D21" s="566">
        <v>0</v>
      </c>
      <c r="E21" s="566">
        <v>0</v>
      </c>
      <c r="F21" s="583">
        <v>654375.42000000004</v>
      </c>
      <c r="G21" s="583">
        <v>0</v>
      </c>
      <c r="H21" s="566">
        <v>0</v>
      </c>
      <c r="I21" s="566">
        <v>196312.62785799999</v>
      </c>
      <c r="J21" s="583">
        <v>0</v>
      </c>
      <c r="K21" s="583">
        <v>0</v>
      </c>
      <c r="L21" s="583">
        <v>196312.62785799999</v>
      </c>
      <c r="M21" s="583">
        <v>0</v>
      </c>
      <c r="N21" s="583">
        <v>0</v>
      </c>
      <c r="O21" s="566">
        <v>0</v>
      </c>
    </row>
    <row r="22" spans="1:15">
      <c r="A22" s="412">
        <v>16</v>
      </c>
      <c r="B22" s="416" t="s">
        <v>580</v>
      </c>
      <c r="C22" s="581">
        <v>47480978.899999999</v>
      </c>
      <c r="D22" s="566">
        <v>47411885.420000002</v>
      </c>
      <c r="E22" s="566">
        <v>0</v>
      </c>
      <c r="F22" s="583">
        <v>0</v>
      </c>
      <c r="G22" s="583">
        <v>69093.48</v>
      </c>
      <c r="H22" s="566">
        <v>0</v>
      </c>
      <c r="I22" s="566">
        <v>982784.45002500003</v>
      </c>
      <c r="J22" s="583">
        <v>948237.70841199998</v>
      </c>
      <c r="K22" s="583">
        <v>0</v>
      </c>
      <c r="L22" s="583">
        <v>0</v>
      </c>
      <c r="M22" s="583">
        <v>34546.741612999998</v>
      </c>
      <c r="N22" s="583">
        <v>0</v>
      </c>
      <c r="O22" s="566">
        <v>0</v>
      </c>
    </row>
    <row r="23" spans="1:15">
      <c r="A23" s="412">
        <v>17</v>
      </c>
      <c r="B23" s="416" t="s">
        <v>701</v>
      </c>
      <c r="C23" s="581">
        <v>18158002.499999996</v>
      </c>
      <c r="D23" s="566">
        <v>13176514.759999998</v>
      </c>
      <c r="E23" s="566">
        <v>4851683.29</v>
      </c>
      <c r="F23" s="583">
        <v>129804.45</v>
      </c>
      <c r="G23" s="583">
        <v>0</v>
      </c>
      <c r="H23" s="566">
        <v>0</v>
      </c>
      <c r="I23" s="566">
        <v>787639.96042399993</v>
      </c>
      <c r="J23" s="583">
        <v>263530.29514000006</v>
      </c>
      <c r="K23" s="583">
        <v>485168.32888900005</v>
      </c>
      <c r="L23" s="583">
        <v>38941.336394999998</v>
      </c>
      <c r="M23" s="583">
        <v>0</v>
      </c>
      <c r="N23" s="583">
        <v>0</v>
      </c>
      <c r="O23" s="566">
        <v>0</v>
      </c>
    </row>
    <row r="24" spans="1:15">
      <c r="A24" s="412">
        <v>18</v>
      </c>
      <c r="B24" s="416" t="s">
        <v>581</v>
      </c>
      <c r="C24" s="581">
        <v>3377244.44</v>
      </c>
      <c r="D24" s="566">
        <v>914788.08</v>
      </c>
      <c r="E24" s="566">
        <v>500093.36</v>
      </c>
      <c r="F24" s="583">
        <v>0</v>
      </c>
      <c r="G24" s="583">
        <v>0</v>
      </c>
      <c r="H24" s="566">
        <v>1962363</v>
      </c>
      <c r="I24" s="566">
        <v>1230989.4710629999</v>
      </c>
      <c r="J24" s="583">
        <v>3562.3349600000001</v>
      </c>
      <c r="K24" s="583">
        <v>50009.336103000001</v>
      </c>
      <c r="L24" s="583">
        <v>0</v>
      </c>
      <c r="M24" s="583">
        <v>0</v>
      </c>
      <c r="N24" s="583">
        <v>1177417.8</v>
      </c>
      <c r="O24" s="566">
        <v>0</v>
      </c>
    </row>
    <row r="25" spans="1:15">
      <c r="A25" s="412">
        <v>19</v>
      </c>
      <c r="B25" s="416" t="s">
        <v>582</v>
      </c>
      <c r="C25" s="581">
        <v>27318860.020000007</v>
      </c>
      <c r="D25" s="566">
        <v>1641306.4199999997</v>
      </c>
      <c r="E25" s="566">
        <v>25677553.600000001</v>
      </c>
      <c r="F25" s="583">
        <v>0</v>
      </c>
      <c r="G25" s="583">
        <v>0</v>
      </c>
      <c r="H25" s="566">
        <v>0</v>
      </c>
      <c r="I25" s="566">
        <v>2600581.4879849995</v>
      </c>
      <c r="J25" s="583">
        <v>32826.128391000006</v>
      </c>
      <c r="K25" s="583">
        <v>2567755.359594</v>
      </c>
      <c r="L25" s="583">
        <v>0</v>
      </c>
      <c r="M25" s="583">
        <v>0</v>
      </c>
      <c r="N25" s="583">
        <v>0</v>
      </c>
      <c r="O25" s="566">
        <v>0</v>
      </c>
    </row>
    <row r="26" spans="1:15">
      <c r="A26" s="412">
        <v>20</v>
      </c>
      <c r="B26" s="416" t="s">
        <v>700</v>
      </c>
      <c r="C26" s="581">
        <v>36940699.660000004</v>
      </c>
      <c r="D26" s="566">
        <v>36507802.619999997</v>
      </c>
      <c r="E26" s="566">
        <v>432897.04000000004</v>
      </c>
      <c r="F26" s="583">
        <v>0</v>
      </c>
      <c r="G26" s="583">
        <v>0</v>
      </c>
      <c r="H26" s="566">
        <v>0</v>
      </c>
      <c r="I26" s="566">
        <v>773445.75753899978</v>
      </c>
      <c r="J26" s="583">
        <v>730156.05318999977</v>
      </c>
      <c r="K26" s="583">
        <v>43289.704348999992</v>
      </c>
      <c r="L26" s="583">
        <v>0</v>
      </c>
      <c r="M26" s="583">
        <v>0</v>
      </c>
      <c r="N26" s="583">
        <v>0</v>
      </c>
      <c r="O26" s="566">
        <v>0</v>
      </c>
    </row>
    <row r="27" spans="1:15">
      <c r="A27" s="412">
        <v>21</v>
      </c>
      <c r="B27" s="416" t="s">
        <v>583</v>
      </c>
      <c r="C27" s="581">
        <v>2296894.4890999999</v>
      </c>
      <c r="D27" s="566">
        <v>2296894.4890999999</v>
      </c>
      <c r="E27" s="566">
        <v>0</v>
      </c>
      <c r="F27" s="583">
        <v>0</v>
      </c>
      <c r="G27" s="583">
        <v>0</v>
      </c>
      <c r="H27" s="566">
        <v>0</v>
      </c>
      <c r="I27" s="566">
        <v>45937.889975000006</v>
      </c>
      <c r="J27" s="583">
        <v>45937.889975000006</v>
      </c>
      <c r="K27" s="583">
        <v>0</v>
      </c>
      <c r="L27" s="583">
        <v>0</v>
      </c>
      <c r="M27" s="583">
        <v>0</v>
      </c>
      <c r="N27" s="583">
        <v>0</v>
      </c>
      <c r="O27" s="566">
        <v>0</v>
      </c>
    </row>
    <row r="28" spans="1:15">
      <c r="A28" s="412">
        <v>22</v>
      </c>
      <c r="B28" s="416" t="s">
        <v>584</v>
      </c>
      <c r="C28" s="581">
        <v>37988465.979999997</v>
      </c>
      <c r="D28" s="566">
        <v>29186533.129999999</v>
      </c>
      <c r="E28" s="566">
        <v>0</v>
      </c>
      <c r="F28" s="583">
        <v>475881.2</v>
      </c>
      <c r="G28" s="583">
        <v>171654.75</v>
      </c>
      <c r="H28" s="566">
        <v>8154396.9000000004</v>
      </c>
      <c r="I28" s="566">
        <v>8395579.0548710003</v>
      </c>
      <c r="J28" s="583">
        <v>12590.422514</v>
      </c>
      <c r="K28" s="583">
        <v>0</v>
      </c>
      <c r="L28" s="583">
        <v>142764.35973900001</v>
      </c>
      <c r="M28" s="583">
        <v>85827.372617999994</v>
      </c>
      <c r="N28" s="583">
        <v>8154396.9000000004</v>
      </c>
      <c r="O28" s="566">
        <v>0</v>
      </c>
    </row>
    <row r="29" spans="1:15">
      <c r="A29" s="412">
        <v>23</v>
      </c>
      <c r="B29" s="416" t="s">
        <v>585</v>
      </c>
      <c r="C29" s="581">
        <v>77265419.129999951</v>
      </c>
      <c r="D29" s="566">
        <v>66754820.259999998</v>
      </c>
      <c r="E29" s="566">
        <v>81105.909999999989</v>
      </c>
      <c r="F29" s="583">
        <v>3486357.02</v>
      </c>
      <c r="G29" s="583">
        <v>1044979.86</v>
      </c>
      <c r="H29" s="566">
        <v>5898156.0800000001</v>
      </c>
      <c r="I29" s="566">
        <v>6450497.6811360018</v>
      </c>
      <c r="J29" s="583">
        <v>1335096.4048849999</v>
      </c>
      <c r="K29" s="583">
        <v>8110.5910139999996</v>
      </c>
      <c r="L29" s="583">
        <v>1045907.108357</v>
      </c>
      <c r="M29" s="583">
        <v>522489.92710299999</v>
      </c>
      <c r="N29" s="583">
        <v>3538893.6497769998</v>
      </c>
      <c r="O29" s="566">
        <v>0</v>
      </c>
    </row>
    <row r="30" spans="1:15">
      <c r="A30" s="412">
        <v>24</v>
      </c>
      <c r="B30" s="416" t="s">
        <v>699</v>
      </c>
      <c r="C30" s="581">
        <v>43189208.300000004</v>
      </c>
      <c r="D30" s="566">
        <v>20178901.989999998</v>
      </c>
      <c r="E30" s="566">
        <v>9747892.4400000051</v>
      </c>
      <c r="F30" s="583">
        <v>3750470.5399999991</v>
      </c>
      <c r="G30" s="583">
        <v>597174.8600000001</v>
      </c>
      <c r="H30" s="566">
        <v>8914768.4699999988</v>
      </c>
      <c r="I30" s="566">
        <v>8795745.7855719998</v>
      </c>
      <c r="J30" s="583">
        <v>403578.03948199993</v>
      </c>
      <c r="K30" s="583">
        <v>974789.24455100019</v>
      </c>
      <c r="L30" s="583">
        <v>1125141.1626499998</v>
      </c>
      <c r="M30" s="583">
        <v>298587.42808099999</v>
      </c>
      <c r="N30" s="583">
        <v>5993649.9108079998</v>
      </c>
      <c r="O30" s="566">
        <v>0</v>
      </c>
    </row>
    <row r="31" spans="1:15">
      <c r="A31" s="412">
        <v>25</v>
      </c>
      <c r="B31" s="416" t="s">
        <v>586</v>
      </c>
      <c r="C31" s="581">
        <v>32238046.83180001</v>
      </c>
      <c r="D31" s="566">
        <v>26901071.367700011</v>
      </c>
      <c r="E31" s="566">
        <v>720135.47</v>
      </c>
      <c r="F31" s="583">
        <v>2938954.3157000002</v>
      </c>
      <c r="G31" s="583">
        <v>1551663.49</v>
      </c>
      <c r="H31" s="566">
        <v>126222.1884</v>
      </c>
      <c r="I31" s="566">
        <v>2384296.6900580036</v>
      </c>
      <c r="J31" s="583">
        <v>528590.33081900119</v>
      </c>
      <c r="K31" s="583">
        <v>72013.546734999996</v>
      </c>
      <c r="L31" s="583">
        <v>881686.29645000002</v>
      </c>
      <c r="M31" s="583">
        <v>775831.74395899998</v>
      </c>
      <c r="N31" s="583">
        <v>126174.77209499999</v>
      </c>
      <c r="O31" s="566">
        <v>0</v>
      </c>
    </row>
    <row r="32" spans="1:15">
      <c r="A32" s="412">
        <v>26</v>
      </c>
      <c r="B32" s="416" t="s">
        <v>696</v>
      </c>
      <c r="C32" s="581">
        <v>1095220.3959999986</v>
      </c>
      <c r="D32" s="566">
        <v>1082415.9063999983</v>
      </c>
      <c r="E32" s="566">
        <v>3057.05</v>
      </c>
      <c r="F32" s="583">
        <v>315.14960000000002</v>
      </c>
      <c r="G32" s="583">
        <v>3.59</v>
      </c>
      <c r="H32" s="566">
        <v>9428.7000000000007</v>
      </c>
      <c r="I32" s="566">
        <v>31478.704008000033</v>
      </c>
      <c r="J32" s="583">
        <v>21648.318128000028</v>
      </c>
      <c r="K32" s="583">
        <v>305.70500000000004</v>
      </c>
      <c r="L32" s="583">
        <v>94.544880000000006</v>
      </c>
      <c r="M32" s="583">
        <v>1.4359999999999999</v>
      </c>
      <c r="N32" s="583">
        <v>9428.7000000000007</v>
      </c>
      <c r="O32" s="566">
        <v>0</v>
      </c>
    </row>
    <row r="33" spans="1:15">
      <c r="A33" s="412">
        <v>27</v>
      </c>
      <c r="B33" s="434" t="s">
        <v>109</v>
      </c>
      <c r="C33" s="584">
        <f>SUM(C7:C32)</f>
        <v>830195779.48519981</v>
      </c>
      <c r="D33" s="566">
        <f t="shared" ref="D33:N33" si="0">SUM(D7:D32)</f>
        <v>520215213.00650007</v>
      </c>
      <c r="E33" s="566">
        <f t="shared" si="0"/>
        <v>58354481.259999998</v>
      </c>
      <c r="F33" s="583">
        <f t="shared" si="0"/>
        <v>103966592.8953</v>
      </c>
      <c r="G33" s="583">
        <f t="shared" si="0"/>
        <v>45683001.540000007</v>
      </c>
      <c r="H33" s="566">
        <f t="shared" si="0"/>
        <v>101976490.78340001</v>
      </c>
      <c r="I33" s="566">
        <f t="shared" si="0"/>
        <v>136006165.076942</v>
      </c>
      <c r="J33" s="583">
        <f t="shared" si="0"/>
        <v>9808217.8592730016</v>
      </c>
      <c r="K33" s="583">
        <f t="shared" si="0"/>
        <v>5835448.1272510001</v>
      </c>
      <c r="L33" s="583">
        <f t="shared" si="0"/>
        <v>31189977.873869009</v>
      </c>
      <c r="M33" s="583">
        <f t="shared" si="0"/>
        <v>20919961.698914003</v>
      </c>
      <c r="N33" s="583">
        <f t="shared" si="0"/>
        <v>68252559.517635003</v>
      </c>
      <c r="O33" s="566">
        <v>0</v>
      </c>
    </row>
    <row r="35" spans="1:15">
      <c r="B35" s="448"/>
      <c r="C35" s="448"/>
    </row>
    <row r="41" spans="1:15">
      <c r="A41" s="445"/>
      <c r="B41" s="445"/>
      <c r="C41" s="445"/>
    </row>
    <row r="42" spans="1:15">
      <c r="A42" s="445"/>
      <c r="B42" s="445"/>
      <c r="C42" s="44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heetViews>
  <sheetFormatPr defaultColWidth="8.7109375" defaultRowHeight="12"/>
  <cols>
    <col min="1" max="1" width="11.7109375" style="456" bestFit="1" customWidth="1"/>
    <col min="2" max="2" width="80.28515625" style="456" customWidth="1"/>
    <col min="3" max="3" width="17.28515625" style="456" bestFit="1" customWidth="1"/>
    <col min="4" max="5" width="22.28515625" style="456" bestFit="1" customWidth="1"/>
    <col min="6" max="6" width="20.28515625" style="456" bestFit="1" customWidth="1"/>
    <col min="7" max="7" width="20.85546875" style="456" bestFit="1" customWidth="1"/>
    <col min="8" max="8" width="23.28515625" style="456" bestFit="1" customWidth="1"/>
    <col min="9" max="9" width="22.28515625" style="456" customWidth="1"/>
    <col min="10" max="10" width="19.28515625" style="456" bestFit="1" customWidth="1"/>
    <col min="11" max="11" width="17.7109375" style="456" bestFit="1" customWidth="1"/>
    <col min="12" max="16384" width="8.7109375" style="456"/>
  </cols>
  <sheetData>
    <row r="1" spans="1:11" s="415" customFormat="1" ht="12.75">
      <c r="A1" s="407" t="s">
        <v>30</v>
      </c>
      <c r="B1" s="415" t="str">
        <f>'1. key ratios '!B1</f>
        <v>JSC CARTU BANK</v>
      </c>
    </row>
    <row r="2" spans="1:11" s="415" customFormat="1" ht="13.5">
      <c r="A2" s="407" t="s">
        <v>31</v>
      </c>
      <c r="B2" s="371">
        <f>'1. key ratios '!B2</f>
        <v>44742</v>
      </c>
    </row>
    <row r="3" spans="1:11" s="415" customFormat="1" ht="12.75">
      <c r="A3" s="408" t="s">
        <v>677</v>
      </c>
    </row>
    <row r="4" spans="1:11">
      <c r="C4" s="457" t="s">
        <v>0</v>
      </c>
      <c r="D4" s="457" t="s">
        <v>1</v>
      </c>
      <c r="E4" s="457" t="s">
        <v>2</v>
      </c>
      <c r="F4" s="457" t="s">
        <v>3</v>
      </c>
      <c r="G4" s="457" t="s">
        <v>4</v>
      </c>
      <c r="H4" s="457" t="s">
        <v>5</v>
      </c>
      <c r="I4" s="457" t="s">
        <v>8</v>
      </c>
      <c r="J4" s="457" t="s">
        <v>9</v>
      </c>
      <c r="K4" s="457" t="s">
        <v>10</v>
      </c>
    </row>
    <row r="5" spans="1:11" ht="105" customHeight="1">
      <c r="A5" s="740" t="s">
        <v>678</v>
      </c>
      <c r="B5" s="741"/>
      <c r="C5" s="437" t="s">
        <v>679</v>
      </c>
      <c r="D5" s="437" t="s">
        <v>680</v>
      </c>
      <c r="E5" s="437" t="s">
        <v>681</v>
      </c>
      <c r="F5" s="458" t="s">
        <v>682</v>
      </c>
      <c r="G5" s="437" t="s">
        <v>683</v>
      </c>
      <c r="H5" s="437" t="s">
        <v>684</v>
      </c>
      <c r="I5" s="437" t="s">
        <v>685</v>
      </c>
      <c r="J5" s="437" t="s">
        <v>686</v>
      </c>
      <c r="K5" s="437" t="s">
        <v>687</v>
      </c>
    </row>
    <row r="6" spans="1:11" ht="12.75">
      <c r="A6" s="412">
        <v>1</v>
      </c>
      <c r="B6" s="412" t="s">
        <v>633</v>
      </c>
      <c r="C6" s="566">
        <v>39420277.951440908</v>
      </c>
      <c r="D6" s="566">
        <v>9634242.4513473008</v>
      </c>
      <c r="E6" s="566">
        <v>0</v>
      </c>
      <c r="F6" s="566">
        <v>0</v>
      </c>
      <c r="G6" s="566">
        <v>654429756.40593135</v>
      </c>
      <c r="H6" s="566">
        <v>1353128.8078524286</v>
      </c>
      <c r="I6" s="566">
        <v>76752797.345782831</v>
      </c>
      <c r="J6" s="566">
        <v>7148248.7041308675</v>
      </c>
      <c r="K6" s="566">
        <v>41457327.818714067</v>
      </c>
    </row>
    <row r="7" spans="1:11" ht="12.75">
      <c r="A7" s="412">
        <v>2</v>
      </c>
      <c r="B7" s="412" t="s">
        <v>688</v>
      </c>
      <c r="C7" s="566">
        <v>0</v>
      </c>
      <c r="D7" s="566">
        <v>0</v>
      </c>
      <c r="E7" s="566">
        <v>0</v>
      </c>
      <c r="F7" s="566">
        <v>0</v>
      </c>
      <c r="G7" s="566">
        <v>0</v>
      </c>
      <c r="H7" s="566">
        <v>0</v>
      </c>
      <c r="I7" s="566">
        <v>0</v>
      </c>
      <c r="J7" s="566">
        <v>0</v>
      </c>
      <c r="K7" s="566">
        <v>3000000</v>
      </c>
    </row>
    <row r="8" spans="1:11" ht="12.75">
      <c r="A8" s="412">
        <v>3</v>
      </c>
      <c r="B8" s="412" t="s">
        <v>641</v>
      </c>
      <c r="C8" s="566">
        <v>6509999.9857360795</v>
      </c>
      <c r="D8" s="566">
        <v>0</v>
      </c>
      <c r="E8" s="566">
        <v>0</v>
      </c>
      <c r="F8" s="566">
        <v>0</v>
      </c>
      <c r="G8" s="566">
        <v>35721308.063333333</v>
      </c>
      <c r="H8" s="566">
        <v>28603.412147575786</v>
      </c>
      <c r="I8" s="566">
        <v>13996331.859788116</v>
      </c>
      <c r="J8" s="566">
        <v>4037692.0700949105</v>
      </c>
      <c r="K8" s="566">
        <v>1088879.9066000003</v>
      </c>
    </row>
    <row r="9" spans="1:11" ht="12.75">
      <c r="A9" s="412">
        <v>4</v>
      </c>
      <c r="B9" s="435" t="s">
        <v>689</v>
      </c>
      <c r="C9" s="566">
        <v>5851429.7847028319</v>
      </c>
      <c r="D9" s="566">
        <v>4096974.7868000004</v>
      </c>
      <c r="E9" s="566">
        <v>0</v>
      </c>
      <c r="F9" s="566">
        <v>0</v>
      </c>
      <c r="G9" s="566">
        <v>207963790.85617658</v>
      </c>
      <c r="H9" s="566">
        <v>528306.4600000002</v>
      </c>
      <c r="I9" s="566">
        <v>17621689.331003893</v>
      </c>
      <c r="J9" s="566">
        <v>2810065.5706715966</v>
      </c>
      <c r="K9" s="566">
        <v>12753828.429345159</v>
      </c>
    </row>
    <row r="10" spans="1:11" ht="12.75">
      <c r="A10" s="412">
        <v>5</v>
      </c>
      <c r="B10" s="435" t="s">
        <v>690</v>
      </c>
      <c r="C10" s="566">
        <v>0</v>
      </c>
      <c r="D10" s="566">
        <v>0</v>
      </c>
      <c r="E10" s="566">
        <v>0</v>
      </c>
      <c r="F10" s="566">
        <v>0</v>
      </c>
      <c r="G10" s="566">
        <v>0</v>
      </c>
      <c r="H10" s="566">
        <v>0</v>
      </c>
      <c r="I10" s="566">
        <v>0</v>
      </c>
      <c r="J10" s="566">
        <v>0</v>
      </c>
      <c r="K10" s="566">
        <v>0</v>
      </c>
    </row>
    <row r="11" spans="1:11" ht="12.75">
      <c r="A11" s="412">
        <v>6</v>
      </c>
      <c r="B11" s="435" t="s">
        <v>691</v>
      </c>
      <c r="C11" s="566">
        <v>0</v>
      </c>
      <c r="D11" s="566">
        <v>0</v>
      </c>
      <c r="E11" s="566">
        <v>0</v>
      </c>
      <c r="F11" s="566">
        <v>0</v>
      </c>
      <c r="G11" s="566">
        <v>3919583.2</v>
      </c>
      <c r="H11" s="566">
        <v>0</v>
      </c>
      <c r="I11" s="566">
        <v>0</v>
      </c>
      <c r="J11" s="566">
        <v>0</v>
      </c>
      <c r="K11" s="566">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opLeftCell="E1" zoomScaleNormal="100" workbookViewId="0"/>
  </sheetViews>
  <sheetFormatPr defaultRowHeight="15"/>
  <cols>
    <col min="1" max="1" width="10" bestFit="1" customWidth="1"/>
    <col min="2" max="2" width="71.7109375" customWidth="1"/>
    <col min="3" max="3" width="10.7109375" bestFit="1" customWidth="1"/>
    <col min="4" max="8" width="9.85546875" customWidth="1"/>
    <col min="9" max="9" width="10.710937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7109375" bestFit="1" customWidth="1"/>
  </cols>
  <sheetData>
    <row r="1" spans="1:19">
      <c r="A1" s="407" t="s">
        <v>30</v>
      </c>
      <c r="B1" s="415" t="str">
        <f>'1. key ratios '!B1</f>
        <v>JSC CARTU BANK</v>
      </c>
    </row>
    <row r="2" spans="1:19">
      <c r="A2" s="407" t="s">
        <v>31</v>
      </c>
      <c r="B2" s="371">
        <f>'1. key ratios '!B2</f>
        <v>44742</v>
      </c>
    </row>
    <row r="3" spans="1:19">
      <c r="A3" s="408" t="s">
        <v>752</v>
      </c>
      <c r="B3" s="415"/>
    </row>
    <row r="4" spans="1:19">
      <c r="A4" s="408"/>
      <c r="B4" s="415"/>
    </row>
    <row r="5" spans="1:19">
      <c r="A5" s="743" t="s">
        <v>753</v>
      </c>
      <c r="B5" s="743"/>
      <c r="C5" s="745" t="s">
        <v>754</v>
      </c>
      <c r="D5" s="745"/>
      <c r="E5" s="745"/>
      <c r="F5" s="745"/>
      <c r="G5" s="745"/>
      <c r="H5" s="745"/>
      <c r="I5" s="745" t="s">
        <v>755</v>
      </c>
      <c r="J5" s="745"/>
      <c r="K5" s="745"/>
      <c r="L5" s="745"/>
      <c r="M5" s="745"/>
      <c r="N5" s="746"/>
      <c r="O5" s="742" t="s">
        <v>756</v>
      </c>
      <c r="P5" s="742" t="s">
        <v>757</v>
      </c>
      <c r="Q5" s="742" t="s">
        <v>758</v>
      </c>
      <c r="R5" s="742" t="s">
        <v>759</v>
      </c>
      <c r="S5" s="742" t="s">
        <v>760</v>
      </c>
    </row>
    <row r="6" spans="1:19" ht="24" customHeight="1">
      <c r="A6" s="744"/>
      <c r="B6" s="744"/>
      <c r="C6" s="585"/>
      <c r="D6" s="586" t="s">
        <v>672</v>
      </c>
      <c r="E6" s="586" t="s">
        <v>673</v>
      </c>
      <c r="F6" s="586" t="s">
        <v>674</v>
      </c>
      <c r="G6" s="586" t="s">
        <v>675</v>
      </c>
      <c r="H6" s="586" t="s">
        <v>676</v>
      </c>
      <c r="I6" s="585"/>
      <c r="J6" s="586" t="s">
        <v>672</v>
      </c>
      <c r="K6" s="586" t="s">
        <v>673</v>
      </c>
      <c r="L6" s="586" t="s">
        <v>674</v>
      </c>
      <c r="M6" s="586" t="s">
        <v>675</v>
      </c>
      <c r="N6" s="587" t="s">
        <v>676</v>
      </c>
      <c r="O6" s="742"/>
      <c r="P6" s="742"/>
      <c r="Q6" s="742"/>
      <c r="R6" s="742"/>
      <c r="S6" s="742"/>
    </row>
    <row r="7" spans="1:19">
      <c r="A7" s="588">
        <v>1</v>
      </c>
      <c r="B7" s="589" t="s">
        <v>761</v>
      </c>
      <c r="C7" s="629">
        <v>224984.86</v>
      </c>
      <c r="D7" s="629">
        <v>163895.02999999997</v>
      </c>
      <c r="E7" s="629">
        <v>1965.38</v>
      </c>
      <c r="F7" s="629">
        <v>59124.45</v>
      </c>
      <c r="G7" s="629">
        <v>0</v>
      </c>
      <c r="H7" s="629">
        <v>0</v>
      </c>
      <c r="I7" s="629">
        <v>21211.773590000004</v>
      </c>
      <c r="J7" s="629">
        <v>3277.9005900000002</v>
      </c>
      <c r="K7" s="629">
        <v>196.53800000000001</v>
      </c>
      <c r="L7" s="629">
        <v>17737.334999999999</v>
      </c>
      <c r="M7" s="629">
        <v>0</v>
      </c>
      <c r="N7" s="629">
        <v>0</v>
      </c>
      <c r="O7" s="590">
        <v>14</v>
      </c>
      <c r="P7" s="630">
        <v>0.15499999999999997</v>
      </c>
      <c r="Q7" s="630">
        <v>0.16649963054814854</v>
      </c>
      <c r="R7" s="630">
        <v>0.13111455237476871</v>
      </c>
      <c r="S7" s="631">
        <v>57.386013043612557</v>
      </c>
    </row>
    <row r="8" spans="1:19">
      <c r="A8" s="588">
        <v>2</v>
      </c>
      <c r="B8" s="591" t="s">
        <v>762</v>
      </c>
      <c r="C8" s="629">
        <v>5402272.2499999991</v>
      </c>
      <c r="D8" s="629">
        <v>3410502.4800000009</v>
      </c>
      <c r="E8" s="629">
        <v>226405.53</v>
      </c>
      <c r="F8" s="629">
        <v>1220796.3500000003</v>
      </c>
      <c r="G8" s="629">
        <v>544567.8899999999</v>
      </c>
      <c r="H8" s="629">
        <v>0</v>
      </c>
      <c r="I8" s="629">
        <v>721593.39308199997</v>
      </c>
      <c r="J8" s="629">
        <v>60429.988342000011</v>
      </c>
      <c r="K8" s="629">
        <v>22640.553633</v>
      </c>
      <c r="L8" s="629">
        <v>366238.90646400006</v>
      </c>
      <c r="M8" s="629">
        <v>272283.94464300002</v>
      </c>
      <c r="N8" s="629">
        <v>0</v>
      </c>
      <c r="O8" s="590">
        <v>121</v>
      </c>
      <c r="P8" s="630">
        <v>0.10086030072552736</v>
      </c>
      <c r="Q8" s="630">
        <v>0.10594507809319478</v>
      </c>
      <c r="R8" s="630">
        <v>9.9135890444062708E-2</v>
      </c>
      <c r="S8" s="631">
        <v>63.038856785554302</v>
      </c>
    </row>
    <row r="9" spans="1:19">
      <c r="A9" s="588">
        <v>3</v>
      </c>
      <c r="B9" s="591" t="s">
        <v>763</v>
      </c>
      <c r="C9" s="629">
        <v>0</v>
      </c>
      <c r="D9" s="629">
        <v>0</v>
      </c>
      <c r="E9" s="629">
        <v>0</v>
      </c>
      <c r="F9" s="629">
        <v>0</v>
      </c>
      <c r="G9" s="629">
        <v>0</v>
      </c>
      <c r="H9" s="629">
        <v>0</v>
      </c>
      <c r="I9" s="629">
        <v>0</v>
      </c>
      <c r="J9" s="629">
        <v>0</v>
      </c>
      <c r="K9" s="629">
        <v>0</v>
      </c>
      <c r="L9" s="629">
        <v>0</v>
      </c>
      <c r="M9" s="629">
        <v>0</v>
      </c>
      <c r="N9" s="629">
        <v>0</v>
      </c>
      <c r="O9" s="590">
        <v>0</v>
      </c>
      <c r="P9" s="630">
        <v>0</v>
      </c>
      <c r="Q9" s="630">
        <v>0</v>
      </c>
      <c r="R9" s="630">
        <v>0</v>
      </c>
      <c r="S9" s="631">
        <v>0</v>
      </c>
    </row>
    <row r="10" spans="1:19">
      <c r="A10" s="588">
        <v>4</v>
      </c>
      <c r="B10" s="591" t="s">
        <v>764</v>
      </c>
      <c r="C10" s="629">
        <v>0</v>
      </c>
      <c r="D10" s="629">
        <v>0</v>
      </c>
      <c r="E10" s="629">
        <v>0</v>
      </c>
      <c r="F10" s="629">
        <v>0</v>
      </c>
      <c r="G10" s="629">
        <v>0</v>
      </c>
      <c r="H10" s="629">
        <v>0</v>
      </c>
      <c r="I10" s="629">
        <v>0</v>
      </c>
      <c r="J10" s="629">
        <v>0</v>
      </c>
      <c r="K10" s="629">
        <v>0</v>
      </c>
      <c r="L10" s="629">
        <v>0</v>
      </c>
      <c r="M10" s="629">
        <v>0</v>
      </c>
      <c r="N10" s="629">
        <v>0</v>
      </c>
      <c r="O10" s="590">
        <v>0</v>
      </c>
      <c r="P10" s="630">
        <v>0</v>
      </c>
      <c r="Q10" s="630">
        <v>0</v>
      </c>
      <c r="R10" s="630">
        <v>0</v>
      </c>
      <c r="S10" s="631">
        <v>0</v>
      </c>
    </row>
    <row r="11" spans="1:19">
      <c r="A11" s="588">
        <v>5</v>
      </c>
      <c r="B11" s="591" t="s">
        <v>765</v>
      </c>
      <c r="C11" s="629">
        <v>1886445.9839000003</v>
      </c>
      <c r="D11" s="629">
        <v>1752998.5038999999</v>
      </c>
      <c r="E11" s="629">
        <v>10930.699999999999</v>
      </c>
      <c r="F11" s="629">
        <v>113441.86</v>
      </c>
      <c r="G11" s="629">
        <v>0</v>
      </c>
      <c r="H11" s="629">
        <v>9074.92</v>
      </c>
      <c r="I11" s="629">
        <v>79260.518077999935</v>
      </c>
      <c r="J11" s="629">
        <v>35059.970077999991</v>
      </c>
      <c r="K11" s="629">
        <v>1093.07</v>
      </c>
      <c r="L11" s="629">
        <v>34032.557999999997</v>
      </c>
      <c r="M11" s="629">
        <v>0</v>
      </c>
      <c r="N11" s="629">
        <v>9074.92</v>
      </c>
      <c r="O11" s="590">
        <v>259</v>
      </c>
      <c r="P11" s="630">
        <v>0.14354724614321163</v>
      </c>
      <c r="Q11" s="630">
        <v>0.15347779751435847</v>
      </c>
      <c r="R11" s="630">
        <v>0.10927134480248489</v>
      </c>
      <c r="S11" s="631">
        <v>4.9095134122943831</v>
      </c>
    </row>
    <row r="12" spans="1:19">
      <c r="A12" s="588">
        <v>6</v>
      </c>
      <c r="B12" s="591" t="s">
        <v>766</v>
      </c>
      <c r="C12" s="629">
        <v>220322.83600000007</v>
      </c>
      <c r="D12" s="629">
        <v>219650.10070000007</v>
      </c>
      <c r="E12" s="629">
        <v>0</v>
      </c>
      <c r="F12" s="629">
        <v>315.36530000000005</v>
      </c>
      <c r="G12" s="629">
        <v>3.59</v>
      </c>
      <c r="H12" s="629">
        <v>353.78000000000003</v>
      </c>
      <c r="I12" s="629">
        <v>4842.8276040000128</v>
      </c>
      <c r="J12" s="629">
        <v>4393.0020140000142</v>
      </c>
      <c r="K12" s="629">
        <v>0</v>
      </c>
      <c r="L12" s="629">
        <v>94.609590000000011</v>
      </c>
      <c r="M12" s="629">
        <v>1.4359999999999999</v>
      </c>
      <c r="N12" s="629">
        <v>353.78000000000003</v>
      </c>
      <c r="O12" s="590">
        <v>1221</v>
      </c>
      <c r="P12" s="630">
        <v>0</v>
      </c>
      <c r="Q12" s="630">
        <v>0</v>
      </c>
      <c r="R12" s="630">
        <v>8.5127588980381488E-2</v>
      </c>
      <c r="S12" s="631">
        <v>9.015457261654662</v>
      </c>
    </row>
    <row r="13" spans="1:19">
      <c r="A13" s="588">
        <v>7</v>
      </c>
      <c r="B13" s="591" t="s">
        <v>767</v>
      </c>
      <c r="C13" s="629">
        <v>14409614.639999997</v>
      </c>
      <c r="D13" s="629">
        <v>10451573.280000003</v>
      </c>
      <c r="E13" s="629">
        <v>1347529.62</v>
      </c>
      <c r="F13" s="629">
        <v>2484408.0999999996</v>
      </c>
      <c r="G13" s="629">
        <v>0</v>
      </c>
      <c r="H13" s="629">
        <v>126103.64</v>
      </c>
      <c r="I13" s="629">
        <v>1213548.9760490004</v>
      </c>
      <c r="J13" s="629">
        <v>207369.94245599996</v>
      </c>
      <c r="K13" s="629">
        <v>134752.96129099999</v>
      </c>
      <c r="L13" s="629">
        <v>745322.42924700014</v>
      </c>
      <c r="M13" s="629">
        <v>0</v>
      </c>
      <c r="N13" s="629">
        <v>126103.64305499999</v>
      </c>
      <c r="O13" s="590">
        <v>160</v>
      </c>
      <c r="P13" s="630">
        <v>9.0628617078634593E-2</v>
      </c>
      <c r="Q13" s="630">
        <v>9.5049021257270147E-2</v>
      </c>
      <c r="R13" s="630">
        <v>9.1259571451870553E-2</v>
      </c>
      <c r="S13" s="631">
        <v>99.193669838826096</v>
      </c>
    </row>
    <row r="14" spans="1:19">
      <c r="A14" s="592">
        <v>7.1</v>
      </c>
      <c r="B14" s="593" t="s">
        <v>768</v>
      </c>
      <c r="C14" s="629">
        <v>11324294.019999998</v>
      </c>
      <c r="D14" s="629">
        <v>7926700.7300000032</v>
      </c>
      <c r="E14" s="629">
        <v>1085509.3900000001</v>
      </c>
      <c r="F14" s="629">
        <v>2185980.2599999998</v>
      </c>
      <c r="G14" s="629">
        <v>0</v>
      </c>
      <c r="H14" s="629">
        <v>126103.64</v>
      </c>
      <c r="I14" s="629">
        <v>1047321.1485450005</v>
      </c>
      <c r="J14" s="629">
        <v>156872.49166899995</v>
      </c>
      <c r="K14" s="629">
        <v>108550.93866300001</v>
      </c>
      <c r="L14" s="629">
        <v>655794.07515800011</v>
      </c>
      <c r="M14" s="629">
        <v>0</v>
      </c>
      <c r="N14" s="629">
        <v>126103.64305499999</v>
      </c>
      <c r="O14" s="590">
        <v>106</v>
      </c>
      <c r="P14" s="630">
        <v>8.811727263312974E-2</v>
      </c>
      <c r="Q14" s="630">
        <v>9.2278329535966624E-2</v>
      </c>
      <c r="R14" s="630">
        <v>8.9025133444301047E-2</v>
      </c>
      <c r="S14" s="631">
        <v>100.10404604064102</v>
      </c>
    </row>
    <row r="15" spans="1:19">
      <c r="A15" s="592">
        <v>7.2</v>
      </c>
      <c r="B15" s="593" t="s">
        <v>769</v>
      </c>
      <c r="C15" s="629">
        <v>2453409.6800000002</v>
      </c>
      <c r="D15" s="629">
        <v>1920983.17</v>
      </c>
      <c r="E15" s="629">
        <v>233998.67</v>
      </c>
      <c r="F15" s="629">
        <v>298427.84000000003</v>
      </c>
      <c r="G15" s="629">
        <v>0</v>
      </c>
      <c r="H15" s="629">
        <v>0</v>
      </c>
      <c r="I15" s="629">
        <v>151347.88403799999</v>
      </c>
      <c r="J15" s="629">
        <v>38419.663321</v>
      </c>
      <c r="K15" s="629">
        <v>23399.866628</v>
      </c>
      <c r="L15" s="629">
        <v>89528.354089</v>
      </c>
      <c r="M15" s="629">
        <v>0</v>
      </c>
      <c r="N15" s="629">
        <v>0</v>
      </c>
      <c r="O15" s="590">
        <v>22</v>
      </c>
      <c r="P15" s="630">
        <v>0</v>
      </c>
      <c r="Q15" s="630">
        <v>0</v>
      </c>
      <c r="R15" s="630">
        <v>9.3247291781289474E-2</v>
      </c>
      <c r="S15" s="631">
        <v>104.47270171136316</v>
      </c>
    </row>
    <row r="16" spans="1:19">
      <c r="A16" s="592">
        <v>7.3</v>
      </c>
      <c r="B16" s="593" t="s">
        <v>770</v>
      </c>
      <c r="C16" s="629">
        <v>631910.93999999994</v>
      </c>
      <c r="D16" s="629">
        <v>603889.38</v>
      </c>
      <c r="E16" s="629">
        <v>28021.56</v>
      </c>
      <c r="F16" s="629">
        <v>0</v>
      </c>
      <c r="G16" s="629">
        <v>0</v>
      </c>
      <c r="H16" s="629">
        <v>0</v>
      </c>
      <c r="I16" s="629">
        <v>14879.943466000001</v>
      </c>
      <c r="J16" s="629">
        <v>12077.787466000002</v>
      </c>
      <c r="K16" s="629">
        <v>2802.1559999999999</v>
      </c>
      <c r="L16" s="629">
        <v>0</v>
      </c>
      <c r="M16" s="629">
        <v>0</v>
      </c>
      <c r="N16" s="629">
        <v>0</v>
      </c>
      <c r="O16" s="590">
        <v>32</v>
      </c>
      <c r="P16" s="630">
        <v>0.14499999999999999</v>
      </c>
      <c r="Q16" s="630">
        <v>0.1550353528039834</v>
      </c>
      <c r="R16" s="630">
        <v>0.12358491886530719</v>
      </c>
      <c r="S16" s="631">
        <v>62.383109674648381</v>
      </c>
    </row>
    <row r="17" spans="1:19">
      <c r="A17" s="588">
        <v>8</v>
      </c>
      <c r="B17" s="591" t="s">
        <v>771</v>
      </c>
      <c r="C17" s="629">
        <v>0</v>
      </c>
      <c r="D17" s="629">
        <v>0</v>
      </c>
      <c r="E17" s="629">
        <v>0</v>
      </c>
      <c r="F17" s="629">
        <v>0</v>
      </c>
      <c r="G17" s="629">
        <v>0</v>
      </c>
      <c r="H17" s="629">
        <v>0</v>
      </c>
      <c r="I17" s="629">
        <v>0</v>
      </c>
      <c r="J17" s="629">
        <v>0</v>
      </c>
      <c r="K17" s="629">
        <v>0</v>
      </c>
      <c r="L17" s="629">
        <v>0</v>
      </c>
      <c r="M17" s="629">
        <v>0</v>
      </c>
      <c r="N17" s="629">
        <v>0</v>
      </c>
      <c r="O17" s="590">
        <v>0</v>
      </c>
      <c r="P17" s="630">
        <v>0</v>
      </c>
      <c r="Q17" s="630">
        <v>0</v>
      </c>
      <c r="R17" s="630">
        <v>0</v>
      </c>
      <c r="S17" s="631">
        <v>0</v>
      </c>
    </row>
    <row r="18" spans="1:19">
      <c r="A18" s="594">
        <v>9</v>
      </c>
      <c r="B18" s="595" t="s">
        <v>772</v>
      </c>
      <c r="C18" s="632">
        <v>0</v>
      </c>
      <c r="D18" s="632">
        <v>0</v>
      </c>
      <c r="E18" s="632">
        <v>0</v>
      </c>
      <c r="F18" s="632">
        <v>0</v>
      </c>
      <c r="G18" s="632">
        <v>0</v>
      </c>
      <c r="H18" s="632">
        <v>0</v>
      </c>
      <c r="I18" s="632">
        <v>0</v>
      </c>
      <c r="J18" s="632">
        <v>0</v>
      </c>
      <c r="K18" s="632">
        <v>0</v>
      </c>
      <c r="L18" s="632">
        <v>0</v>
      </c>
      <c r="M18" s="632">
        <v>0</v>
      </c>
      <c r="N18" s="632">
        <v>0</v>
      </c>
      <c r="O18" s="596">
        <v>0</v>
      </c>
      <c r="P18" s="633">
        <v>0</v>
      </c>
      <c r="Q18" s="633">
        <v>0</v>
      </c>
      <c r="R18" s="633">
        <v>0</v>
      </c>
      <c r="S18" s="634">
        <v>0</v>
      </c>
    </row>
    <row r="19" spans="1:19">
      <c r="A19" s="588">
        <v>10</v>
      </c>
      <c r="B19" s="597" t="s">
        <v>773</v>
      </c>
      <c r="C19" s="635">
        <v>22143640.569899999</v>
      </c>
      <c r="D19" s="635">
        <v>15998619.394600004</v>
      </c>
      <c r="E19" s="635">
        <v>1586831.2300000002</v>
      </c>
      <c r="F19" s="635">
        <v>3878086.1253</v>
      </c>
      <c r="G19" s="635">
        <v>544571.47999999986</v>
      </c>
      <c r="H19" s="635">
        <v>135532.34</v>
      </c>
      <c r="I19" s="635">
        <v>2040457.4884030004</v>
      </c>
      <c r="J19" s="635">
        <v>310530.80348</v>
      </c>
      <c r="K19" s="635">
        <v>158683.122924</v>
      </c>
      <c r="L19" s="635">
        <v>1163425.8383010002</v>
      </c>
      <c r="M19" s="635">
        <v>272285.38064300001</v>
      </c>
      <c r="N19" s="635">
        <v>135532.343055</v>
      </c>
      <c r="O19" s="636">
        <v>1775</v>
      </c>
      <c r="P19" s="637">
        <v>0.10734738489733585</v>
      </c>
      <c r="Q19" s="637">
        <v>0.11344094165582347</v>
      </c>
      <c r="R19" s="637">
        <v>9.5059489008022177E-2</v>
      </c>
      <c r="S19" s="638">
        <v>81.684386960695761</v>
      </c>
    </row>
    <row r="20" spans="1:19" ht="25.5">
      <c r="A20" s="592">
        <v>10.1</v>
      </c>
      <c r="B20" s="593" t="s">
        <v>774</v>
      </c>
      <c r="C20" s="590"/>
      <c r="D20" s="590"/>
      <c r="E20" s="590"/>
      <c r="F20" s="590"/>
      <c r="G20" s="590"/>
      <c r="H20" s="590"/>
      <c r="I20" s="590"/>
      <c r="J20" s="590"/>
      <c r="K20" s="590"/>
      <c r="L20" s="590"/>
      <c r="M20" s="590"/>
      <c r="N20" s="590"/>
      <c r="O20" s="590"/>
      <c r="P20" s="590"/>
      <c r="Q20" s="590"/>
      <c r="R20" s="590"/>
      <c r="S20" s="590"/>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pane="topRight"/>
      <selection pane="bottomLeft"/>
      <selection pane="bottomRight" activeCell="H6" sqref="H6"/>
    </sheetView>
  </sheetViews>
  <sheetFormatPr defaultColWidth="9.28515625" defaultRowHeight="14.25"/>
  <cols>
    <col min="1" max="1" width="9.5703125" style="4" bestFit="1" customWidth="1"/>
    <col min="2" max="2" width="55.28515625" style="4" bestFit="1" customWidth="1"/>
    <col min="3" max="3" width="13" style="4" customWidth="1"/>
    <col min="4" max="4" width="13.28515625" style="4" customWidth="1"/>
    <col min="5" max="5" width="14.5703125" style="4" customWidth="1"/>
    <col min="6" max="6" width="12.7109375" style="4" customWidth="1"/>
    <col min="7" max="7" width="13.7109375" style="4" customWidth="1"/>
    <col min="8" max="8" width="14.5703125" style="4" customWidth="1"/>
    <col min="9" max="16384" width="9.28515625" style="5"/>
  </cols>
  <sheetData>
    <row r="1" spans="1:8">
      <c r="A1" s="2" t="s">
        <v>30</v>
      </c>
      <c r="B1" s="4" t="str">
        <f>'Info '!C2</f>
        <v>JSC CARTU BANK</v>
      </c>
    </row>
    <row r="2" spans="1:8">
      <c r="A2" s="2" t="s">
        <v>31</v>
      </c>
      <c r="B2" s="371">
        <f>'1. key ratios '!B2</f>
        <v>44742</v>
      </c>
    </row>
    <row r="3" spans="1:8">
      <c r="A3" s="2"/>
    </row>
    <row r="4" spans="1:8" ht="15" thickBot="1">
      <c r="A4" s="3" t="s">
        <v>32</v>
      </c>
      <c r="B4" s="13" t="s">
        <v>33</v>
      </c>
      <c r="C4" s="3"/>
      <c r="D4" s="14"/>
      <c r="E4" s="14"/>
      <c r="F4" s="15"/>
      <c r="G4" s="15"/>
      <c r="H4" s="16" t="s">
        <v>73</v>
      </c>
    </row>
    <row r="5" spans="1:8">
      <c r="A5" s="17"/>
      <c r="B5" s="18"/>
      <c r="C5" s="642" t="s">
        <v>68</v>
      </c>
      <c r="D5" s="643"/>
      <c r="E5" s="644"/>
      <c r="F5" s="642" t="s">
        <v>72</v>
      </c>
      <c r="G5" s="643"/>
      <c r="H5" s="645"/>
    </row>
    <row r="6" spans="1:8">
      <c r="A6" s="19" t="s">
        <v>6</v>
      </c>
      <c r="B6" s="20" t="s">
        <v>34</v>
      </c>
      <c r="C6" s="21" t="s">
        <v>69</v>
      </c>
      <c r="D6" s="21" t="s">
        <v>70</v>
      </c>
      <c r="E6" s="21" t="s">
        <v>71</v>
      </c>
      <c r="F6" s="21" t="s">
        <v>69</v>
      </c>
      <c r="G6" s="21" t="s">
        <v>70</v>
      </c>
      <c r="H6" s="22" t="s">
        <v>71</v>
      </c>
    </row>
    <row r="7" spans="1:8" ht="15.75">
      <c r="A7" s="19">
        <v>1</v>
      </c>
      <c r="B7" s="23" t="s">
        <v>35</v>
      </c>
      <c r="C7" s="481">
        <v>7940930</v>
      </c>
      <c r="D7" s="481">
        <v>13612049</v>
      </c>
      <c r="E7" s="482">
        <f>C7+D7</f>
        <v>21552979</v>
      </c>
      <c r="F7" s="483">
        <v>12796998</v>
      </c>
      <c r="G7" s="484">
        <v>21712358</v>
      </c>
      <c r="H7" s="485">
        <f>F7+G7</f>
        <v>34509356</v>
      </c>
    </row>
    <row r="8" spans="1:8" ht="15.75">
      <c r="A8" s="19">
        <v>2</v>
      </c>
      <c r="B8" s="23" t="s">
        <v>36</v>
      </c>
      <c r="C8" s="481">
        <v>1586611</v>
      </c>
      <c r="D8" s="481">
        <v>247527671</v>
      </c>
      <c r="E8" s="482">
        <f t="shared" ref="E8:E20" si="0">C8+D8</f>
        <v>249114282</v>
      </c>
      <c r="F8" s="483">
        <v>1768536</v>
      </c>
      <c r="G8" s="484">
        <v>203015987</v>
      </c>
      <c r="H8" s="485">
        <f t="shared" ref="H8:H40" si="1">F8+G8</f>
        <v>204784523</v>
      </c>
    </row>
    <row r="9" spans="1:8" ht="15.75">
      <c r="A9" s="19">
        <v>3</v>
      </c>
      <c r="B9" s="23" t="s">
        <v>37</v>
      </c>
      <c r="C9" s="481">
        <v>25082891</v>
      </c>
      <c r="D9" s="481">
        <v>322719665.99000001</v>
      </c>
      <c r="E9" s="482">
        <f t="shared" si="0"/>
        <v>347802556.99000001</v>
      </c>
      <c r="F9" s="483">
        <v>17153934</v>
      </c>
      <c r="G9" s="484">
        <v>101577804</v>
      </c>
      <c r="H9" s="485">
        <f t="shared" si="1"/>
        <v>118731738</v>
      </c>
    </row>
    <row r="10" spans="1:8" ht="15.75">
      <c r="A10" s="19">
        <v>4</v>
      </c>
      <c r="B10" s="23" t="s">
        <v>38</v>
      </c>
      <c r="C10" s="481">
        <v>0</v>
      </c>
      <c r="D10" s="481">
        <v>0</v>
      </c>
      <c r="E10" s="482">
        <f t="shared" si="0"/>
        <v>0</v>
      </c>
      <c r="F10" s="483">
        <v>0</v>
      </c>
      <c r="G10" s="484">
        <v>0</v>
      </c>
      <c r="H10" s="485">
        <f t="shared" si="1"/>
        <v>0</v>
      </c>
    </row>
    <row r="11" spans="1:8" ht="15.75">
      <c r="A11" s="19">
        <v>5</v>
      </c>
      <c r="B11" s="23" t="s">
        <v>39</v>
      </c>
      <c r="C11" s="481">
        <v>30814220</v>
      </c>
      <c r="D11" s="481">
        <v>0</v>
      </c>
      <c r="E11" s="482">
        <f t="shared" si="0"/>
        <v>30814220</v>
      </c>
      <c r="F11" s="483">
        <v>40425852</v>
      </c>
      <c r="G11" s="484">
        <v>15485470</v>
      </c>
      <c r="H11" s="485">
        <f t="shared" si="1"/>
        <v>55911322</v>
      </c>
    </row>
    <row r="12" spans="1:8" ht="15.75">
      <c r="A12" s="19">
        <v>6.1</v>
      </c>
      <c r="B12" s="24" t="s">
        <v>40</v>
      </c>
      <c r="C12" s="481">
        <v>323239016</v>
      </c>
      <c r="D12" s="481">
        <v>506956764</v>
      </c>
      <c r="E12" s="482">
        <f t="shared" si="0"/>
        <v>830195780</v>
      </c>
      <c r="F12" s="483">
        <v>338205737</v>
      </c>
      <c r="G12" s="484">
        <v>690102648</v>
      </c>
      <c r="H12" s="485">
        <f t="shared" si="1"/>
        <v>1028308385</v>
      </c>
    </row>
    <row r="13" spans="1:8" ht="15.75">
      <c r="A13" s="19">
        <v>6.2</v>
      </c>
      <c r="B13" s="24" t="s">
        <v>41</v>
      </c>
      <c r="C13" s="481">
        <v>-49364163</v>
      </c>
      <c r="D13" s="481">
        <v>-86642004</v>
      </c>
      <c r="E13" s="482">
        <f t="shared" si="0"/>
        <v>-136006167</v>
      </c>
      <c r="F13" s="483">
        <v>-61978965</v>
      </c>
      <c r="G13" s="484">
        <v>-110432169</v>
      </c>
      <c r="H13" s="485">
        <f t="shared" si="1"/>
        <v>-172411134</v>
      </c>
    </row>
    <row r="14" spans="1:8" ht="15.75">
      <c r="A14" s="19">
        <v>6</v>
      </c>
      <c r="B14" s="23" t="s">
        <v>42</v>
      </c>
      <c r="C14" s="482">
        <f>C12+C13</f>
        <v>273874853</v>
      </c>
      <c r="D14" s="482">
        <f>D12+D13</f>
        <v>420314760</v>
      </c>
      <c r="E14" s="482">
        <f t="shared" si="0"/>
        <v>694189613</v>
      </c>
      <c r="F14" s="482">
        <f>F12+F13</f>
        <v>276226772</v>
      </c>
      <c r="G14" s="482">
        <f>G12+G13</f>
        <v>579670479</v>
      </c>
      <c r="H14" s="485">
        <f t="shared" si="1"/>
        <v>855897251</v>
      </c>
    </row>
    <row r="15" spans="1:8" ht="15.75">
      <c r="A15" s="19">
        <v>7</v>
      </c>
      <c r="B15" s="23" t="s">
        <v>43</v>
      </c>
      <c r="C15" s="481">
        <v>20634914</v>
      </c>
      <c r="D15" s="481">
        <v>6249096</v>
      </c>
      <c r="E15" s="482">
        <f t="shared" si="0"/>
        <v>26884010</v>
      </c>
      <c r="F15" s="483">
        <v>9853495</v>
      </c>
      <c r="G15" s="484">
        <v>5783426</v>
      </c>
      <c r="H15" s="485">
        <f>F15+G15</f>
        <v>15636921</v>
      </c>
    </row>
    <row r="16" spans="1:8" ht="15.75">
      <c r="A16" s="19">
        <v>8</v>
      </c>
      <c r="B16" s="23" t="s">
        <v>199</v>
      </c>
      <c r="C16" s="481">
        <v>16316748</v>
      </c>
      <c r="D16" s="481" t="s">
        <v>776</v>
      </c>
      <c r="E16" s="482">
        <f>C16</f>
        <v>16316748</v>
      </c>
      <c r="F16" s="483">
        <v>2491622</v>
      </c>
      <c r="G16" s="484" t="s">
        <v>776</v>
      </c>
      <c r="H16" s="485">
        <f t="shared" ref="H16:H18" si="2">F16</f>
        <v>2491622</v>
      </c>
    </row>
    <row r="17" spans="1:8" ht="15.75">
      <c r="A17" s="19">
        <v>9</v>
      </c>
      <c r="B17" s="23" t="s">
        <v>44</v>
      </c>
      <c r="C17" s="481">
        <v>7793239</v>
      </c>
      <c r="D17" s="481">
        <v>0</v>
      </c>
      <c r="E17" s="482">
        <f t="shared" si="0"/>
        <v>7793239</v>
      </c>
      <c r="F17" s="483">
        <v>7793239</v>
      </c>
      <c r="G17" s="484">
        <v>0</v>
      </c>
      <c r="H17" s="485">
        <f t="shared" si="2"/>
        <v>7793239</v>
      </c>
    </row>
    <row r="18" spans="1:8" ht="15.75">
      <c r="A18" s="19">
        <v>10</v>
      </c>
      <c r="B18" s="23" t="s">
        <v>45</v>
      </c>
      <c r="C18" s="481">
        <v>19329360</v>
      </c>
      <c r="D18" s="481" t="s">
        <v>776</v>
      </c>
      <c r="E18" s="482">
        <f>C18</f>
        <v>19329360</v>
      </c>
      <c r="F18" s="483">
        <v>21323223</v>
      </c>
      <c r="G18" s="484" t="s">
        <v>776</v>
      </c>
      <c r="H18" s="485">
        <f t="shared" si="2"/>
        <v>21323223</v>
      </c>
    </row>
    <row r="19" spans="1:8" ht="15.75">
      <c r="A19" s="19">
        <v>11</v>
      </c>
      <c r="B19" s="23" t="s">
        <v>46</v>
      </c>
      <c r="C19" s="481">
        <v>27671579</v>
      </c>
      <c r="D19" s="481">
        <v>558750.01000000071</v>
      </c>
      <c r="E19" s="482">
        <f t="shared" si="0"/>
        <v>28230329.010000002</v>
      </c>
      <c r="F19" s="483">
        <v>22788058</v>
      </c>
      <c r="G19" s="484">
        <v>943266</v>
      </c>
      <c r="H19" s="485">
        <f>F19+G19</f>
        <v>23731324</v>
      </c>
    </row>
    <row r="20" spans="1:8" ht="15.75">
      <c r="A20" s="19">
        <v>12</v>
      </c>
      <c r="B20" s="26" t="s">
        <v>47</v>
      </c>
      <c r="C20" s="482">
        <f>SUM(C7:C11)+SUM(C14:C19)</f>
        <v>431045345</v>
      </c>
      <c r="D20" s="482">
        <f>SUM(D7:D11)+SUM(D14:D19)</f>
        <v>1010981992</v>
      </c>
      <c r="E20" s="482">
        <f t="shared" si="0"/>
        <v>1442027337</v>
      </c>
      <c r="F20" s="482">
        <f>SUM(F7:F11)+SUM(F14:F19)</f>
        <v>412621729</v>
      </c>
      <c r="G20" s="482">
        <f>SUM(G7:G11)+SUM(G14:G19)</f>
        <v>928188790</v>
      </c>
      <c r="H20" s="485">
        <f t="shared" si="1"/>
        <v>1340810519</v>
      </c>
    </row>
    <row r="21" spans="1:8" ht="15.75">
      <c r="A21" s="19"/>
      <c r="B21" s="20" t="s">
        <v>48</v>
      </c>
      <c r="C21" s="486" t="s">
        <v>715</v>
      </c>
      <c r="D21" s="486"/>
      <c r="E21" s="486"/>
      <c r="F21" s="487" t="s">
        <v>715</v>
      </c>
      <c r="G21" s="488"/>
      <c r="H21" s="489"/>
    </row>
    <row r="22" spans="1:8" ht="15.75">
      <c r="A22" s="19">
        <v>13</v>
      </c>
      <c r="B22" s="23" t="s">
        <v>49</v>
      </c>
      <c r="C22" s="481">
        <v>51749</v>
      </c>
      <c r="D22" s="481">
        <v>97646</v>
      </c>
      <c r="E22" s="482">
        <f>C22+D22</f>
        <v>149395</v>
      </c>
      <c r="F22" s="483">
        <v>51961</v>
      </c>
      <c r="G22" s="484">
        <v>113783</v>
      </c>
      <c r="H22" s="485">
        <f t="shared" si="1"/>
        <v>165744</v>
      </c>
    </row>
    <row r="23" spans="1:8" ht="15.75">
      <c r="A23" s="19">
        <v>14</v>
      </c>
      <c r="B23" s="23" t="s">
        <v>50</v>
      </c>
      <c r="C23" s="481">
        <v>41028950</v>
      </c>
      <c r="D23" s="481">
        <v>480625824</v>
      </c>
      <c r="E23" s="482">
        <f t="shared" ref="E23:E30" si="3">C23+D23</f>
        <v>521654774</v>
      </c>
      <c r="F23" s="483">
        <v>50859339</v>
      </c>
      <c r="G23" s="484">
        <v>308777826</v>
      </c>
      <c r="H23" s="485">
        <f t="shared" si="1"/>
        <v>359637165</v>
      </c>
    </row>
    <row r="24" spans="1:8" ht="15.75">
      <c r="A24" s="19">
        <v>15</v>
      </c>
      <c r="B24" s="23" t="s">
        <v>51</v>
      </c>
      <c r="C24" s="481">
        <v>16827299</v>
      </c>
      <c r="D24" s="481">
        <v>42592914</v>
      </c>
      <c r="E24" s="482">
        <f t="shared" si="3"/>
        <v>59420213</v>
      </c>
      <c r="F24" s="483">
        <v>21265559</v>
      </c>
      <c r="G24" s="484">
        <v>25170406</v>
      </c>
      <c r="H24" s="485">
        <f t="shared" si="1"/>
        <v>46435965</v>
      </c>
    </row>
    <row r="25" spans="1:8" ht="15.75">
      <c r="A25" s="19">
        <v>16</v>
      </c>
      <c r="B25" s="23" t="s">
        <v>52</v>
      </c>
      <c r="C25" s="481">
        <v>113460294</v>
      </c>
      <c r="D25" s="481">
        <v>338664798</v>
      </c>
      <c r="E25" s="482">
        <f t="shared" si="3"/>
        <v>452125092</v>
      </c>
      <c r="F25" s="483">
        <v>75544890</v>
      </c>
      <c r="G25" s="484">
        <v>482567582</v>
      </c>
      <c r="H25" s="485">
        <f t="shared" si="1"/>
        <v>558112472</v>
      </c>
    </row>
    <row r="26" spans="1:8" ht="15.75">
      <c r="A26" s="19">
        <v>17</v>
      </c>
      <c r="B26" s="23" t="s">
        <v>53</v>
      </c>
      <c r="C26" s="486"/>
      <c r="D26" s="486"/>
      <c r="E26" s="482">
        <f t="shared" si="3"/>
        <v>0</v>
      </c>
      <c r="F26" s="487">
        <v>0</v>
      </c>
      <c r="G26" s="488">
        <v>0</v>
      </c>
      <c r="H26" s="485">
        <f t="shared" si="1"/>
        <v>0</v>
      </c>
    </row>
    <row r="27" spans="1:8" ht="15.75">
      <c r="A27" s="19">
        <v>18</v>
      </c>
      <c r="B27" s="23" t="s">
        <v>54</v>
      </c>
      <c r="C27" s="481">
        <v>0</v>
      </c>
      <c r="D27" s="481">
        <v>0</v>
      </c>
      <c r="E27" s="482">
        <f t="shared" si="3"/>
        <v>0</v>
      </c>
      <c r="F27" s="483">
        <v>0</v>
      </c>
      <c r="G27" s="484">
        <v>0</v>
      </c>
      <c r="H27" s="485">
        <f t="shared" si="1"/>
        <v>0</v>
      </c>
    </row>
    <row r="28" spans="1:8" ht="15.75">
      <c r="A28" s="19">
        <v>19</v>
      </c>
      <c r="B28" s="23" t="s">
        <v>55</v>
      </c>
      <c r="C28" s="481">
        <v>8436366</v>
      </c>
      <c r="D28" s="481">
        <v>6978470</v>
      </c>
      <c r="E28" s="482">
        <f t="shared" si="3"/>
        <v>15414836</v>
      </c>
      <c r="F28" s="483">
        <v>4834802</v>
      </c>
      <c r="G28" s="484">
        <v>12737703</v>
      </c>
      <c r="H28" s="485">
        <f t="shared" si="1"/>
        <v>17572505</v>
      </c>
    </row>
    <row r="29" spans="1:8" ht="15.75">
      <c r="A29" s="19">
        <v>20</v>
      </c>
      <c r="B29" s="23" t="s">
        <v>56</v>
      </c>
      <c r="C29" s="481">
        <v>9024916</v>
      </c>
      <c r="D29" s="481">
        <v>62439310</v>
      </c>
      <c r="E29" s="482">
        <f t="shared" si="3"/>
        <v>71464226</v>
      </c>
      <c r="F29" s="483">
        <v>10635718</v>
      </c>
      <c r="G29" s="484">
        <v>2567318</v>
      </c>
      <c r="H29" s="485">
        <f t="shared" si="1"/>
        <v>13203036</v>
      </c>
    </row>
    <row r="30" spans="1:8" ht="15.75">
      <c r="A30" s="19">
        <v>21</v>
      </c>
      <c r="B30" s="23" t="s">
        <v>57</v>
      </c>
      <c r="C30" s="481">
        <v>0</v>
      </c>
      <c r="D30" s="481">
        <v>114227100</v>
      </c>
      <c r="E30" s="482">
        <f t="shared" si="3"/>
        <v>114227100</v>
      </c>
      <c r="F30" s="483">
        <v>0</v>
      </c>
      <c r="G30" s="484">
        <v>170656200</v>
      </c>
      <c r="H30" s="485">
        <f t="shared" si="1"/>
        <v>170656200</v>
      </c>
    </row>
    <row r="31" spans="1:8" ht="15.75">
      <c r="A31" s="19">
        <v>22</v>
      </c>
      <c r="B31" s="26" t="s">
        <v>58</v>
      </c>
      <c r="C31" s="482">
        <f>SUM(C22:C30)</f>
        <v>188829574</v>
      </c>
      <c r="D31" s="482">
        <f>SUM(D22:D30)</f>
        <v>1045626062</v>
      </c>
      <c r="E31" s="482">
        <f>C31+D31</f>
        <v>1234455636</v>
      </c>
      <c r="F31" s="482">
        <f>SUM(F22:F30)</f>
        <v>163192269</v>
      </c>
      <c r="G31" s="482">
        <f>SUM(G22:G30)</f>
        <v>1002590818</v>
      </c>
      <c r="H31" s="485">
        <f t="shared" si="1"/>
        <v>1165783087</v>
      </c>
    </row>
    <row r="32" spans="1:8" ht="15.75">
      <c r="A32" s="19"/>
      <c r="B32" s="20" t="s">
        <v>59</v>
      </c>
      <c r="C32" s="486"/>
      <c r="D32" s="486"/>
      <c r="E32" s="481"/>
      <c r="F32" s="487"/>
      <c r="G32" s="488"/>
      <c r="H32" s="489"/>
    </row>
    <row r="33" spans="1:8" ht="15.75">
      <c r="A33" s="19">
        <v>23</v>
      </c>
      <c r="B33" s="23" t="s">
        <v>60</v>
      </c>
      <c r="C33" s="481">
        <v>114430000</v>
      </c>
      <c r="D33" s="486"/>
      <c r="E33" s="482">
        <f>C33</f>
        <v>114430000</v>
      </c>
      <c r="F33" s="483">
        <v>114430000</v>
      </c>
      <c r="G33" s="488"/>
      <c r="H33" s="485">
        <f t="shared" si="1"/>
        <v>114430000</v>
      </c>
    </row>
    <row r="34" spans="1:8" ht="15.75">
      <c r="A34" s="19">
        <v>24</v>
      </c>
      <c r="B34" s="23" t="s">
        <v>61</v>
      </c>
      <c r="C34" s="481">
        <v>0</v>
      </c>
      <c r="D34" s="486"/>
      <c r="E34" s="482">
        <f t="shared" ref="E34:E40" si="4">C34</f>
        <v>0</v>
      </c>
      <c r="F34" s="483">
        <v>0</v>
      </c>
      <c r="G34" s="488"/>
      <c r="H34" s="485">
        <f t="shared" si="1"/>
        <v>0</v>
      </c>
    </row>
    <row r="35" spans="1:8" ht="15.75">
      <c r="A35" s="19">
        <v>25</v>
      </c>
      <c r="B35" s="25" t="s">
        <v>62</v>
      </c>
      <c r="C35" s="481">
        <v>0</v>
      </c>
      <c r="D35" s="486"/>
      <c r="E35" s="482">
        <f t="shared" si="4"/>
        <v>0</v>
      </c>
      <c r="F35" s="483">
        <v>0</v>
      </c>
      <c r="G35" s="488"/>
      <c r="H35" s="485">
        <f t="shared" si="1"/>
        <v>0</v>
      </c>
    </row>
    <row r="36" spans="1:8" ht="15.75">
      <c r="A36" s="19">
        <v>26</v>
      </c>
      <c r="B36" s="23" t="s">
        <v>63</v>
      </c>
      <c r="C36" s="481">
        <v>0</v>
      </c>
      <c r="D36" s="486"/>
      <c r="E36" s="482">
        <f t="shared" si="4"/>
        <v>0</v>
      </c>
      <c r="F36" s="483">
        <v>0</v>
      </c>
      <c r="G36" s="488"/>
      <c r="H36" s="485">
        <f t="shared" si="1"/>
        <v>0</v>
      </c>
    </row>
    <row r="37" spans="1:8" ht="15.75">
      <c r="A37" s="19">
        <v>27</v>
      </c>
      <c r="B37" s="23" t="s">
        <v>64</v>
      </c>
      <c r="C37" s="481">
        <v>7438034</v>
      </c>
      <c r="D37" s="486"/>
      <c r="E37" s="482">
        <f t="shared" si="4"/>
        <v>7438034</v>
      </c>
      <c r="F37" s="483">
        <v>7438034</v>
      </c>
      <c r="G37" s="488"/>
      <c r="H37" s="485">
        <f t="shared" si="1"/>
        <v>7438034</v>
      </c>
    </row>
    <row r="38" spans="1:8" ht="15.75">
      <c r="A38" s="19">
        <v>28</v>
      </c>
      <c r="B38" s="23" t="s">
        <v>65</v>
      </c>
      <c r="C38" s="481">
        <v>85882447</v>
      </c>
      <c r="D38" s="486"/>
      <c r="E38" s="482">
        <f t="shared" si="4"/>
        <v>85882447</v>
      </c>
      <c r="F38" s="483">
        <v>53391396</v>
      </c>
      <c r="G38" s="488"/>
      <c r="H38" s="485">
        <f t="shared" si="1"/>
        <v>53391396</v>
      </c>
    </row>
    <row r="39" spans="1:8" ht="15.75">
      <c r="A39" s="19">
        <v>29</v>
      </c>
      <c r="B39" s="23" t="s">
        <v>66</v>
      </c>
      <c r="C39" s="481">
        <v>-178780</v>
      </c>
      <c r="D39" s="486"/>
      <c r="E39" s="482">
        <f t="shared" si="4"/>
        <v>-178780</v>
      </c>
      <c r="F39" s="483">
        <v>-231998</v>
      </c>
      <c r="G39" s="488"/>
      <c r="H39" s="485">
        <f t="shared" si="1"/>
        <v>-231998</v>
      </c>
    </row>
    <row r="40" spans="1:8" ht="15.75">
      <c r="A40" s="19">
        <v>30</v>
      </c>
      <c r="B40" s="244" t="s">
        <v>266</v>
      </c>
      <c r="C40" s="481">
        <v>207571701</v>
      </c>
      <c r="D40" s="486"/>
      <c r="E40" s="482">
        <f t="shared" si="4"/>
        <v>207571701</v>
      </c>
      <c r="F40" s="483">
        <f>SUM(F33:F39)</f>
        <v>175027432</v>
      </c>
      <c r="G40" s="488"/>
      <c r="H40" s="485">
        <f t="shared" si="1"/>
        <v>175027432</v>
      </c>
    </row>
    <row r="41" spans="1:8" ht="15" thickBot="1">
      <c r="A41" s="27">
        <v>31</v>
      </c>
      <c r="B41" s="28" t="s">
        <v>67</v>
      </c>
      <c r="C41" s="29">
        <f>C31+C40</f>
        <v>396401275</v>
      </c>
      <c r="D41" s="29">
        <f>D31+D40</f>
        <v>1045626062</v>
      </c>
      <c r="E41" s="29">
        <f>C41+D41</f>
        <v>1442027337</v>
      </c>
      <c r="F41" s="29">
        <f>F31+F40</f>
        <v>338219701</v>
      </c>
      <c r="G41" s="29">
        <f>G31+G40</f>
        <v>1002590818</v>
      </c>
      <c r="H41" s="490">
        <f>F41+G41</f>
        <v>1340810519</v>
      </c>
    </row>
    <row r="43" spans="1:8">
      <c r="B43" s="30"/>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pane="topRight"/>
      <selection pane="bottomLeft"/>
      <selection pane="bottomRight"/>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CARTU BANK</v>
      </c>
      <c r="C1" s="3"/>
    </row>
    <row r="2" spans="1:8">
      <c r="A2" s="2" t="s">
        <v>31</v>
      </c>
      <c r="B2" s="370">
        <f>'1. key ratios '!B2</f>
        <v>44742</v>
      </c>
      <c r="C2" s="370"/>
    </row>
    <row r="3" spans="1:8">
      <c r="A3" s="2"/>
      <c r="B3" s="3"/>
      <c r="C3" s="3"/>
    </row>
    <row r="4" spans="1:8" ht="13.5" thickBot="1">
      <c r="A4" s="3" t="s">
        <v>195</v>
      </c>
      <c r="B4" s="203" t="s">
        <v>22</v>
      </c>
      <c r="C4" s="3"/>
      <c r="D4" s="14"/>
      <c r="E4" s="14"/>
      <c r="F4" s="15"/>
      <c r="G4" s="15"/>
      <c r="H4" s="32" t="s">
        <v>73</v>
      </c>
    </row>
    <row r="5" spans="1:8">
      <c r="A5" s="33" t="s">
        <v>6</v>
      </c>
      <c r="B5" s="34"/>
      <c r="C5" s="642" t="s">
        <v>68</v>
      </c>
      <c r="D5" s="643"/>
      <c r="E5" s="644"/>
      <c r="F5" s="642" t="s">
        <v>72</v>
      </c>
      <c r="G5" s="643"/>
      <c r="H5" s="645"/>
    </row>
    <row r="6" spans="1:8">
      <c r="A6" s="35" t="s">
        <v>6</v>
      </c>
      <c r="B6" s="36"/>
      <c r="C6" s="21" t="s">
        <v>69</v>
      </c>
      <c r="D6" s="21" t="s">
        <v>70</v>
      </c>
      <c r="E6" s="21" t="s">
        <v>71</v>
      </c>
      <c r="F6" s="21" t="s">
        <v>69</v>
      </c>
      <c r="G6" s="21" t="s">
        <v>70</v>
      </c>
      <c r="H6" s="22" t="s">
        <v>71</v>
      </c>
    </row>
    <row r="7" spans="1:8">
      <c r="A7" s="19"/>
      <c r="B7" s="203" t="s">
        <v>194</v>
      </c>
      <c r="C7" s="37"/>
      <c r="D7" s="37"/>
      <c r="E7" s="37"/>
      <c r="F7" s="37"/>
      <c r="G7" s="37"/>
      <c r="H7" s="38"/>
    </row>
    <row r="8" spans="1:8" ht="15">
      <c r="A8" s="19">
        <v>1</v>
      </c>
      <c r="B8" s="39" t="s">
        <v>193</v>
      </c>
      <c r="C8" s="600">
        <v>775810</v>
      </c>
      <c r="D8" s="600">
        <v>154049</v>
      </c>
      <c r="E8" s="601">
        <f>C8+D8</f>
        <v>929859</v>
      </c>
      <c r="F8" s="600">
        <v>796372</v>
      </c>
      <c r="G8" s="600">
        <v>-301323</v>
      </c>
      <c r="H8" s="602">
        <f>F8+G8</f>
        <v>495049</v>
      </c>
    </row>
    <row r="9" spans="1:8" ht="15">
      <c r="A9" s="19">
        <v>2</v>
      </c>
      <c r="B9" s="39" t="s">
        <v>192</v>
      </c>
      <c r="C9" s="603">
        <f>SUM(C10:C18)</f>
        <v>16524267</v>
      </c>
      <c r="D9" s="603">
        <f>SUM(D10:D18)</f>
        <v>18764214</v>
      </c>
      <c r="E9" s="601">
        <f t="shared" ref="E9:E67" si="0">C9+D9</f>
        <v>35288481</v>
      </c>
      <c r="F9" s="603">
        <f>SUM(F10:F18)</f>
        <v>13747925</v>
      </c>
      <c r="G9" s="603">
        <f>SUM(G10:G18)</f>
        <v>22364818</v>
      </c>
      <c r="H9" s="602">
        <f t="shared" ref="H9:H67" si="1">F9+G9</f>
        <v>36112743</v>
      </c>
    </row>
    <row r="10" spans="1:8" ht="15">
      <c r="A10" s="19">
        <v>2.1</v>
      </c>
      <c r="B10" s="40" t="s">
        <v>191</v>
      </c>
      <c r="C10" s="600">
        <v>0</v>
      </c>
      <c r="D10" s="600">
        <v>0</v>
      </c>
      <c r="E10" s="601">
        <f t="shared" si="0"/>
        <v>0</v>
      </c>
      <c r="F10" s="600">
        <v>0</v>
      </c>
      <c r="G10" s="600">
        <v>0</v>
      </c>
      <c r="H10" s="602">
        <f t="shared" si="1"/>
        <v>0</v>
      </c>
    </row>
    <row r="11" spans="1:8" ht="15">
      <c r="A11" s="19">
        <v>2.2000000000000002</v>
      </c>
      <c r="B11" s="40" t="s">
        <v>190</v>
      </c>
      <c r="C11" s="600">
        <v>6431244.8499999996</v>
      </c>
      <c r="D11" s="600">
        <v>6277640.9700000007</v>
      </c>
      <c r="E11" s="601">
        <f t="shared" si="0"/>
        <v>12708885.82</v>
      </c>
      <c r="F11" s="600">
        <v>6406723.1099999994</v>
      </c>
      <c r="G11" s="600">
        <v>6742645.3200000003</v>
      </c>
      <c r="H11" s="602">
        <f t="shared" si="1"/>
        <v>13149368.43</v>
      </c>
    </row>
    <row r="12" spans="1:8" ht="15">
      <c r="A12" s="19">
        <v>2.2999999999999998</v>
      </c>
      <c r="B12" s="40" t="s">
        <v>189</v>
      </c>
      <c r="C12" s="600">
        <v>0</v>
      </c>
      <c r="D12" s="600">
        <v>7646.67</v>
      </c>
      <c r="E12" s="601">
        <f t="shared" si="0"/>
        <v>7646.67</v>
      </c>
      <c r="F12" s="600">
        <v>0</v>
      </c>
      <c r="G12" s="600">
        <v>9650.81</v>
      </c>
      <c r="H12" s="602">
        <f t="shared" si="1"/>
        <v>9650.81</v>
      </c>
    </row>
    <row r="13" spans="1:8" ht="15">
      <c r="A13" s="19">
        <v>2.4</v>
      </c>
      <c r="B13" s="40" t="s">
        <v>188</v>
      </c>
      <c r="C13" s="600">
        <v>299774.16999999993</v>
      </c>
      <c r="D13" s="600">
        <v>559736.25</v>
      </c>
      <c r="E13" s="601">
        <f t="shared" si="0"/>
        <v>859510.41999999993</v>
      </c>
      <c r="F13" s="600">
        <v>852076.86</v>
      </c>
      <c r="G13" s="600">
        <v>2422879.9300000002</v>
      </c>
      <c r="H13" s="602">
        <f t="shared" si="1"/>
        <v>3274956.79</v>
      </c>
    </row>
    <row r="14" spans="1:8" ht="15">
      <c r="A14" s="19">
        <v>2.5</v>
      </c>
      <c r="B14" s="40" t="s">
        <v>187</v>
      </c>
      <c r="C14" s="600">
        <v>1788846.52</v>
      </c>
      <c r="D14" s="600">
        <v>3496988.6899999995</v>
      </c>
      <c r="E14" s="601">
        <f t="shared" si="0"/>
        <v>5285835.209999999</v>
      </c>
      <c r="F14" s="600">
        <v>1581886.36</v>
      </c>
      <c r="G14" s="600">
        <v>2776687.18</v>
      </c>
      <c r="H14" s="602">
        <f t="shared" si="1"/>
        <v>4358573.54</v>
      </c>
    </row>
    <row r="15" spans="1:8" ht="15">
      <c r="A15" s="19">
        <v>2.6</v>
      </c>
      <c r="B15" s="40" t="s">
        <v>186</v>
      </c>
      <c r="C15" s="600">
        <v>5805963.1399999997</v>
      </c>
      <c r="D15" s="600">
        <v>2174834.89</v>
      </c>
      <c r="E15" s="601">
        <f t="shared" si="0"/>
        <v>7980798.0299999993</v>
      </c>
      <c r="F15" s="600">
        <v>3151791.66</v>
      </c>
      <c r="G15" s="600">
        <v>1768701.32</v>
      </c>
      <c r="H15" s="602">
        <f t="shared" si="1"/>
        <v>4920492.9800000004</v>
      </c>
    </row>
    <row r="16" spans="1:8" ht="15">
      <c r="A16" s="19">
        <v>2.7</v>
      </c>
      <c r="B16" s="40" t="s">
        <v>185</v>
      </c>
      <c r="C16" s="600">
        <v>1512.04</v>
      </c>
      <c r="D16" s="600">
        <v>93769.659999999989</v>
      </c>
      <c r="E16" s="601">
        <f t="shared" si="0"/>
        <v>95281.699999999983</v>
      </c>
      <c r="F16" s="600">
        <v>3032.05</v>
      </c>
      <c r="G16" s="600">
        <v>94217.36</v>
      </c>
      <c r="H16" s="602">
        <f t="shared" si="1"/>
        <v>97249.41</v>
      </c>
    </row>
    <row r="17" spans="1:8" ht="15">
      <c r="A17" s="19">
        <v>2.8</v>
      </c>
      <c r="B17" s="40" t="s">
        <v>184</v>
      </c>
      <c r="C17" s="600">
        <v>963323</v>
      </c>
      <c r="D17" s="600">
        <v>1686703</v>
      </c>
      <c r="E17" s="601">
        <f t="shared" si="0"/>
        <v>2650026</v>
      </c>
      <c r="F17" s="600">
        <v>739753</v>
      </c>
      <c r="G17" s="600">
        <v>1429271</v>
      </c>
      <c r="H17" s="602">
        <f t="shared" si="1"/>
        <v>2169024</v>
      </c>
    </row>
    <row r="18" spans="1:8" ht="15">
      <c r="A18" s="19">
        <v>2.9</v>
      </c>
      <c r="B18" s="40" t="s">
        <v>183</v>
      </c>
      <c r="C18" s="600">
        <v>1233603.2800000012</v>
      </c>
      <c r="D18" s="600">
        <v>4466893.8699999992</v>
      </c>
      <c r="E18" s="601">
        <f t="shared" si="0"/>
        <v>5700497.1500000004</v>
      </c>
      <c r="F18" s="600">
        <v>1012661.959999999</v>
      </c>
      <c r="G18" s="600">
        <v>7120765.0800000001</v>
      </c>
      <c r="H18" s="602">
        <f t="shared" si="1"/>
        <v>8133427.0399999991</v>
      </c>
    </row>
    <row r="19" spans="1:8" ht="15">
      <c r="A19" s="19">
        <v>3</v>
      </c>
      <c r="B19" s="39" t="s">
        <v>182</v>
      </c>
      <c r="C19" s="600">
        <v>68431</v>
      </c>
      <c r="D19" s="600">
        <v>589654</v>
      </c>
      <c r="E19" s="601">
        <f t="shared" si="0"/>
        <v>658085</v>
      </c>
      <c r="F19" s="600">
        <v>460200</v>
      </c>
      <c r="G19" s="600">
        <v>1989445</v>
      </c>
      <c r="H19" s="602">
        <f t="shared" si="1"/>
        <v>2449645</v>
      </c>
    </row>
    <row r="20" spans="1:8" ht="15">
      <c r="A20" s="19">
        <v>4</v>
      </c>
      <c r="B20" s="39" t="s">
        <v>181</v>
      </c>
      <c r="C20" s="600">
        <v>216292</v>
      </c>
      <c r="D20" s="600">
        <v>136526</v>
      </c>
      <c r="E20" s="601">
        <f t="shared" si="0"/>
        <v>352818</v>
      </c>
      <c r="F20" s="600">
        <v>133947</v>
      </c>
      <c r="G20" s="600">
        <v>0</v>
      </c>
      <c r="H20" s="602">
        <f t="shared" si="1"/>
        <v>133947</v>
      </c>
    </row>
    <row r="21" spans="1:8" ht="15">
      <c r="A21" s="19">
        <v>5</v>
      </c>
      <c r="B21" s="39" t="s">
        <v>180</v>
      </c>
      <c r="C21" s="600">
        <v>0</v>
      </c>
      <c r="D21" s="600">
        <v>8804</v>
      </c>
      <c r="E21" s="601">
        <f t="shared" si="0"/>
        <v>8804</v>
      </c>
      <c r="F21" s="600">
        <v>0</v>
      </c>
      <c r="G21" s="600">
        <v>1057</v>
      </c>
      <c r="H21" s="602">
        <f>F21+G21</f>
        <v>1057</v>
      </c>
    </row>
    <row r="22" spans="1:8" ht="15">
      <c r="A22" s="19">
        <v>6</v>
      </c>
      <c r="B22" s="41" t="s">
        <v>179</v>
      </c>
      <c r="C22" s="603">
        <f>C8+C9+C19+C20+C21</f>
        <v>17584800</v>
      </c>
      <c r="D22" s="603">
        <f>D8+D9+D19+D20+D21</f>
        <v>19653247</v>
      </c>
      <c r="E22" s="601">
        <f>C22+D22</f>
        <v>37238047</v>
      </c>
      <c r="F22" s="603">
        <f>F8+F9+F19+F20+F21</f>
        <v>15138444</v>
      </c>
      <c r="G22" s="603">
        <f>G8+G9+G19+G20+G21</f>
        <v>24053997</v>
      </c>
      <c r="H22" s="602">
        <f>F22+G22</f>
        <v>39192441</v>
      </c>
    </row>
    <row r="23" spans="1:8" ht="15">
      <c r="A23" s="19"/>
      <c r="B23" s="203" t="s">
        <v>178</v>
      </c>
      <c r="C23" s="600"/>
      <c r="D23" s="600"/>
      <c r="E23" s="604"/>
      <c r="F23" s="600"/>
      <c r="G23" s="600"/>
      <c r="H23" s="605"/>
    </row>
    <row r="24" spans="1:8" ht="15">
      <c r="A24" s="19">
        <v>7</v>
      </c>
      <c r="B24" s="39" t="s">
        <v>177</v>
      </c>
      <c r="C24" s="600">
        <v>526950</v>
      </c>
      <c r="D24" s="600">
        <v>47265</v>
      </c>
      <c r="E24" s="601">
        <f t="shared" si="0"/>
        <v>574215</v>
      </c>
      <c r="F24" s="600">
        <v>480979</v>
      </c>
      <c r="G24" s="600">
        <v>-265438</v>
      </c>
      <c r="H24" s="602">
        <f t="shared" si="1"/>
        <v>215541</v>
      </c>
    </row>
    <row r="25" spans="1:8" ht="15">
      <c r="A25" s="19">
        <v>8</v>
      </c>
      <c r="B25" s="39" t="s">
        <v>176</v>
      </c>
      <c r="C25" s="600">
        <v>4673919</v>
      </c>
      <c r="D25" s="600">
        <v>6435878</v>
      </c>
      <c r="E25" s="601">
        <f t="shared" si="0"/>
        <v>11109797</v>
      </c>
      <c r="F25" s="600">
        <v>3846089</v>
      </c>
      <c r="G25" s="600">
        <v>9220832</v>
      </c>
      <c r="H25" s="602">
        <f t="shared" si="1"/>
        <v>13066921</v>
      </c>
    </row>
    <row r="26" spans="1:8" ht="15">
      <c r="A26" s="19">
        <v>9</v>
      </c>
      <c r="B26" s="39" t="s">
        <v>175</v>
      </c>
      <c r="C26" s="600">
        <v>39651</v>
      </c>
      <c r="D26" s="600">
        <v>236</v>
      </c>
      <c r="E26" s="601">
        <f t="shared" si="0"/>
        <v>39887</v>
      </c>
      <c r="F26" s="600">
        <v>124</v>
      </c>
      <c r="G26" s="600">
        <v>264</v>
      </c>
      <c r="H26" s="602">
        <f t="shared" si="1"/>
        <v>388</v>
      </c>
    </row>
    <row r="27" spans="1:8" ht="15">
      <c r="A27" s="19">
        <v>10</v>
      </c>
      <c r="B27" s="39" t="s">
        <v>174</v>
      </c>
      <c r="C27" s="600">
        <v>0</v>
      </c>
      <c r="D27" s="600">
        <v>0</v>
      </c>
      <c r="E27" s="601">
        <f t="shared" si="0"/>
        <v>0</v>
      </c>
      <c r="F27" s="600">
        <v>0</v>
      </c>
      <c r="G27" s="600">
        <v>0</v>
      </c>
      <c r="H27" s="602">
        <f t="shared" si="1"/>
        <v>0</v>
      </c>
    </row>
    <row r="28" spans="1:8" ht="15">
      <c r="A28" s="19">
        <v>11</v>
      </c>
      <c r="B28" s="39" t="s">
        <v>173</v>
      </c>
      <c r="C28" s="600">
        <v>0</v>
      </c>
      <c r="D28" s="600">
        <v>3249377</v>
      </c>
      <c r="E28" s="601">
        <f t="shared" si="0"/>
        <v>3249377</v>
      </c>
      <c r="F28" s="600">
        <v>0</v>
      </c>
      <c r="G28" s="600">
        <v>5525962</v>
      </c>
      <c r="H28" s="602">
        <f t="shared" si="1"/>
        <v>5525962</v>
      </c>
    </row>
    <row r="29" spans="1:8" ht="15">
      <c r="A29" s="19">
        <v>12</v>
      </c>
      <c r="B29" s="39" t="s">
        <v>172</v>
      </c>
      <c r="C29" s="600"/>
      <c r="D29" s="600"/>
      <c r="E29" s="601">
        <f t="shared" si="0"/>
        <v>0</v>
      </c>
      <c r="F29" s="600"/>
      <c r="G29" s="600"/>
      <c r="H29" s="602">
        <f t="shared" si="1"/>
        <v>0</v>
      </c>
    </row>
    <row r="30" spans="1:8" ht="15">
      <c r="A30" s="19">
        <v>13</v>
      </c>
      <c r="B30" s="42" t="s">
        <v>171</v>
      </c>
      <c r="C30" s="603">
        <f>SUM(C24:C29)</f>
        <v>5240520</v>
      </c>
      <c r="D30" s="603">
        <f>SUM(D24:D29)</f>
        <v>9732756</v>
      </c>
      <c r="E30" s="601">
        <f t="shared" si="0"/>
        <v>14973276</v>
      </c>
      <c r="F30" s="603">
        <f>SUM(F24:F29)</f>
        <v>4327192</v>
      </c>
      <c r="G30" s="603">
        <f>SUM(G24:G29)</f>
        <v>14481620</v>
      </c>
      <c r="H30" s="602">
        <f t="shared" si="1"/>
        <v>18808812</v>
      </c>
    </row>
    <row r="31" spans="1:8" ht="15">
      <c r="A31" s="19">
        <v>14</v>
      </c>
      <c r="B31" s="42" t="s">
        <v>170</v>
      </c>
      <c r="C31" s="603">
        <f>C22-C30</f>
        <v>12344280</v>
      </c>
      <c r="D31" s="603">
        <f>D22-D30</f>
        <v>9920491</v>
      </c>
      <c r="E31" s="601">
        <f t="shared" si="0"/>
        <v>22264771</v>
      </c>
      <c r="F31" s="603">
        <f>F22-F30</f>
        <v>10811252</v>
      </c>
      <c r="G31" s="603">
        <f>G22-G30</f>
        <v>9572377</v>
      </c>
      <c r="H31" s="602">
        <f t="shared" si="1"/>
        <v>20383629</v>
      </c>
    </row>
    <row r="32" spans="1:8">
      <c r="A32" s="19"/>
      <c r="B32" s="43"/>
      <c r="C32" s="606"/>
      <c r="D32" s="606"/>
      <c r="E32" s="606"/>
      <c r="F32" s="606"/>
      <c r="G32" s="606"/>
      <c r="H32" s="607"/>
    </row>
    <row r="33" spans="1:8" ht="15">
      <c r="A33" s="19"/>
      <c r="B33" s="43" t="s">
        <v>169</v>
      </c>
      <c r="C33" s="600"/>
      <c r="D33" s="600"/>
      <c r="E33" s="604"/>
      <c r="F33" s="600"/>
      <c r="G33" s="600"/>
      <c r="H33" s="605"/>
    </row>
    <row r="34" spans="1:8" ht="15">
      <c r="A34" s="19">
        <v>15</v>
      </c>
      <c r="B34" s="44" t="s">
        <v>168</v>
      </c>
      <c r="C34" s="603">
        <f>C35-C36</f>
        <v>-388403</v>
      </c>
      <c r="D34" s="603">
        <f>D35-D36</f>
        <v>-1718864</v>
      </c>
      <c r="E34" s="601">
        <f t="shared" si="0"/>
        <v>-2107267</v>
      </c>
      <c r="F34" s="603">
        <f>F35-F36</f>
        <v>-317619</v>
      </c>
      <c r="G34" s="603">
        <f>G35-G36</f>
        <v>-2032940</v>
      </c>
      <c r="H34" s="602">
        <f t="shared" si="1"/>
        <v>-2350559</v>
      </c>
    </row>
    <row r="35" spans="1:8" ht="15">
      <c r="A35" s="19">
        <v>15.1</v>
      </c>
      <c r="B35" s="40" t="s">
        <v>167</v>
      </c>
      <c r="C35" s="600">
        <v>1290678</v>
      </c>
      <c r="D35" s="600">
        <v>5471192</v>
      </c>
      <c r="E35" s="601">
        <f t="shared" si="0"/>
        <v>6761870</v>
      </c>
      <c r="F35" s="600">
        <v>1231711</v>
      </c>
      <c r="G35" s="600">
        <v>915178</v>
      </c>
      <c r="H35" s="602">
        <f t="shared" si="1"/>
        <v>2146889</v>
      </c>
    </row>
    <row r="36" spans="1:8" ht="15">
      <c r="A36" s="19">
        <v>15.2</v>
      </c>
      <c r="B36" s="40" t="s">
        <v>166</v>
      </c>
      <c r="C36" s="600">
        <v>1679081</v>
      </c>
      <c r="D36" s="600">
        <v>7190056</v>
      </c>
      <c r="E36" s="601">
        <f t="shared" si="0"/>
        <v>8869137</v>
      </c>
      <c r="F36" s="600">
        <v>1549330</v>
      </c>
      <c r="G36" s="600">
        <v>2948118</v>
      </c>
      <c r="H36" s="602">
        <f t="shared" si="1"/>
        <v>4497448</v>
      </c>
    </row>
    <row r="37" spans="1:8" ht="15">
      <c r="A37" s="19">
        <v>16</v>
      </c>
      <c r="B37" s="39" t="s">
        <v>165</v>
      </c>
      <c r="C37" s="600">
        <v>0</v>
      </c>
      <c r="D37" s="600">
        <v>0</v>
      </c>
      <c r="E37" s="601">
        <f t="shared" si="0"/>
        <v>0</v>
      </c>
      <c r="F37" s="600">
        <v>0</v>
      </c>
      <c r="G37" s="600">
        <v>0</v>
      </c>
      <c r="H37" s="602">
        <f t="shared" si="1"/>
        <v>0</v>
      </c>
    </row>
    <row r="38" spans="1:8" ht="15">
      <c r="A38" s="19">
        <v>17</v>
      </c>
      <c r="B38" s="39" t="s">
        <v>164</v>
      </c>
      <c r="C38" s="600">
        <v>1344570</v>
      </c>
      <c r="D38" s="600">
        <v>0</v>
      </c>
      <c r="E38" s="601">
        <f t="shared" si="0"/>
        <v>1344570</v>
      </c>
      <c r="F38" s="600">
        <v>1552012</v>
      </c>
      <c r="G38" s="600">
        <v>0</v>
      </c>
      <c r="H38" s="602">
        <f t="shared" si="1"/>
        <v>1552012</v>
      </c>
    </row>
    <row r="39" spans="1:8" ht="15">
      <c r="A39" s="19">
        <v>18</v>
      </c>
      <c r="B39" s="39" t="s">
        <v>163</v>
      </c>
      <c r="C39" s="600">
        <v>-23397</v>
      </c>
      <c r="D39" s="600">
        <v>1083389</v>
      </c>
      <c r="E39" s="601">
        <f t="shared" si="0"/>
        <v>1059992</v>
      </c>
      <c r="F39" s="600">
        <v>253160</v>
      </c>
      <c r="G39" s="600">
        <v>907755</v>
      </c>
      <c r="H39" s="602">
        <f t="shared" si="1"/>
        <v>1160915</v>
      </c>
    </row>
    <row r="40" spans="1:8" ht="15">
      <c r="A40" s="19">
        <v>19</v>
      </c>
      <c r="B40" s="39" t="s">
        <v>162</v>
      </c>
      <c r="C40" s="600">
        <v>4074691</v>
      </c>
      <c r="D40" s="600"/>
      <c r="E40" s="601">
        <f t="shared" si="0"/>
        <v>4074691</v>
      </c>
      <c r="F40" s="600">
        <v>1523653</v>
      </c>
      <c r="G40" s="600"/>
      <c r="H40" s="602">
        <f t="shared" si="1"/>
        <v>1523653</v>
      </c>
    </row>
    <row r="41" spans="1:8" ht="15">
      <c r="A41" s="19">
        <v>20</v>
      </c>
      <c r="B41" s="39" t="s">
        <v>161</v>
      </c>
      <c r="C41" s="600">
        <v>-3001987</v>
      </c>
      <c r="D41" s="600"/>
      <c r="E41" s="601">
        <f t="shared" si="0"/>
        <v>-3001987</v>
      </c>
      <c r="F41" s="600">
        <v>-3014327</v>
      </c>
      <c r="G41" s="600"/>
      <c r="H41" s="602">
        <f t="shared" si="1"/>
        <v>-3014327</v>
      </c>
    </row>
    <row r="42" spans="1:8" ht="15">
      <c r="A42" s="19">
        <v>21</v>
      </c>
      <c r="B42" s="39" t="s">
        <v>160</v>
      </c>
      <c r="C42" s="600">
        <v>3813</v>
      </c>
      <c r="D42" s="600">
        <v>0</v>
      </c>
      <c r="E42" s="601">
        <f t="shared" si="0"/>
        <v>3813</v>
      </c>
      <c r="F42" s="600">
        <v>7741</v>
      </c>
      <c r="G42" s="600">
        <v>0</v>
      </c>
      <c r="H42" s="602">
        <f t="shared" si="1"/>
        <v>7741</v>
      </c>
    </row>
    <row r="43" spans="1:8" ht="15">
      <c r="A43" s="19">
        <v>22</v>
      </c>
      <c r="B43" s="39" t="s">
        <v>159</v>
      </c>
      <c r="C43" s="600">
        <v>677823</v>
      </c>
      <c r="D43" s="600">
        <v>125705</v>
      </c>
      <c r="E43" s="601">
        <f t="shared" si="0"/>
        <v>803528</v>
      </c>
      <c r="F43" s="600">
        <v>818864</v>
      </c>
      <c r="G43" s="600">
        <v>127556</v>
      </c>
      <c r="H43" s="602">
        <f t="shared" si="1"/>
        <v>946420</v>
      </c>
    </row>
    <row r="44" spans="1:8" ht="15">
      <c r="A44" s="19">
        <v>23</v>
      </c>
      <c r="B44" s="39" t="s">
        <v>158</v>
      </c>
      <c r="C44" s="600">
        <v>158441</v>
      </c>
      <c r="D44" s="600">
        <v>207</v>
      </c>
      <c r="E44" s="601">
        <f t="shared" si="0"/>
        <v>158648</v>
      </c>
      <c r="F44" s="600">
        <v>8134643</v>
      </c>
      <c r="G44" s="600">
        <v>223439</v>
      </c>
      <c r="H44" s="602">
        <f t="shared" si="1"/>
        <v>8358082</v>
      </c>
    </row>
    <row r="45" spans="1:8" ht="15">
      <c r="A45" s="19">
        <v>24</v>
      </c>
      <c r="B45" s="42" t="s">
        <v>273</v>
      </c>
      <c r="C45" s="603">
        <f>C34+C37+C38+C39+C40+C41+C42+C43+C44</f>
        <v>2845551</v>
      </c>
      <c r="D45" s="603">
        <f>D34+D37+D38+D39+D40+D41+D42+D43+D44</f>
        <v>-509563</v>
      </c>
      <c r="E45" s="601">
        <f t="shared" si="0"/>
        <v>2335988</v>
      </c>
      <c r="F45" s="603">
        <f>F34+F37+F38+F39+F40+F41+F42+F43+F44</f>
        <v>8958127</v>
      </c>
      <c r="G45" s="603">
        <f>G34+G37+G38+G39+G40+G41+G42+G43+G44</f>
        <v>-774190</v>
      </c>
      <c r="H45" s="602">
        <f t="shared" si="1"/>
        <v>8183937</v>
      </c>
    </row>
    <row r="46" spans="1:8">
      <c r="A46" s="19"/>
      <c r="B46" s="203" t="s">
        <v>157</v>
      </c>
      <c r="C46" s="600"/>
      <c r="D46" s="600"/>
      <c r="E46" s="600"/>
      <c r="F46" s="600"/>
      <c r="G46" s="600"/>
      <c r="H46" s="608"/>
    </row>
    <row r="47" spans="1:8" ht="15">
      <c r="A47" s="19">
        <v>25</v>
      </c>
      <c r="B47" s="39" t="s">
        <v>156</v>
      </c>
      <c r="C47" s="600">
        <v>262950</v>
      </c>
      <c r="D47" s="600">
        <v>381</v>
      </c>
      <c r="E47" s="601">
        <f t="shared" si="0"/>
        <v>263331</v>
      </c>
      <c r="F47" s="600">
        <v>333170</v>
      </c>
      <c r="G47" s="600">
        <v>10205</v>
      </c>
      <c r="H47" s="602">
        <f t="shared" si="1"/>
        <v>343375</v>
      </c>
    </row>
    <row r="48" spans="1:8" ht="15">
      <c r="A48" s="19">
        <v>26</v>
      </c>
      <c r="B48" s="39" t="s">
        <v>155</v>
      </c>
      <c r="C48" s="600">
        <v>74148</v>
      </c>
      <c r="D48" s="600">
        <v>1662</v>
      </c>
      <c r="E48" s="601">
        <f t="shared" si="0"/>
        <v>75810</v>
      </c>
      <c r="F48" s="600">
        <v>128140</v>
      </c>
      <c r="G48" s="600">
        <v>848</v>
      </c>
      <c r="H48" s="602">
        <f t="shared" si="1"/>
        <v>128988</v>
      </c>
    </row>
    <row r="49" spans="1:8" ht="15">
      <c r="A49" s="19">
        <v>27</v>
      </c>
      <c r="B49" s="39" t="s">
        <v>154</v>
      </c>
      <c r="C49" s="600">
        <v>7467099</v>
      </c>
      <c r="D49" s="600"/>
      <c r="E49" s="601">
        <f t="shared" si="0"/>
        <v>7467099</v>
      </c>
      <c r="F49" s="600">
        <v>6425366</v>
      </c>
      <c r="G49" s="600"/>
      <c r="H49" s="602">
        <f t="shared" si="1"/>
        <v>6425366</v>
      </c>
    </row>
    <row r="50" spans="1:8" ht="15">
      <c r="A50" s="19">
        <v>28</v>
      </c>
      <c r="B50" s="39" t="s">
        <v>153</v>
      </c>
      <c r="C50" s="600">
        <v>28250</v>
      </c>
      <c r="D50" s="600"/>
      <c r="E50" s="601">
        <f t="shared" si="0"/>
        <v>28250</v>
      </c>
      <c r="F50" s="600">
        <v>17394</v>
      </c>
      <c r="G50" s="600"/>
      <c r="H50" s="602">
        <f t="shared" si="1"/>
        <v>17394</v>
      </c>
    </row>
    <row r="51" spans="1:8" ht="15">
      <c r="A51" s="19">
        <v>29</v>
      </c>
      <c r="B51" s="39" t="s">
        <v>152</v>
      </c>
      <c r="C51" s="600">
        <v>2231145</v>
      </c>
      <c r="D51" s="600"/>
      <c r="E51" s="601">
        <f t="shared" si="0"/>
        <v>2231145</v>
      </c>
      <c r="F51" s="600">
        <v>2166685</v>
      </c>
      <c r="G51" s="600"/>
      <c r="H51" s="602">
        <f t="shared" si="1"/>
        <v>2166685</v>
      </c>
    </row>
    <row r="52" spans="1:8" ht="15">
      <c r="A52" s="19">
        <v>30</v>
      </c>
      <c r="B52" s="39" t="s">
        <v>151</v>
      </c>
      <c r="C52" s="600">
        <v>2591251</v>
      </c>
      <c r="D52" s="600">
        <v>153984</v>
      </c>
      <c r="E52" s="601">
        <f t="shared" si="0"/>
        <v>2745235</v>
      </c>
      <c r="F52" s="600">
        <v>2223990</v>
      </c>
      <c r="G52" s="600">
        <v>165019</v>
      </c>
      <c r="H52" s="602">
        <f t="shared" si="1"/>
        <v>2389009</v>
      </c>
    </row>
    <row r="53" spans="1:8" ht="15">
      <c r="A53" s="19">
        <v>31</v>
      </c>
      <c r="B53" s="42" t="s">
        <v>274</v>
      </c>
      <c r="C53" s="603">
        <f>C47+C48+C49+C50+C51+C52</f>
        <v>12654843</v>
      </c>
      <c r="D53" s="603">
        <f>D47+D48+D49+D50+D51+D52</f>
        <v>156027</v>
      </c>
      <c r="E53" s="601">
        <f t="shared" si="0"/>
        <v>12810870</v>
      </c>
      <c r="F53" s="603">
        <f>F47+F48+F49+F50+F51+F52</f>
        <v>11294745</v>
      </c>
      <c r="G53" s="603">
        <f>G47+G48+G49+G50+G51+G52</f>
        <v>176072</v>
      </c>
      <c r="H53" s="602">
        <f t="shared" si="1"/>
        <v>11470817</v>
      </c>
    </row>
    <row r="54" spans="1:8" ht="15">
      <c r="A54" s="19">
        <v>32</v>
      </c>
      <c r="B54" s="42" t="s">
        <v>275</v>
      </c>
      <c r="C54" s="603">
        <f>C45-C53</f>
        <v>-9809292</v>
      </c>
      <c r="D54" s="603">
        <f>D45-D53</f>
        <v>-665590</v>
      </c>
      <c r="E54" s="601">
        <f t="shared" si="0"/>
        <v>-10474882</v>
      </c>
      <c r="F54" s="603">
        <f>F45-F53</f>
        <v>-2336618</v>
      </c>
      <c r="G54" s="603">
        <f>G45-G53</f>
        <v>-950262</v>
      </c>
      <c r="H54" s="602">
        <f t="shared" si="1"/>
        <v>-3286880</v>
      </c>
    </row>
    <row r="55" spans="1:8">
      <c r="A55" s="19"/>
      <c r="B55" s="43"/>
      <c r="C55" s="606"/>
      <c r="D55" s="606"/>
      <c r="E55" s="606"/>
      <c r="F55" s="606"/>
      <c r="G55" s="606"/>
      <c r="H55" s="607"/>
    </row>
    <row r="56" spans="1:8" ht="15">
      <c r="A56" s="19">
        <v>33</v>
      </c>
      <c r="B56" s="42" t="s">
        <v>150</v>
      </c>
      <c r="C56" s="603">
        <f>C31+C54</f>
        <v>2534988</v>
      </c>
      <c r="D56" s="603">
        <f>D31+D54</f>
        <v>9254901</v>
      </c>
      <c r="E56" s="601">
        <f t="shared" si="0"/>
        <v>11789889</v>
      </c>
      <c r="F56" s="603">
        <f>F31+F54</f>
        <v>8474634</v>
      </c>
      <c r="G56" s="603">
        <f>G31+G54</f>
        <v>8622115</v>
      </c>
      <c r="H56" s="602">
        <f t="shared" si="1"/>
        <v>17096749</v>
      </c>
    </row>
    <row r="57" spans="1:8">
      <c r="A57" s="19"/>
      <c r="B57" s="43"/>
      <c r="C57" s="606"/>
      <c r="D57" s="606"/>
      <c r="E57" s="606"/>
      <c r="F57" s="606"/>
      <c r="G57" s="606"/>
      <c r="H57" s="607"/>
    </row>
    <row r="58" spans="1:8" ht="15">
      <c r="A58" s="19">
        <v>34</v>
      </c>
      <c r="B58" s="39" t="s">
        <v>149</v>
      </c>
      <c r="C58" s="600">
        <v>-12989457</v>
      </c>
      <c r="D58" s="600"/>
      <c r="E58" s="601">
        <f>C58</f>
        <v>-12989457</v>
      </c>
      <c r="F58" s="600">
        <v>-1919589</v>
      </c>
      <c r="G58" s="600"/>
      <c r="H58" s="602">
        <f>F58</f>
        <v>-1919589</v>
      </c>
    </row>
    <row r="59" spans="1:8" s="204" customFormat="1" ht="15">
      <c r="A59" s="19">
        <v>35</v>
      </c>
      <c r="B59" s="39" t="s">
        <v>148</v>
      </c>
      <c r="C59" s="600">
        <v>-309760</v>
      </c>
      <c r="D59" s="609"/>
      <c r="E59" s="610">
        <f>C59</f>
        <v>-309760</v>
      </c>
      <c r="F59" s="611">
        <v>-11630</v>
      </c>
      <c r="G59" s="611"/>
      <c r="H59" s="612">
        <f>F59</f>
        <v>-11630</v>
      </c>
    </row>
    <row r="60" spans="1:8" ht="15">
      <c r="A60" s="19">
        <v>36</v>
      </c>
      <c r="B60" s="39" t="s">
        <v>147</v>
      </c>
      <c r="C60" s="600">
        <v>8025124</v>
      </c>
      <c r="D60" s="600"/>
      <c r="E60" s="601">
        <f>C60</f>
        <v>8025124</v>
      </c>
      <c r="F60" s="600">
        <v>-29696</v>
      </c>
      <c r="G60" s="600"/>
      <c r="H60" s="602">
        <f>F60</f>
        <v>-29696</v>
      </c>
    </row>
    <row r="61" spans="1:8" ht="15">
      <c r="A61" s="19">
        <v>37</v>
      </c>
      <c r="B61" s="42" t="s">
        <v>146</v>
      </c>
      <c r="C61" s="603">
        <f>C58+C59+C60</f>
        <v>-5274093</v>
      </c>
      <c r="D61" s="603">
        <f>D58+D59+D60</f>
        <v>0</v>
      </c>
      <c r="E61" s="601">
        <f t="shared" si="0"/>
        <v>-5274093</v>
      </c>
      <c r="F61" s="603">
        <f>F58+F59+F60</f>
        <v>-1960915</v>
      </c>
      <c r="G61" s="603">
        <f>G58+G59+G60</f>
        <v>0</v>
      </c>
      <c r="H61" s="602">
        <f t="shared" si="1"/>
        <v>-1960915</v>
      </c>
    </row>
    <row r="62" spans="1:8">
      <c r="A62" s="19"/>
      <c r="B62" s="45"/>
      <c r="C62" s="600"/>
      <c r="D62" s="600"/>
      <c r="E62" s="600"/>
      <c r="F62" s="600"/>
      <c r="G62" s="600"/>
      <c r="H62" s="608"/>
    </row>
    <row r="63" spans="1:8" ht="15">
      <c r="A63" s="19">
        <v>38</v>
      </c>
      <c r="B63" s="46" t="s">
        <v>145</v>
      </c>
      <c r="C63" s="603">
        <f>C56-C61</f>
        <v>7809081</v>
      </c>
      <c r="D63" s="603">
        <f>D56-D61</f>
        <v>9254901</v>
      </c>
      <c r="E63" s="601">
        <f t="shared" si="0"/>
        <v>17063982</v>
      </c>
      <c r="F63" s="603">
        <f>F56-F61</f>
        <v>10435549</v>
      </c>
      <c r="G63" s="603">
        <f>G56-G61</f>
        <v>8622115</v>
      </c>
      <c r="H63" s="602">
        <f t="shared" si="1"/>
        <v>19057664</v>
      </c>
    </row>
    <row r="64" spans="1:8" ht="15">
      <c r="A64" s="35">
        <v>39</v>
      </c>
      <c r="B64" s="39" t="s">
        <v>144</v>
      </c>
      <c r="C64" s="613">
        <v>2589195</v>
      </c>
      <c r="D64" s="613"/>
      <c r="E64" s="601">
        <f t="shared" si="0"/>
        <v>2589195</v>
      </c>
      <c r="F64" s="613">
        <v>3055433</v>
      </c>
      <c r="G64" s="613"/>
      <c r="H64" s="602">
        <f t="shared" si="1"/>
        <v>3055433</v>
      </c>
    </row>
    <row r="65" spans="1:8" ht="15">
      <c r="A65" s="19">
        <v>40</v>
      </c>
      <c r="B65" s="42" t="s">
        <v>143</v>
      </c>
      <c r="C65" s="603">
        <f>C63-C64</f>
        <v>5219886</v>
      </c>
      <c r="D65" s="603">
        <f>D63-D64</f>
        <v>9254901</v>
      </c>
      <c r="E65" s="601">
        <f t="shared" si="0"/>
        <v>14474787</v>
      </c>
      <c r="F65" s="603">
        <f>F63-F64</f>
        <v>7380116</v>
      </c>
      <c r="G65" s="603">
        <f>G63-G64</f>
        <v>8622115</v>
      </c>
      <c r="H65" s="602">
        <f t="shared" si="1"/>
        <v>16002231</v>
      </c>
    </row>
    <row r="66" spans="1:8" ht="15">
      <c r="A66" s="35">
        <v>41</v>
      </c>
      <c r="B66" s="39" t="s">
        <v>142</v>
      </c>
      <c r="C66" s="613">
        <v>0</v>
      </c>
      <c r="D66" s="613"/>
      <c r="E66" s="601">
        <f t="shared" si="0"/>
        <v>0</v>
      </c>
      <c r="F66" s="613">
        <v>0</v>
      </c>
      <c r="G66" s="613"/>
      <c r="H66" s="602">
        <f t="shared" si="1"/>
        <v>0</v>
      </c>
    </row>
    <row r="67" spans="1:8" ht="15.75" thickBot="1">
      <c r="A67" s="47">
        <v>42</v>
      </c>
      <c r="B67" s="48" t="s">
        <v>141</v>
      </c>
      <c r="C67" s="614">
        <f>C65+C66</f>
        <v>5219886</v>
      </c>
      <c r="D67" s="614">
        <f>D65+D66</f>
        <v>9254901</v>
      </c>
      <c r="E67" s="615">
        <f t="shared" si="0"/>
        <v>14474787</v>
      </c>
      <c r="F67" s="614">
        <f>F65+F66</f>
        <v>7380116</v>
      </c>
      <c r="G67" s="614">
        <f>G65+G66</f>
        <v>8622115</v>
      </c>
      <c r="H67" s="616">
        <f t="shared" si="1"/>
        <v>16002231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heetViews>
  <sheetFormatPr defaultColWidth="9.28515625" defaultRowHeight="14.25"/>
  <cols>
    <col min="1" max="1" width="9.5703125" style="5" bestFit="1" customWidth="1"/>
    <col min="2" max="2" width="72.28515625" style="5" customWidth="1"/>
    <col min="3" max="7" width="12.7109375" style="5" customWidth="1"/>
    <col min="8" max="8" width="13.42578125" style="5" bestFit="1" customWidth="1"/>
    <col min="9" max="16384" width="9.28515625" style="5"/>
  </cols>
  <sheetData>
    <row r="1" spans="1:8">
      <c r="A1" s="2" t="s">
        <v>30</v>
      </c>
      <c r="B1" s="3" t="str">
        <f>'Info '!C2</f>
        <v>JSC CARTU BANK</v>
      </c>
    </row>
    <row r="2" spans="1:8">
      <c r="A2" s="2" t="s">
        <v>31</v>
      </c>
      <c r="B2" s="370">
        <f>'1. key ratios '!B2</f>
        <v>44742</v>
      </c>
    </row>
    <row r="3" spans="1:8">
      <c r="A3" s="4"/>
    </row>
    <row r="4" spans="1:8" ht="15" thickBot="1">
      <c r="A4" s="4" t="s">
        <v>74</v>
      </c>
      <c r="B4" s="4"/>
      <c r="C4" s="187"/>
      <c r="D4" s="187"/>
      <c r="E4" s="187"/>
      <c r="F4" s="187"/>
      <c r="G4" s="187"/>
      <c r="H4" s="188" t="s">
        <v>73</v>
      </c>
    </row>
    <row r="5" spans="1:8">
      <c r="A5" s="646" t="s">
        <v>6</v>
      </c>
      <c r="B5" s="648" t="s">
        <v>340</v>
      </c>
      <c r="C5" s="642" t="s">
        <v>68</v>
      </c>
      <c r="D5" s="643"/>
      <c r="E5" s="644"/>
      <c r="F5" s="642" t="s">
        <v>72</v>
      </c>
      <c r="G5" s="643"/>
      <c r="H5" s="645"/>
    </row>
    <row r="6" spans="1:8">
      <c r="A6" s="647"/>
      <c r="B6" s="649"/>
      <c r="C6" s="21" t="s">
        <v>287</v>
      </c>
      <c r="D6" s="21" t="s">
        <v>122</v>
      </c>
      <c r="E6" s="21" t="s">
        <v>109</v>
      </c>
      <c r="F6" s="21" t="s">
        <v>287</v>
      </c>
      <c r="G6" s="21" t="s">
        <v>122</v>
      </c>
      <c r="H6" s="22" t="s">
        <v>109</v>
      </c>
    </row>
    <row r="7" spans="1:8" ht="15.75">
      <c r="A7" s="77">
        <v>1</v>
      </c>
      <c r="B7" s="189" t="s">
        <v>374</v>
      </c>
      <c r="C7" s="617"/>
      <c r="D7" s="617"/>
      <c r="E7" s="618">
        <f>C7+D7</f>
        <v>0</v>
      </c>
      <c r="F7" s="617"/>
      <c r="G7" s="617"/>
      <c r="H7" s="619">
        <f t="shared" ref="H7:H53" si="0">F7+G7</f>
        <v>0</v>
      </c>
    </row>
    <row r="8" spans="1:8" ht="15.75">
      <c r="A8" s="77">
        <v>1.1000000000000001</v>
      </c>
      <c r="B8" s="233" t="s">
        <v>305</v>
      </c>
      <c r="C8" s="617">
        <v>16017749</v>
      </c>
      <c r="D8" s="617">
        <v>9606909</v>
      </c>
      <c r="E8" s="618">
        <f>C8+D8</f>
        <v>25624658</v>
      </c>
      <c r="F8" s="617">
        <v>27205864</v>
      </c>
      <c r="G8" s="617">
        <v>4869402</v>
      </c>
      <c r="H8" s="619">
        <f t="shared" si="0"/>
        <v>32075266</v>
      </c>
    </row>
    <row r="9" spans="1:8" ht="15.75">
      <c r="A9" s="77">
        <v>1.2</v>
      </c>
      <c r="B9" s="233" t="s">
        <v>306</v>
      </c>
      <c r="C9" s="617"/>
      <c r="D9" s="617">
        <v>0</v>
      </c>
      <c r="E9" s="618">
        <f t="shared" ref="E9:E53" si="1">C9+D9</f>
        <v>0</v>
      </c>
      <c r="F9" s="617"/>
      <c r="G9" s="617">
        <v>0</v>
      </c>
      <c r="H9" s="619">
        <f t="shared" si="0"/>
        <v>0</v>
      </c>
    </row>
    <row r="10" spans="1:8" ht="15.75">
      <c r="A10" s="77">
        <v>1.3</v>
      </c>
      <c r="B10" s="233" t="s">
        <v>307</v>
      </c>
      <c r="C10" s="617">
        <v>12987214</v>
      </c>
      <c r="D10" s="617">
        <v>22770944</v>
      </c>
      <c r="E10" s="618">
        <f t="shared" si="1"/>
        <v>35758158</v>
      </c>
      <c r="F10" s="617">
        <v>9473703</v>
      </c>
      <c r="G10" s="617">
        <v>15810865</v>
      </c>
      <c r="H10" s="619">
        <f t="shared" si="0"/>
        <v>25284568</v>
      </c>
    </row>
    <row r="11" spans="1:8" ht="15.75">
      <c r="A11" s="77">
        <v>1.4</v>
      </c>
      <c r="B11" s="233" t="s">
        <v>288</v>
      </c>
      <c r="C11" s="617">
        <v>9181</v>
      </c>
      <c r="D11" s="617">
        <v>0</v>
      </c>
      <c r="E11" s="618">
        <f t="shared" si="1"/>
        <v>9181</v>
      </c>
      <c r="F11" s="617">
        <v>9391</v>
      </c>
      <c r="G11" s="617">
        <v>0</v>
      </c>
      <c r="H11" s="619">
        <f t="shared" si="0"/>
        <v>9391</v>
      </c>
    </row>
    <row r="12" spans="1:8" ht="29.25" customHeight="1">
      <c r="A12" s="77">
        <v>2</v>
      </c>
      <c r="B12" s="191" t="s">
        <v>309</v>
      </c>
      <c r="C12" s="617"/>
      <c r="D12" s="617"/>
      <c r="E12" s="618">
        <f t="shared" si="1"/>
        <v>0</v>
      </c>
      <c r="F12" s="617"/>
      <c r="G12" s="617"/>
      <c r="H12" s="619">
        <f t="shared" si="0"/>
        <v>0</v>
      </c>
    </row>
    <row r="13" spans="1:8" ht="19.899999999999999" customHeight="1">
      <c r="A13" s="77">
        <v>3</v>
      </c>
      <c r="B13" s="191" t="s">
        <v>308</v>
      </c>
      <c r="C13" s="617"/>
      <c r="D13" s="617"/>
      <c r="E13" s="618">
        <f t="shared" si="1"/>
        <v>0</v>
      </c>
      <c r="F13" s="617"/>
      <c r="G13" s="617"/>
      <c r="H13" s="619">
        <f t="shared" si="0"/>
        <v>0</v>
      </c>
    </row>
    <row r="14" spans="1:8" ht="15.75">
      <c r="A14" s="77">
        <v>3.1</v>
      </c>
      <c r="B14" s="234" t="s">
        <v>289</v>
      </c>
      <c r="C14" s="617"/>
      <c r="D14" s="617"/>
      <c r="E14" s="618">
        <f t="shared" si="1"/>
        <v>0</v>
      </c>
      <c r="F14" s="617"/>
      <c r="G14" s="617"/>
      <c r="H14" s="619">
        <f t="shared" si="0"/>
        <v>0</v>
      </c>
    </row>
    <row r="15" spans="1:8" ht="15.75">
      <c r="A15" s="77">
        <v>3.2</v>
      </c>
      <c r="B15" s="234" t="s">
        <v>290</v>
      </c>
      <c r="C15" s="617"/>
      <c r="D15" s="617"/>
      <c r="E15" s="618">
        <f t="shared" si="1"/>
        <v>0</v>
      </c>
      <c r="F15" s="617"/>
      <c r="G15" s="617"/>
      <c r="H15" s="619">
        <f t="shared" si="0"/>
        <v>0</v>
      </c>
    </row>
    <row r="16" spans="1:8" ht="15.75">
      <c r="A16" s="77">
        <v>4</v>
      </c>
      <c r="B16" s="237" t="s">
        <v>319</v>
      </c>
      <c r="C16" s="617"/>
      <c r="D16" s="617"/>
      <c r="E16" s="618">
        <f t="shared" si="1"/>
        <v>0</v>
      </c>
      <c r="F16" s="617"/>
      <c r="G16" s="617"/>
      <c r="H16" s="619">
        <f t="shared" si="0"/>
        <v>0</v>
      </c>
    </row>
    <row r="17" spans="1:8" ht="15.75">
      <c r="A17" s="77">
        <v>4.0999999999999996</v>
      </c>
      <c r="B17" s="234" t="s">
        <v>310</v>
      </c>
      <c r="C17" s="617">
        <v>6510619.7649999987</v>
      </c>
      <c r="D17" s="617">
        <v>3123622.6863473002</v>
      </c>
      <c r="E17" s="618">
        <f t="shared" si="1"/>
        <v>9634242.4513472989</v>
      </c>
      <c r="F17" s="617">
        <v>10520481.500000002</v>
      </c>
      <c r="G17" s="617">
        <v>996713.47615999996</v>
      </c>
      <c r="H17" s="619">
        <f t="shared" si="0"/>
        <v>11517194.976160001</v>
      </c>
    </row>
    <row r="18" spans="1:8" ht="15.75">
      <c r="A18" s="77">
        <v>4.2</v>
      </c>
      <c r="B18" s="234" t="s">
        <v>304</v>
      </c>
      <c r="C18" s="617">
        <v>99049008.933886215</v>
      </c>
      <c r="D18" s="617">
        <v>337058044.40362096</v>
      </c>
      <c r="E18" s="618">
        <f t="shared" si="1"/>
        <v>436107053.33750719</v>
      </c>
      <c r="F18" s="617">
        <v>136666060.30783385</v>
      </c>
      <c r="G18" s="617">
        <v>403992746.30025339</v>
      </c>
      <c r="H18" s="619">
        <f t="shared" si="0"/>
        <v>540658806.6080873</v>
      </c>
    </row>
    <row r="19" spans="1:8" ht="15.75">
      <c r="A19" s="77">
        <v>5</v>
      </c>
      <c r="B19" s="191" t="s">
        <v>318</v>
      </c>
      <c r="C19" s="617"/>
      <c r="D19" s="617"/>
      <c r="E19" s="618">
        <f t="shared" si="1"/>
        <v>0</v>
      </c>
      <c r="F19" s="617"/>
      <c r="G19" s="617"/>
      <c r="H19" s="619">
        <f t="shared" si="0"/>
        <v>0</v>
      </c>
    </row>
    <row r="20" spans="1:8" ht="15.75">
      <c r="A20" s="77">
        <v>5.0999999999999996</v>
      </c>
      <c r="B20" s="235" t="s">
        <v>293</v>
      </c>
      <c r="C20" s="617">
        <v>30620501.810000002</v>
      </c>
      <c r="D20" s="617">
        <v>16079162.265764</v>
      </c>
      <c r="E20" s="618">
        <f t="shared" si="1"/>
        <v>46699664.075764</v>
      </c>
      <c r="F20" s="617">
        <v>1011111.11</v>
      </c>
      <c r="G20" s="617">
        <v>35188842.959412999</v>
      </c>
      <c r="H20" s="619">
        <f t="shared" si="0"/>
        <v>36199954.069412999</v>
      </c>
    </row>
    <row r="21" spans="1:8" ht="15.75">
      <c r="A21" s="77">
        <v>5.2</v>
      </c>
      <c r="B21" s="235" t="s">
        <v>292</v>
      </c>
      <c r="C21" s="617">
        <v>0</v>
      </c>
      <c r="D21" s="617">
        <v>0</v>
      </c>
      <c r="E21" s="618">
        <f t="shared" si="1"/>
        <v>0</v>
      </c>
      <c r="F21" s="617">
        <v>0</v>
      </c>
      <c r="G21" s="617">
        <v>0</v>
      </c>
      <c r="H21" s="619">
        <f t="shared" si="0"/>
        <v>0</v>
      </c>
    </row>
    <row r="22" spans="1:8" ht="15.75">
      <c r="A22" s="77">
        <v>5.3</v>
      </c>
      <c r="B22" s="235" t="s">
        <v>291</v>
      </c>
      <c r="C22" s="617">
        <v>17939073.800000001</v>
      </c>
      <c r="D22" s="617">
        <v>1476794982.2964044</v>
      </c>
      <c r="E22" s="618">
        <f t="shared" si="1"/>
        <v>1494734056.0964043</v>
      </c>
      <c r="F22" s="617">
        <v>16945528.600000001</v>
      </c>
      <c r="G22" s="617">
        <v>1847823215.5928962</v>
      </c>
      <c r="H22" s="619">
        <f t="shared" si="0"/>
        <v>1864768744.1928961</v>
      </c>
    </row>
    <row r="23" spans="1:8" ht="15.75">
      <c r="A23" s="77" t="s">
        <v>15</v>
      </c>
      <c r="B23" s="192" t="s">
        <v>75</v>
      </c>
      <c r="C23" s="617">
        <v>292890</v>
      </c>
      <c r="D23" s="617">
        <v>171603574.45131055</v>
      </c>
      <c r="E23" s="618">
        <f t="shared" si="1"/>
        <v>171896464.45131055</v>
      </c>
      <c r="F23" s="617">
        <v>316030</v>
      </c>
      <c r="G23" s="617">
        <v>202323438.36745769</v>
      </c>
      <c r="H23" s="619">
        <f t="shared" si="0"/>
        <v>202639468.36745769</v>
      </c>
    </row>
    <row r="24" spans="1:8" ht="15.75">
      <c r="A24" s="77" t="s">
        <v>16</v>
      </c>
      <c r="B24" s="192" t="s">
        <v>76</v>
      </c>
      <c r="C24" s="617">
        <v>708793.8</v>
      </c>
      <c r="D24" s="617">
        <v>732300907.11082542</v>
      </c>
      <c r="E24" s="618">
        <f t="shared" si="1"/>
        <v>733009700.91082537</v>
      </c>
      <c r="F24" s="617">
        <v>748991.1</v>
      </c>
      <c r="G24" s="617">
        <v>979876051.34550893</v>
      </c>
      <c r="H24" s="619">
        <f t="shared" si="0"/>
        <v>980625042.44550896</v>
      </c>
    </row>
    <row r="25" spans="1:8" ht="15.75">
      <c r="A25" s="77" t="s">
        <v>17</v>
      </c>
      <c r="B25" s="192" t="s">
        <v>77</v>
      </c>
      <c r="C25" s="617">
        <v>0</v>
      </c>
      <c r="D25" s="617">
        <v>154190427.06454363</v>
      </c>
      <c r="E25" s="618">
        <f t="shared" si="1"/>
        <v>154190427.06454363</v>
      </c>
      <c r="F25" s="617">
        <v>0</v>
      </c>
      <c r="G25" s="617">
        <v>158623234.81433004</v>
      </c>
      <c r="H25" s="619">
        <f t="shared" si="0"/>
        <v>158623234.81433004</v>
      </c>
    </row>
    <row r="26" spans="1:8" ht="15.75">
      <c r="A26" s="77" t="s">
        <v>18</v>
      </c>
      <c r="B26" s="192" t="s">
        <v>78</v>
      </c>
      <c r="C26" s="617">
        <v>16937390</v>
      </c>
      <c r="D26" s="617">
        <v>382948795.15907496</v>
      </c>
      <c r="E26" s="618">
        <f t="shared" si="1"/>
        <v>399886185.15907496</v>
      </c>
      <c r="F26" s="617">
        <v>15880507.5</v>
      </c>
      <c r="G26" s="617">
        <v>398167716.38496947</v>
      </c>
      <c r="H26" s="619">
        <f t="shared" si="0"/>
        <v>414048223.88496947</v>
      </c>
    </row>
    <row r="27" spans="1:8" ht="15.75">
      <c r="A27" s="77" t="s">
        <v>19</v>
      </c>
      <c r="B27" s="192" t="s">
        <v>79</v>
      </c>
      <c r="C27" s="617">
        <v>0</v>
      </c>
      <c r="D27" s="617">
        <v>35751278.510650016</v>
      </c>
      <c r="E27" s="618">
        <f t="shared" si="1"/>
        <v>35751278.510650016</v>
      </c>
      <c r="F27" s="617">
        <v>0</v>
      </c>
      <c r="G27" s="617">
        <v>108832774.68063</v>
      </c>
      <c r="H27" s="619">
        <f t="shared" si="0"/>
        <v>108832774.68063</v>
      </c>
    </row>
    <row r="28" spans="1:8" ht="15.75">
      <c r="A28" s="77">
        <v>5.4</v>
      </c>
      <c r="B28" s="235" t="s">
        <v>294</v>
      </c>
      <c r="C28" s="617">
        <v>206543294.78504831</v>
      </c>
      <c r="D28" s="617">
        <v>265339316.23435169</v>
      </c>
      <c r="E28" s="618">
        <f t="shared" si="1"/>
        <v>471882611.0194</v>
      </c>
      <c r="F28" s="617">
        <v>219754572.55942503</v>
      </c>
      <c r="G28" s="617">
        <v>431226741.49117553</v>
      </c>
      <c r="H28" s="619">
        <f t="shared" si="0"/>
        <v>650981314.05060053</v>
      </c>
    </row>
    <row r="29" spans="1:8" ht="15.75">
      <c r="A29" s="77">
        <v>5.5</v>
      </c>
      <c r="B29" s="235" t="s">
        <v>295</v>
      </c>
      <c r="C29" s="617">
        <v>22753825.710000001</v>
      </c>
      <c r="D29" s="617">
        <v>170496886.81590003</v>
      </c>
      <c r="E29" s="618">
        <f t="shared" si="1"/>
        <v>193250712.52590004</v>
      </c>
      <c r="F29" s="617">
        <v>10726543.02</v>
      </c>
      <c r="G29" s="617">
        <v>205407791.8294</v>
      </c>
      <c r="H29" s="619">
        <f t="shared" si="0"/>
        <v>216134334.84940001</v>
      </c>
    </row>
    <row r="30" spans="1:8" ht="15.75">
      <c r="A30" s="77">
        <v>5.6</v>
      </c>
      <c r="B30" s="235" t="s">
        <v>296</v>
      </c>
      <c r="C30" s="617">
        <v>0</v>
      </c>
      <c r="D30" s="617">
        <v>4539795</v>
      </c>
      <c r="E30" s="618">
        <f t="shared" si="1"/>
        <v>4539795</v>
      </c>
      <c r="F30" s="617">
        <v>0</v>
      </c>
      <c r="G30" s="617">
        <v>4898465</v>
      </c>
      <c r="H30" s="619">
        <f t="shared" si="0"/>
        <v>4898465</v>
      </c>
    </row>
    <row r="31" spans="1:8" ht="15.75">
      <c r="A31" s="77">
        <v>5.7</v>
      </c>
      <c r="B31" s="235" t="s">
        <v>79</v>
      </c>
      <c r="C31" s="617">
        <v>1092801</v>
      </c>
      <c r="D31" s="617">
        <v>28492339.199999988</v>
      </c>
      <c r="E31" s="618">
        <f t="shared" si="1"/>
        <v>29585140.199999988</v>
      </c>
      <c r="F31" s="617">
        <v>13986587.449999999</v>
      </c>
      <c r="G31" s="617">
        <v>30945657.620000005</v>
      </c>
      <c r="H31" s="619">
        <f t="shared" si="0"/>
        <v>44932245.070000008</v>
      </c>
    </row>
    <row r="32" spans="1:8" ht="15.75">
      <c r="A32" s="77">
        <v>6</v>
      </c>
      <c r="B32" s="191" t="s">
        <v>324</v>
      </c>
      <c r="C32" s="617"/>
      <c r="D32" s="617"/>
      <c r="E32" s="618">
        <f t="shared" si="1"/>
        <v>0</v>
      </c>
      <c r="F32" s="617"/>
      <c r="G32" s="617"/>
      <c r="H32" s="619">
        <f t="shared" si="0"/>
        <v>0</v>
      </c>
    </row>
    <row r="33" spans="1:8" ht="15.75">
      <c r="A33" s="77">
        <v>6.1</v>
      </c>
      <c r="B33" s="236" t="s">
        <v>314</v>
      </c>
      <c r="C33" s="617"/>
      <c r="D33" s="617"/>
      <c r="E33" s="618">
        <f t="shared" si="1"/>
        <v>0</v>
      </c>
      <c r="F33" s="617"/>
      <c r="G33" s="617">
        <v>30388733.73</v>
      </c>
      <c r="H33" s="619">
        <f t="shared" si="0"/>
        <v>30388733.73</v>
      </c>
    </row>
    <row r="34" spans="1:8" ht="15.75">
      <c r="A34" s="77">
        <v>6.2</v>
      </c>
      <c r="B34" s="236" t="s">
        <v>315</v>
      </c>
      <c r="C34" s="617"/>
      <c r="D34" s="617"/>
      <c r="E34" s="618">
        <f t="shared" si="1"/>
        <v>0</v>
      </c>
      <c r="F34" s="617">
        <v>0</v>
      </c>
      <c r="G34" s="617">
        <v>30086400</v>
      </c>
      <c r="H34" s="619">
        <f t="shared" si="0"/>
        <v>30086400</v>
      </c>
    </row>
    <row r="35" spans="1:8" ht="15.75">
      <c r="A35" s="77">
        <v>6.3</v>
      </c>
      <c r="B35" s="236" t="s">
        <v>311</v>
      </c>
      <c r="C35" s="617"/>
      <c r="D35" s="617"/>
      <c r="E35" s="618">
        <f t="shared" si="1"/>
        <v>0</v>
      </c>
      <c r="F35" s="617"/>
      <c r="G35" s="617"/>
      <c r="H35" s="619">
        <f t="shared" si="0"/>
        <v>0</v>
      </c>
    </row>
    <row r="36" spans="1:8" ht="15.75">
      <c r="A36" s="77">
        <v>6.4</v>
      </c>
      <c r="B36" s="236" t="s">
        <v>312</v>
      </c>
      <c r="C36" s="617"/>
      <c r="D36" s="617"/>
      <c r="E36" s="618">
        <f t="shared" si="1"/>
        <v>0</v>
      </c>
      <c r="F36" s="617"/>
      <c r="G36" s="617"/>
      <c r="H36" s="619">
        <f t="shared" si="0"/>
        <v>0</v>
      </c>
    </row>
    <row r="37" spans="1:8" ht="15.75">
      <c r="A37" s="77">
        <v>6.5</v>
      </c>
      <c r="B37" s="236" t="s">
        <v>313</v>
      </c>
      <c r="C37" s="617"/>
      <c r="D37" s="617"/>
      <c r="E37" s="618">
        <f t="shared" si="1"/>
        <v>0</v>
      </c>
      <c r="F37" s="617"/>
      <c r="G37" s="617"/>
      <c r="H37" s="619">
        <f t="shared" si="0"/>
        <v>0</v>
      </c>
    </row>
    <row r="38" spans="1:8" ht="15.75">
      <c r="A38" s="77">
        <v>6.6</v>
      </c>
      <c r="B38" s="236" t="s">
        <v>316</v>
      </c>
      <c r="C38" s="617"/>
      <c r="D38" s="617"/>
      <c r="E38" s="618">
        <f t="shared" si="1"/>
        <v>0</v>
      </c>
      <c r="F38" s="617"/>
      <c r="G38" s="617"/>
      <c r="H38" s="619">
        <f t="shared" si="0"/>
        <v>0</v>
      </c>
    </row>
    <row r="39" spans="1:8" ht="15.75">
      <c r="A39" s="77">
        <v>6.7</v>
      </c>
      <c r="B39" s="236" t="s">
        <v>317</v>
      </c>
      <c r="C39" s="617"/>
      <c r="D39" s="617"/>
      <c r="E39" s="618">
        <f t="shared" si="1"/>
        <v>0</v>
      </c>
      <c r="F39" s="617"/>
      <c r="G39" s="617"/>
      <c r="H39" s="619">
        <f t="shared" si="0"/>
        <v>0</v>
      </c>
    </row>
    <row r="40" spans="1:8" ht="15.75">
      <c r="A40" s="77">
        <v>7</v>
      </c>
      <c r="B40" s="191" t="s">
        <v>320</v>
      </c>
      <c r="C40" s="617"/>
      <c r="D40" s="617"/>
      <c r="E40" s="618">
        <f t="shared" si="1"/>
        <v>0</v>
      </c>
      <c r="F40" s="617"/>
      <c r="G40" s="617"/>
      <c r="H40" s="619">
        <f t="shared" si="0"/>
        <v>0</v>
      </c>
    </row>
    <row r="41" spans="1:8" ht="15.75">
      <c r="A41" s="77">
        <v>7.1</v>
      </c>
      <c r="B41" s="190" t="s">
        <v>321</v>
      </c>
      <c r="C41" s="617">
        <v>9075493.0599999987</v>
      </c>
      <c r="D41" s="617">
        <v>62731.130000000005</v>
      </c>
      <c r="E41" s="618">
        <f t="shared" si="1"/>
        <v>9138224.1899999995</v>
      </c>
      <c r="F41" s="617">
        <v>163082.59999999998</v>
      </c>
      <c r="G41" s="617">
        <v>0</v>
      </c>
      <c r="H41" s="619">
        <f t="shared" si="0"/>
        <v>163082.59999999998</v>
      </c>
    </row>
    <row r="42" spans="1:8" ht="25.5">
      <c r="A42" s="77">
        <v>7.2</v>
      </c>
      <c r="B42" s="190" t="s">
        <v>322</v>
      </c>
      <c r="C42" s="617">
        <v>3367148.0800000168</v>
      </c>
      <c r="D42" s="617">
        <v>4616651.5099999895</v>
      </c>
      <c r="E42" s="618">
        <f t="shared" si="1"/>
        <v>7983799.5900000064</v>
      </c>
      <c r="F42" s="617">
        <v>2738087.77</v>
      </c>
      <c r="G42" s="617">
        <v>5533863.3199999779</v>
      </c>
      <c r="H42" s="619">
        <f t="shared" si="0"/>
        <v>8271951.0899999775</v>
      </c>
    </row>
    <row r="43" spans="1:8" ht="25.5">
      <c r="A43" s="77">
        <v>7.3</v>
      </c>
      <c r="B43" s="190" t="s">
        <v>325</v>
      </c>
      <c r="C43" s="617">
        <v>14114491.579999998</v>
      </c>
      <c r="D43" s="617">
        <v>9515498.4800000004</v>
      </c>
      <c r="E43" s="618">
        <f t="shared" si="1"/>
        <v>23629990.059999999</v>
      </c>
      <c r="F43" s="617">
        <v>4887698.6399999987</v>
      </c>
      <c r="G43" s="617">
        <v>8531590.9299999997</v>
      </c>
      <c r="H43" s="619">
        <f t="shared" si="0"/>
        <v>13419289.569999998</v>
      </c>
    </row>
    <row r="44" spans="1:8" ht="25.5">
      <c r="A44" s="77">
        <v>7.4</v>
      </c>
      <c r="B44" s="190" t="s">
        <v>326</v>
      </c>
      <c r="C44" s="617">
        <v>62085777.949996509</v>
      </c>
      <c r="D44" s="617">
        <v>134333033.95000535</v>
      </c>
      <c r="E44" s="618">
        <f t="shared" si="1"/>
        <v>196418811.90000185</v>
      </c>
      <c r="F44" s="617">
        <v>60215409.519996502</v>
      </c>
      <c r="G44" s="617">
        <v>136476911.39000121</v>
      </c>
      <c r="H44" s="619">
        <f t="shared" si="0"/>
        <v>196692320.9099977</v>
      </c>
    </row>
    <row r="45" spans="1:8" ht="15.75">
      <c r="A45" s="77">
        <v>8</v>
      </c>
      <c r="B45" s="191" t="s">
        <v>303</v>
      </c>
      <c r="C45" s="617">
        <v>1222826.442576</v>
      </c>
      <c r="D45" s="617">
        <v>0</v>
      </c>
      <c r="E45" s="618">
        <f>SUM(E46:E52)</f>
        <v>1222826.442576</v>
      </c>
      <c r="F45" s="617">
        <v>1202405.4467519999</v>
      </c>
      <c r="G45" s="617">
        <v>0</v>
      </c>
      <c r="H45" s="619">
        <f t="shared" si="0"/>
        <v>1202405.4467519999</v>
      </c>
    </row>
    <row r="46" spans="1:8" ht="15.75">
      <c r="A46" s="77">
        <v>8.1</v>
      </c>
      <c r="B46" s="234" t="s">
        <v>327</v>
      </c>
      <c r="C46" s="617">
        <v>91840.110576000006</v>
      </c>
      <c r="D46" s="617">
        <v>0</v>
      </c>
      <c r="E46" s="618">
        <f t="shared" si="1"/>
        <v>91840.110576000006</v>
      </c>
      <c r="F46" s="617">
        <v>102303.77275200002</v>
      </c>
      <c r="G46" s="617">
        <v>0</v>
      </c>
      <c r="H46" s="619">
        <f t="shared" si="0"/>
        <v>102303.77275200002</v>
      </c>
    </row>
    <row r="47" spans="1:8" ht="15.75">
      <c r="A47" s="77">
        <v>8.1999999999999993</v>
      </c>
      <c r="B47" s="234" t="s">
        <v>328</v>
      </c>
      <c r="C47" s="617">
        <v>1058365.352</v>
      </c>
      <c r="D47" s="617">
        <v>0</v>
      </c>
      <c r="E47" s="618">
        <f t="shared" si="1"/>
        <v>1058365.352</v>
      </c>
      <c r="F47" s="617">
        <v>1051002.4939999999</v>
      </c>
      <c r="G47" s="617">
        <v>0</v>
      </c>
      <c r="H47" s="619">
        <f t="shared" si="0"/>
        <v>1051002.4939999999</v>
      </c>
    </row>
    <row r="48" spans="1:8" ht="15.75">
      <c r="A48" s="77">
        <v>8.3000000000000007</v>
      </c>
      <c r="B48" s="234" t="s">
        <v>329</v>
      </c>
      <c r="C48" s="617">
        <v>49084.332000000002</v>
      </c>
      <c r="D48" s="617">
        <v>0</v>
      </c>
      <c r="E48" s="618">
        <f t="shared" si="1"/>
        <v>49084.332000000002</v>
      </c>
      <c r="F48" s="617">
        <v>34914.46</v>
      </c>
      <c r="G48" s="617">
        <v>0</v>
      </c>
      <c r="H48" s="619">
        <f t="shared" si="0"/>
        <v>34914.46</v>
      </c>
    </row>
    <row r="49" spans="1:8" ht="15.75">
      <c r="A49" s="77">
        <v>8.4</v>
      </c>
      <c r="B49" s="234" t="s">
        <v>330</v>
      </c>
      <c r="C49" s="617">
        <v>23536.648000000001</v>
      </c>
      <c r="D49" s="617">
        <v>0</v>
      </c>
      <c r="E49" s="618">
        <f t="shared" si="1"/>
        <v>23536.648000000001</v>
      </c>
      <c r="F49" s="617">
        <v>11184.72</v>
      </c>
      <c r="G49" s="617">
        <v>0</v>
      </c>
      <c r="H49" s="619">
        <f t="shared" si="0"/>
        <v>11184.72</v>
      </c>
    </row>
    <row r="50" spans="1:8" ht="15.75">
      <c r="A50" s="77">
        <v>8.5</v>
      </c>
      <c r="B50" s="234" t="s">
        <v>331</v>
      </c>
      <c r="C50" s="617">
        <v>0</v>
      </c>
      <c r="D50" s="617">
        <v>0</v>
      </c>
      <c r="E50" s="618">
        <f t="shared" si="1"/>
        <v>0</v>
      </c>
      <c r="F50" s="617">
        <v>3000</v>
      </c>
      <c r="G50" s="617">
        <v>0</v>
      </c>
      <c r="H50" s="619">
        <f t="shared" si="0"/>
        <v>3000</v>
      </c>
    </row>
    <row r="51" spans="1:8" ht="15.75">
      <c r="A51" s="77">
        <v>8.6</v>
      </c>
      <c r="B51" s="234" t="s">
        <v>332</v>
      </c>
      <c r="C51" s="617">
        <v>0</v>
      </c>
      <c r="D51" s="617">
        <v>0</v>
      </c>
      <c r="E51" s="618">
        <f t="shared" si="1"/>
        <v>0</v>
      </c>
      <c r="F51" s="617">
        <v>0</v>
      </c>
      <c r="G51" s="617">
        <v>0</v>
      </c>
      <c r="H51" s="619">
        <f t="shared" si="0"/>
        <v>0</v>
      </c>
    </row>
    <row r="52" spans="1:8" ht="15.75">
      <c r="A52" s="77">
        <v>8.6999999999999993</v>
      </c>
      <c r="B52" s="234" t="s">
        <v>333</v>
      </c>
      <c r="C52" s="617">
        <v>0</v>
      </c>
      <c r="D52" s="617">
        <v>0</v>
      </c>
      <c r="E52" s="618">
        <f t="shared" si="1"/>
        <v>0</v>
      </c>
      <c r="F52" s="617">
        <v>0</v>
      </c>
      <c r="G52" s="617">
        <v>0</v>
      </c>
      <c r="H52" s="619">
        <f t="shared" si="0"/>
        <v>0</v>
      </c>
    </row>
    <row r="53" spans="1:8" ht="16.5" thickBot="1">
      <c r="A53" s="193">
        <v>9</v>
      </c>
      <c r="B53" s="194" t="s">
        <v>323</v>
      </c>
      <c r="C53" s="620"/>
      <c r="D53" s="620"/>
      <c r="E53" s="621">
        <f t="shared" si="1"/>
        <v>0</v>
      </c>
      <c r="F53" s="620"/>
      <c r="G53" s="620"/>
      <c r="H53" s="62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9.5703125" style="4" bestFit="1" customWidth="1"/>
    <col min="2" max="2" width="93.5703125" style="4" customWidth="1"/>
    <col min="3" max="4" width="13.7109375" style="4" customWidth="1"/>
    <col min="5" max="7" width="13.7109375" style="31" customWidth="1"/>
    <col min="8" max="11" width="9.7109375" style="31" customWidth="1"/>
    <col min="12" max="16384" width="9.28515625" style="31"/>
  </cols>
  <sheetData>
    <row r="1" spans="1:7">
      <c r="A1" s="2" t="s">
        <v>30</v>
      </c>
      <c r="B1" s="3" t="str">
        <f>'Info '!C2</f>
        <v>JSC CARTU BANK</v>
      </c>
      <c r="C1" s="3"/>
    </row>
    <row r="2" spans="1:7">
      <c r="A2" s="2" t="s">
        <v>31</v>
      </c>
      <c r="B2" s="370">
        <f>'1. key ratios '!B2</f>
        <v>44742</v>
      </c>
      <c r="C2" s="3"/>
    </row>
    <row r="3" spans="1:7">
      <c r="A3" s="2"/>
      <c r="B3" s="3"/>
      <c r="C3" s="3"/>
    </row>
    <row r="4" spans="1:7" ht="15" customHeight="1" thickBot="1">
      <c r="A4" s="4" t="s">
        <v>198</v>
      </c>
      <c r="B4" s="137" t="s">
        <v>297</v>
      </c>
      <c r="C4" s="49" t="s">
        <v>73</v>
      </c>
    </row>
    <row r="5" spans="1:7" ht="15" customHeight="1">
      <c r="A5" s="221" t="s">
        <v>6</v>
      </c>
      <c r="B5" s="222"/>
      <c r="C5" s="368" t="str">
        <f>INT((MONTH($B$2))/3)&amp;"Q"&amp;"-"&amp;YEAR($B$2)</f>
        <v>2Q-2022</v>
      </c>
      <c r="D5" s="368" t="str">
        <f>IF(INT(MONTH($B$2))=3, "4"&amp;"Q"&amp;"-"&amp;YEAR($B$2)-1, IF(INT(MONTH($B$2))=6, "1"&amp;"Q"&amp;"-"&amp;YEAR($B$2), IF(INT(MONTH($B$2))=9, "2"&amp;"Q"&amp;"-"&amp;YEAR($B$2),IF(INT(MONTH($B$2))=12, "3"&amp;"Q"&amp;"-"&amp;YEAR($B$2), 0))))</f>
        <v>1Q-2022</v>
      </c>
      <c r="E5" s="368" t="str">
        <f>IF(INT(MONTH($B$2))=3, "3"&amp;"Q"&amp;"-"&amp;YEAR($B$2)-1, IF(INT(MONTH($B$2))=6, "4"&amp;"Q"&amp;"-"&amp;YEAR($B$2)-1, IF(INT(MONTH($B$2))=9, "1"&amp;"Q"&amp;"-"&amp;YEAR($B$2),IF(INT(MONTH($B$2))=12, "2"&amp;"Q"&amp;"-"&amp;YEAR($B$2), 0))))</f>
        <v>4Q-2021</v>
      </c>
      <c r="F5" s="368" t="str">
        <f>IF(INT(MONTH($B$2))=3, "2"&amp;"Q"&amp;"-"&amp;YEAR($B$2)-1, IF(INT(MONTH($B$2))=6, "3"&amp;"Q"&amp;"-"&amp;YEAR($B$2)-1, IF(INT(MONTH($B$2))=9, "4"&amp;"Q"&amp;"-"&amp;YEAR($B$2)-1,IF(INT(MONTH($B$2))=12, "1"&amp;"Q"&amp;"-"&amp;YEAR($B$2), 0))))</f>
        <v>3Q-2021</v>
      </c>
      <c r="G5" s="369" t="str">
        <f>IF(INT(MONTH($B$2))=3, "1"&amp;"Q"&amp;"-"&amp;YEAR($B$2)-1, IF(INT(MONTH($B$2))=6, "2"&amp;"Q"&amp;"-"&amp;YEAR($B$2)-1, IF(INT(MONTH($B$2))=9, "3"&amp;"Q"&amp;"-"&amp;YEAR($B$2)-1,IF(INT(MONTH($B$2))=12, "4"&amp;"Q"&amp;"-"&amp;YEAR($B$2)-1, 0))))</f>
        <v>2Q-2021</v>
      </c>
    </row>
    <row r="6" spans="1:7" ht="15" customHeight="1">
      <c r="A6" s="50">
        <v>1</v>
      </c>
      <c r="B6" s="310" t="s">
        <v>301</v>
      </c>
      <c r="C6" s="623">
        <f>C7+C9+C10</f>
        <v>1193624491.8101244</v>
      </c>
      <c r="D6" s="624">
        <f>D7+D9+D10</f>
        <v>1214652459.9997916</v>
      </c>
      <c r="E6" s="624">
        <f t="shared" ref="E6:G6" si="0">E7+E9+E10</f>
        <v>1161153557.2589002</v>
      </c>
      <c r="F6" s="623">
        <f t="shared" si="0"/>
        <v>1174630332.3047283</v>
      </c>
      <c r="G6" s="625">
        <f t="shared" si="0"/>
        <v>1233193198.9992094</v>
      </c>
    </row>
    <row r="7" spans="1:7" ht="15" customHeight="1">
      <c r="A7" s="50">
        <v>1.1000000000000001</v>
      </c>
      <c r="B7" s="310" t="s">
        <v>481</v>
      </c>
      <c r="C7" s="626">
        <v>1164932546.5300364</v>
      </c>
      <c r="D7" s="627">
        <v>1189270401.6807432</v>
      </c>
      <c r="E7" s="627">
        <v>1128092368.3730202</v>
      </c>
      <c r="F7" s="626">
        <v>1131607065.0510361</v>
      </c>
      <c r="G7" s="628">
        <v>1203787592.3812177</v>
      </c>
    </row>
    <row r="8" spans="1:7">
      <c r="A8" s="50" t="s">
        <v>14</v>
      </c>
      <c r="B8" s="310" t="s">
        <v>197</v>
      </c>
      <c r="C8" s="626">
        <v>43188477.5</v>
      </c>
      <c r="D8" s="627">
        <v>39590050</v>
      </c>
      <c r="E8" s="627">
        <v>40402657.5</v>
      </c>
      <c r="F8" s="626">
        <v>40152727.5</v>
      </c>
      <c r="G8" s="628">
        <v>39042007.5</v>
      </c>
    </row>
    <row r="9" spans="1:7" ht="15" customHeight="1">
      <c r="A9" s="50">
        <v>1.2</v>
      </c>
      <c r="B9" s="311" t="s">
        <v>196</v>
      </c>
      <c r="C9" s="626">
        <v>28691945.280088007</v>
      </c>
      <c r="D9" s="627">
        <v>24906790.31904849</v>
      </c>
      <c r="E9" s="627">
        <v>32460740.885879934</v>
      </c>
      <c r="F9" s="626">
        <v>42189467.253692165</v>
      </c>
      <c r="G9" s="628">
        <v>28803878.617991645</v>
      </c>
    </row>
    <row r="10" spans="1:7" ht="15" customHeight="1">
      <c r="A10" s="50">
        <v>1.3</v>
      </c>
      <c r="B10" s="310" t="s">
        <v>28</v>
      </c>
      <c r="C10" s="626">
        <v>0</v>
      </c>
      <c r="D10" s="627">
        <v>475268</v>
      </c>
      <c r="E10" s="627">
        <v>600448</v>
      </c>
      <c r="F10" s="626">
        <v>833800</v>
      </c>
      <c r="G10" s="628">
        <v>601728</v>
      </c>
    </row>
    <row r="11" spans="1:7" ht="15" customHeight="1">
      <c r="A11" s="50">
        <v>2</v>
      </c>
      <c r="B11" s="310" t="s">
        <v>298</v>
      </c>
      <c r="C11" s="626">
        <v>55215475.841529138</v>
      </c>
      <c r="D11" s="627">
        <v>41213261.31616801</v>
      </c>
      <c r="E11" s="627">
        <v>32703895.311471444</v>
      </c>
      <c r="F11" s="626">
        <v>43545013.770006515</v>
      </c>
      <c r="G11" s="628">
        <v>30807802.803780936</v>
      </c>
    </row>
    <row r="12" spans="1:7" ht="15" customHeight="1">
      <c r="A12" s="50">
        <v>3</v>
      </c>
      <c r="B12" s="310" t="s">
        <v>299</v>
      </c>
      <c r="C12" s="626">
        <v>105286124.37499999</v>
      </c>
      <c r="D12" s="627">
        <v>105286124.37499999</v>
      </c>
      <c r="E12" s="627">
        <v>105286124.37499999</v>
      </c>
      <c r="F12" s="626">
        <v>100202502.49999999</v>
      </c>
      <c r="G12" s="628">
        <v>100202502.49999999</v>
      </c>
    </row>
    <row r="13" spans="1:7" ht="15" customHeight="1" thickBot="1">
      <c r="A13" s="52">
        <v>4</v>
      </c>
      <c r="B13" s="53" t="s">
        <v>300</v>
      </c>
      <c r="C13" s="312">
        <f>C6+C11+C12</f>
        <v>1354126092.0266535</v>
      </c>
      <c r="D13" s="366">
        <f>D6+D11+D12</f>
        <v>1361151845.6909597</v>
      </c>
      <c r="E13" s="366">
        <f t="shared" ref="E13:G13" si="1">E6+E11+E12</f>
        <v>1299143576.9453716</v>
      </c>
      <c r="F13" s="312">
        <f t="shared" si="1"/>
        <v>1318377848.5747347</v>
      </c>
      <c r="G13" s="367">
        <f t="shared" si="1"/>
        <v>1364203504.3029904</v>
      </c>
    </row>
    <row r="14" spans="1:7">
      <c r="B14" s="56"/>
    </row>
    <row r="15" spans="1:7" ht="25.5">
      <c r="B15" s="56" t="s">
        <v>482</v>
      </c>
    </row>
    <row r="16" spans="1:7">
      <c r="B16" s="56"/>
    </row>
    <row r="17" s="31" customFormat="1" ht="11.25"/>
    <row r="18" s="31" customFormat="1" ht="11.25"/>
    <row r="19" s="31" customFormat="1" ht="11.25"/>
    <row r="20" s="31" customFormat="1" ht="11.25"/>
    <row r="21" s="31" customFormat="1" ht="11.25"/>
    <row r="22" s="31" customFormat="1" ht="11.25"/>
    <row r="23" s="31" customFormat="1" ht="11.25"/>
    <row r="24" s="31" customFormat="1" ht="11.25"/>
    <row r="25" s="31" customFormat="1" ht="11.25"/>
    <row r="26" s="31" customFormat="1" ht="11.25"/>
    <row r="27" s="31" customFormat="1" ht="11.25"/>
    <row r="28" s="31" customFormat="1" ht="11.25"/>
    <row r="29" s="31"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pane="topRight"/>
      <selection pane="bottomLeft"/>
      <selection pane="bottomRight"/>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CARTU BANK</v>
      </c>
    </row>
    <row r="2" spans="1:8">
      <c r="A2" s="2" t="s">
        <v>31</v>
      </c>
      <c r="B2" s="370">
        <f>'1. key ratios '!B2</f>
        <v>44742</v>
      </c>
    </row>
    <row r="4" spans="1:8" ht="28.15" customHeight="1" thickBot="1">
      <c r="A4" s="57" t="s">
        <v>80</v>
      </c>
      <c r="B4" s="58" t="s">
        <v>267</v>
      </c>
      <c r="C4" s="59"/>
    </row>
    <row r="5" spans="1:8">
      <c r="A5" s="60"/>
      <c r="B5" s="361" t="s">
        <v>81</v>
      </c>
      <c r="C5" s="362" t="s">
        <v>495</v>
      </c>
    </row>
    <row r="6" spans="1:8">
      <c r="A6" s="61">
        <v>1</v>
      </c>
      <c r="B6" s="491" t="s">
        <v>712</v>
      </c>
      <c r="C6" s="492" t="s">
        <v>716</v>
      </c>
    </row>
    <row r="7" spans="1:8">
      <c r="A7" s="61">
        <v>2</v>
      </c>
      <c r="B7" s="491" t="s">
        <v>717</v>
      </c>
      <c r="C7" s="492" t="s">
        <v>718</v>
      </c>
    </row>
    <row r="8" spans="1:8">
      <c r="A8" s="61">
        <v>3</v>
      </c>
      <c r="B8" s="491" t="s">
        <v>719</v>
      </c>
      <c r="C8" s="492" t="s">
        <v>720</v>
      </c>
    </row>
    <row r="9" spans="1:8">
      <c r="A9" s="61">
        <v>4</v>
      </c>
      <c r="B9" s="491" t="s">
        <v>721</v>
      </c>
      <c r="C9" s="492" t="s">
        <v>720</v>
      </c>
    </row>
    <row r="10" spans="1:8">
      <c r="A10" s="61">
        <v>5</v>
      </c>
      <c r="B10" s="491" t="s">
        <v>722</v>
      </c>
      <c r="C10" s="492" t="s">
        <v>718</v>
      </c>
    </row>
    <row r="11" spans="1:8">
      <c r="A11" s="61">
        <v>6</v>
      </c>
      <c r="B11" s="62"/>
      <c r="C11" s="63"/>
    </row>
    <row r="12" spans="1:8">
      <c r="A12" s="61">
        <v>7</v>
      </c>
      <c r="B12" s="62"/>
      <c r="C12" s="63"/>
      <c r="H12" s="64"/>
    </row>
    <row r="13" spans="1:8">
      <c r="A13" s="61">
        <v>8</v>
      </c>
      <c r="B13" s="62"/>
      <c r="C13" s="63"/>
    </row>
    <row r="14" spans="1:8">
      <c r="A14" s="61">
        <v>9</v>
      </c>
      <c r="B14" s="62"/>
      <c r="C14" s="63"/>
    </row>
    <row r="15" spans="1:8">
      <c r="A15" s="61">
        <v>10</v>
      </c>
      <c r="B15" s="62"/>
      <c r="C15" s="63"/>
    </row>
    <row r="16" spans="1:8">
      <c r="A16" s="61"/>
      <c r="B16" s="363"/>
      <c r="C16" s="364"/>
    </row>
    <row r="17" spans="1:3" ht="25.5">
      <c r="A17" s="61"/>
      <c r="B17" s="200" t="s">
        <v>82</v>
      </c>
      <c r="C17" s="365" t="s">
        <v>496</v>
      </c>
    </row>
    <row r="18" spans="1:3">
      <c r="A18" s="61">
        <v>1</v>
      </c>
      <c r="B18" s="491" t="s">
        <v>713</v>
      </c>
      <c r="C18" s="493" t="s">
        <v>723</v>
      </c>
    </row>
    <row r="19" spans="1:3">
      <c r="A19" s="61">
        <v>2</v>
      </c>
      <c r="B19" s="491" t="s">
        <v>724</v>
      </c>
      <c r="C19" s="493" t="s">
        <v>725</v>
      </c>
    </row>
    <row r="20" spans="1:3">
      <c r="A20" s="61">
        <v>3</v>
      </c>
      <c r="B20" s="491" t="s">
        <v>726</v>
      </c>
      <c r="C20" s="493" t="s">
        <v>727</v>
      </c>
    </row>
    <row r="21" spans="1:3">
      <c r="A21" s="61">
        <v>4</v>
      </c>
      <c r="B21" s="491" t="s">
        <v>728</v>
      </c>
      <c r="C21" s="493" t="s">
        <v>729</v>
      </c>
    </row>
    <row r="22" spans="1:3">
      <c r="A22" s="61">
        <v>5</v>
      </c>
      <c r="B22" s="491" t="s">
        <v>730</v>
      </c>
      <c r="C22" s="493" t="s">
        <v>779</v>
      </c>
    </row>
    <row r="23" spans="1:3">
      <c r="A23" s="61">
        <v>6</v>
      </c>
      <c r="B23" s="62" t="s">
        <v>778</v>
      </c>
      <c r="C23" s="66" t="s">
        <v>780</v>
      </c>
    </row>
    <row r="24" spans="1:3">
      <c r="A24" s="61">
        <v>7</v>
      </c>
      <c r="B24" s="62"/>
      <c r="C24" s="65"/>
    </row>
    <row r="25" spans="1:3">
      <c r="A25" s="61">
        <v>8</v>
      </c>
      <c r="B25" s="62"/>
      <c r="C25" s="65"/>
    </row>
    <row r="26" spans="1:3">
      <c r="A26" s="61">
        <v>9</v>
      </c>
      <c r="B26" s="62"/>
      <c r="C26" s="65"/>
    </row>
    <row r="27" spans="1:3" ht="15.75" customHeight="1">
      <c r="A27" s="61">
        <v>10</v>
      </c>
      <c r="B27" s="62"/>
      <c r="C27" s="66"/>
    </row>
    <row r="28" spans="1:3" ht="15.75" customHeight="1">
      <c r="A28" s="61"/>
      <c r="B28" s="62"/>
      <c r="C28" s="66"/>
    </row>
    <row r="29" spans="1:3" ht="30" customHeight="1">
      <c r="A29" s="61"/>
      <c r="B29" s="650" t="s">
        <v>83</v>
      </c>
      <c r="C29" s="651"/>
    </row>
    <row r="30" spans="1:3">
      <c r="A30" s="61">
        <v>1</v>
      </c>
      <c r="B30" s="491" t="s">
        <v>731</v>
      </c>
      <c r="C30" s="494">
        <v>1</v>
      </c>
    </row>
    <row r="31" spans="1:3" ht="15.75" customHeight="1">
      <c r="A31" s="61"/>
      <c r="B31" s="62"/>
      <c r="C31" s="63"/>
    </row>
    <row r="32" spans="1:3" ht="29.25" customHeight="1">
      <c r="A32" s="61"/>
      <c r="B32" s="650" t="s">
        <v>84</v>
      </c>
      <c r="C32" s="651"/>
    </row>
    <row r="33" spans="1:3">
      <c r="A33" s="61">
        <v>1</v>
      </c>
      <c r="B33" s="491" t="s">
        <v>732</v>
      </c>
      <c r="C33" s="494">
        <v>1</v>
      </c>
    </row>
    <row r="34" spans="1:3" ht="15" thickBot="1">
      <c r="A34" s="67"/>
      <c r="B34" s="68"/>
      <c r="C34" s="69"/>
    </row>
  </sheetData>
  <mergeCells count="2">
    <mergeCell ref="B32:C32"/>
    <mergeCell ref="B29:C29"/>
  </mergeCells>
  <dataValidations disablePrompts="1"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6" activePane="bottomRight" state="frozen"/>
      <selection pane="topRight"/>
      <selection pane="bottomLeft"/>
      <selection pane="bottomRight"/>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55" t="s">
        <v>30</v>
      </c>
      <c r="B1" s="3" t="str">
        <f>'Info '!C2</f>
        <v>JSC CARTU BANK</v>
      </c>
    </row>
    <row r="2" spans="1:5" s="2" customFormat="1" ht="15.75" customHeight="1">
      <c r="A2" s="55" t="s">
        <v>31</v>
      </c>
      <c r="B2" s="370">
        <f>'1. key ratios '!B2</f>
        <v>44742</v>
      </c>
    </row>
    <row r="3" spans="1:5" s="2" customFormat="1" ht="15.75" customHeight="1">
      <c r="A3" s="55"/>
    </row>
    <row r="4" spans="1:5" s="2" customFormat="1" ht="15.75" customHeight="1" thickBot="1">
      <c r="A4" s="260" t="s">
        <v>202</v>
      </c>
      <c r="B4" s="656" t="s">
        <v>347</v>
      </c>
      <c r="C4" s="657"/>
      <c r="D4" s="657"/>
      <c r="E4" s="657"/>
    </row>
    <row r="5" spans="1:5" s="73" customFormat="1" ht="17.649999999999999" customHeight="1">
      <c r="A5" s="205"/>
      <c r="B5" s="206"/>
      <c r="C5" s="71" t="s">
        <v>0</v>
      </c>
      <c r="D5" s="71" t="s">
        <v>1</v>
      </c>
      <c r="E5" s="72" t="s">
        <v>2</v>
      </c>
    </row>
    <row r="6" spans="1:5" ht="14.65" customHeight="1">
      <c r="A6" s="151"/>
      <c r="B6" s="652" t="s">
        <v>354</v>
      </c>
      <c r="C6" s="652" t="s">
        <v>93</v>
      </c>
      <c r="D6" s="654" t="s">
        <v>201</v>
      </c>
      <c r="E6" s="655"/>
    </row>
    <row r="7" spans="1:5" ht="99.6" customHeight="1">
      <c r="A7" s="151"/>
      <c r="B7" s="653"/>
      <c r="C7" s="652"/>
      <c r="D7" s="292" t="s">
        <v>200</v>
      </c>
      <c r="E7" s="293" t="s">
        <v>355</v>
      </c>
    </row>
    <row r="8" spans="1:5">
      <c r="A8" s="74">
        <v>1</v>
      </c>
      <c r="B8" s="294" t="s">
        <v>35</v>
      </c>
      <c r="C8" s="495">
        <v>21552979</v>
      </c>
      <c r="D8" s="495"/>
      <c r="E8" s="496">
        <v>21552979</v>
      </c>
    </row>
    <row r="9" spans="1:5">
      <c r="A9" s="74">
        <v>2</v>
      </c>
      <c r="B9" s="294" t="s">
        <v>36</v>
      </c>
      <c r="C9" s="495">
        <v>249114282</v>
      </c>
      <c r="D9" s="495"/>
      <c r="E9" s="496">
        <v>249114282</v>
      </c>
    </row>
    <row r="10" spans="1:5">
      <c r="A10" s="74">
        <v>3</v>
      </c>
      <c r="B10" s="294" t="s">
        <v>37</v>
      </c>
      <c r="C10" s="495">
        <v>347802556.99000001</v>
      </c>
      <c r="D10" s="495"/>
      <c r="E10" s="496">
        <v>347802556.99000001</v>
      </c>
    </row>
    <row r="11" spans="1:5">
      <c r="A11" s="74">
        <v>4</v>
      </c>
      <c r="B11" s="294" t="s">
        <v>38</v>
      </c>
      <c r="C11" s="495">
        <v>0</v>
      </c>
      <c r="D11" s="495"/>
      <c r="E11" s="496">
        <v>0</v>
      </c>
    </row>
    <row r="12" spans="1:5">
      <c r="A12" s="74">
        <v>5</v>
      </c>
      <c r="B12" s="294" t="s">
        <v>39</v>
      </c>
      <c r="C12" s="495">
        <v>30814220</v>
      </c>
      <c r="D12" s="495">
        <v>-178780</v>
      </c>
      <c r="E12" s="496">
        <v>30993000</v>
      </c>
    </row>
    <row r="13" spans="1:5">
      <c r="A13" s="74">
        <v>6.1</v>
      </c>
      <c r="B13" s="295" t="s">
        <v>40</v>
      </c>
      <c r="C13" s="497">
        <v>830195780</v>
      </c>
      <c r="D13" s="495"/>
      <c r="E13" s="496">
        <v>830195780</v>
      </c>
    </row>
    <row r="14" spans="1:5">
      <c r="A14" s="74">
        <v>6.2</v>
      </c>
      <c r="B14" s="296" t="s">
        <v>41</v>
      </c>
      <c r="C14" s="498">
        <v>-136006167</v>
      </c>
      <c r="D14" s="499"/>
      <c r="E14" s="500">
        <v>-136006167</v>
      </c>
    </row>
    <row r="15" spans="1:5">
      <c r="A15" s="74">
        <v>6</v>
      </c>
      <c r="B15" s="294" t="s">
        <v>42</v>
      </c>
      <c r="C15" s="495">
        <v>694189613</v>
      </c>
      <c r="D15" s="495"/>
      <c r="E15" s="496">
        <v>694189613</v>
      </c>
    </row>
    <row r="16" spans="1:5">
      <c r="A16" s="74">
        <v>7</v>
      </c>
      <c r="B16" s="294" t="s">
        <v>43</v>
      </c>
      <c r="C16" s="495">
        <v>26884010</v>
      </c>
      <c r="D16" s="495"/>
      <c r="E16" s="496">
        <v>26884010</v>
      </c>
    </row>
    <row r="17" spans="1:7">
      <c r="A17" s="74">
        <v>8</v>
      </c>
      <c r="B17" s="294" t="s">
        <v>199</v>
      </c>
      <c r="C17" s="495">
        <v>16316748</v>
      </c>
      <c r="D17" s="495"/>
      <c r="E17" s="496">
        <v>16316748</v>
      </c>
      <c r="F17" s="75"/>
      <c r="G17" s="75"/>
    </row>
    <row r="18" spans="1:7">
      <c r="A18" s="74">
        <v>9</v>
      </c>
      <c r="B18" s="294" t="s">
        <v>44</v>
      </c>
      <c r="C18" s="495">
        <v>7793239</v>
      </c>
      <c r="D18" s="495"/>
      <c r="E18" s="496">
        <v>7793239</v>
      </c>
      <c r="G18" s="75"/>
    </row>
    <row r="19" spans="1:7">
      <c r="A19" s="74">
        <v>10</v>
      </c>
      <c r="B19" s="294" t="s">
        <v>45</v>
      </c>
      <c r="C19" s="495">
        <v>19329360</v>
      </c>
      <c r="D19" s="495">
        <v>3542072</v>
      </c>
      <c r="E19" s="496">
        <v>15787288</v>
      </c>
      <c r="G19" s="75"/>
    </row>
    <row r="20" spans="1:7">
      <c r="A20" s="74">
        <v>11</v>
      </c>
      <c r="B20" s="294" t="s">
        <v>46</v>
      </c>
      <c r="C20" s="495">
        <v>28230329.010000002</v>
      </c>
      <c r="D20" s="495">
        <v>0</v>
      </c>
      <c r="E20" s="496">
        <v>28230329.010000002</v>
      </c>
    </row>
    <row r="21" spans="1:7" ht="26.25" thickBot="1">
      <c r="A21" s="154"/>
      <c r="B21" s="261" t="s">
        <v>357</v>
      </c>
      <c r="C21" s="207">
        <f>SUM(C8:C12, C15:C20)</f>
        <v>1442027337</v>
      </c>
      <c r="D21" s="207">
        <f>SUM(D8:D12, D15:D20)</f>
        <v>3363292</v>
      </c>
      <c r="E21" s="297">
        <f>SUM(E8:E12, E15:E20)</f>
        <v>1438664045</v>
      </c>
    </row>
    <row r="22" spans="1:7">
      <c r="A22" s="5"/>
      <c r="B22" s="5"/>
      <c r="C22" s="5"/>
      <c r="D22" s="5"/>
      <c r="E22" s="5"/>
    </row>
    <row r="23" spans="1:7">
      <c r="A23" s="5"/>
      <c r="B23" s="5"/>
      <c r="C23" s="5"/>
      <c r="D23" s="5"/>
      <c r="E23" s="5"/>
    </row>
    <row r="25" spans="1:7" s="4" customFormat="1">
      <c r="B25" s="76"/>
      <c r="F25" s="5"/>
      <c r="G25" s="5"/>
    </row>
    <row r="26" spans="1:7" s="4" customFormat="1">
      <c r="B26" s="76"/>
      <c r="F26" s="5"/>
      <c r="G26" s="5"/>
    </row>
    <row r="27" spans="1:7" s="4" customFormat="1">
      <c r="B27" s="76"/>
      <c r="F27" s="5"/>
      <c r="G27" s="5"/>
    </row>
    <row r="28" spans="1:7" s="4" customFormat="1">
      <c r="B28" s="76"/>
      <c r="F28" s="5"/>
      <c r="G28" s="5"/>
    </row>
    <row r="29" spans="1:7" s="4" customFormat="1">
      <c r="B29" s="76"/>
      <c r="F29" s="5"/>
      <c r="G29" s="5"/>
    </row>
    <row r="30" spans="1:7" s="4" customFormat="1">
      <c r="B30" s="76"/>
      <c r="F30" s="5"/>
      <c r="G30" s="5"/>
    </row>
    <row r="31" spans="1:7" s="4" customFormat="1">
      <c r="B31" s="76"/>
      <c r="F31" s="5"/>
      <c r="G31" s="5"/>
    </row>
    <row r="32" spans="1:7" s="4" customFormat="1">
      <c r="B32" s="76"/>
      <c r="F32" s="5"/>
      <c r="G32" s="5"/>
    </row>
    <row r="33" spans="2:7" s="4" customFormat="1">
      <c r="B33" s="76"/>
      <c r="F33" s="5"/>
      <c r="G33" s="5"/>
    </row>
    <row r="34" spans="2:7" s="4" customFormat="1">
      <c r="B34" s="76"/>
      <c r="F34" s="5"/>
      <c r="G34" s="5"/>
    </row>
    <row r="35" spans="2:7" s="4" customFormat="1">
      <c r="B35" s="76"/>
      <c r="F35" s="5"/>
      <c r="G35" s="5"/>
    </row>
    <row r="36" spans="2:7" s="4" customFormat="1">
      <c r="B36" s="76"/>
      <c r="F36" s="5"/>
      <c r="G36" s="5"/>
    </row>
    <row r="37" spans="2:7" s="4" customFormat="1">
      <c r="B37" s="76"/>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CARTU BANK</v>
      </c>
    </row>
    <row r="2" spans="1:6" s="2" customFormat="1" ht="15.75" customHeight="1">
      <c r="A2" s="2" t="s">
        <v>31</v>
      </c>
      <c r="B2" s="370">
        <f>'1. key ratios '!B2</f>
        <v>44742</v>
      </c>
      <c r="C2" s="4"/>
      <c r="D2" s="4"/>
      <c r="E2" s="4"/>
      <c r="F2" s="4"/>
    </row>
    <row r="3" spans="1:6" s="2" customFormat="1" ht="15.75" customHeight="1">
      <c r="C3" s="4"/>
      <c r="D3" s="4"/>
      <c r="E3" s="4"/>
      <c r="F3" s="4"/>
    </row>
    <row r="4" spans="1:6" s="2" customFormat="1" ht="13.5" thickBot="1">
      <c r="A4" s="2" t="s">
        <v>85</v>
      </c>
      <c r="B4" s="262" t="s">
        <v>334</v>
      </c>
      <c r="C4" s="70" t="s">
        <v>73</v>
      </c>
      <c r="D4" s="4"/>
      <c r="E4" s="4"/>
      <c r="F4" s="4"/>
    </row>
    <row r="5" spans="1:6">
      <c r="A5" s="211">
        <v>1</v>
      </c>
      <c r="B5" s="263" t="s">
        <v>356</v>
      </c>
      <c r="C5" s="212">
        <f>'7. LI1 '!E21</f>
        <v>1438664045</v>
      </c>
    </row>
    <row r="6" spans="1:6" ht="15">
      <c r="A6" s="77">
        <v>2.1</v>
      </c>
      <c r="B6" s="152" t="s">
        <v>335</v>
      </c>
      <c r="C6" s="501">
        <v>60178722.71547287</v>
      </c>
    </row>
    <row r="7" spans="1:6" s="56" customFormat="1" ht="15" outlineLevel="1">
      <c r="A7" s="50">
        <v>2.2000000000000002</v>
      </c>
      <c r="B7" s="51" t="s">
        <v>336</v>
      </c>
      <c r="C7" s="502">
        <v>0</v>
      </c>
    </row>
    <row r="8" spans="1:6" s="56" customFormat="1" ht="25.5">
      <c r="A8" s="50">
        <v>3</v>
      </c>
      <c r="B8" s="209" t="s">
        <v>337</v>
      </c>
      <c r="C8" s="213">
        <f>SUM(C5:C7)</f>
        <v>1498842767.7154729</v>
      </c>
    </row>
    <row r="9" spans="1:6" ht="15">
      <c r="A9" s="77">
        <v>4</v>
      </c>
      <c r="B9" s="78" t="s">
        <v>87</v>
      </c>
      <c r="C9" s="501">
        <v>9869359</v>
      </c>
    </row>
    <row r="10" spans="1:6" s="56" customFormat="1" ht="15" outlineLevel="1">
      <c r="A10" s="50">
        <v>5.0999999999999996</v>
      </c>
      <c r="B10" s="51" t="s">
        <v>338</v>
      </c>
      <c r="C10" s="502">
        <v>-27005457.046014935</v>
      </c>
    </row>
    <row r="11" spans="1:6" s="56" customFormat="1" ht="15" outlineLevel="1">
      <c r="A11" s="50">
        <v>5.2</v>
      </c>
      <c r="B11" s="51" t="s">
        <v>339</v>
      </c>
      <c r="C11" s="502">
        <v>0</v>
      </c>
    </row>
    <row r="12" spans="1:6" s="56" customFormat="1" ht="15">
      <c r="A12" s="50">
        <v>6</v>
      </c>
      <c r="B12" s="208" t="s">
        <v>483</v>
      </c>
      <c r="C12" s="502">
        <v>8272882.8499999996</v>
      </c>
    </row>
    <row r="13" spans="1:6" s="56" customFormat="1" ht="13.5" thickBot="1">
      <c r="A13" s="52">
        <v>7</v>
      </c>
      <c r="B13" s="210" t="s">
        <v>285</v>
      </c>
      <c r="C13" s="214">
        <f>SUM(C8:C12)</f>
        <v>1489979552.5194578</v>
      </c>
    </row>
    <row r="15" spans="1:6" ht="25.5">
      <c r="B15" s="56" t="s">
        <v>484</v>
      </c>
    </row>
    <row r="17" spans="1:2" ht="15">
      <c r="A17" s="223"/>
      <c r="B17" s="224"/>
    </row>
    <row r="18" spans="1:2" ht="15">
      <c r="A18" s="228"/>
      <c r="B18" s="229"/>
    </row>
    <row r="19" spans="1:2">
      <c r="A19" s="230"/>
      <c r="B19" s="225"/>
    </row>
    <row r="20" spans="1:2">
      <c r="A20" s="231"/>
      <c r="B20" s="226"/>
    </row>
    <row r="21" spans="1:2">
      <c r="A21" s="231"/>
      <c r="B21" s="229"/>
    </row>
    <row r="22" spans="1:2">
      <c r="A22" s="230"/>
      <c r="B22" s="227"/>
    </row>
    <row r="23" spans="1:2">
      <c r="A23" s="231"/>
      <c r="B23" s="226"/>
    </row>
    <row r="24" spans="1:2">
      <c r="A24" s="231"/>
      <c r="B24" s="226"/>
    </row>
    <row r="25" spans="1:2">
      <c r="A25" s="231"/>
      <c r="B25" s="232"/>
    </row>
    <row r="26" spans="1:2">
      <c r="A26" s="231"/>
      <c r="B26" s="229"/>
    </row>
    <row r="27" spans="1:2">
      <c r="B27" s="76"/>
    </row>
    <row r="28" spans="1:2">
      <c r="B28" s="76"/>
    </row>
    <row r="29" spans="1:2">
      <c r="B29" s="76"/>
    </row>
    <row r="30" spans="1:2">
      <c r="B30" s="76"/>
    </row>
    <row r="31" spans="1:2">
      <c r="B31" s="76"/>
    </row>
    <row r="32" spans="1:2">
      <c r="B32" s="76"/>
    </row>
    <row r="33" spans="2:2">
      <c r="B33" s="7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ZtDdL5mDSddYamUzoC2995bgS3yAh+4v1mS2XQbhu9c=</DigestValue>
    </Reference>
    <Reference Type="http://www.w3.org/2000/09/xmldsig#Object" URI="#idOfficeObject">
      <DigestMethod Algorithm="http://www.w3.org/2001/04/xmlenc#sha256"/>
      <DigestValue>B8CgMemQTCLxiZ9cOvTCsl/cKpDBXzXNwKuebEkHFMU=</DigestValue>
    </Reference>
    <Reference Type="http://uri.etsi.org/01903#SignedProperties" URI="#idSignedProperties">
      <Transforms>
        <Transform Algorithm="http://www.w3.org/TR/2001/REC-xml-c14n-20010315"/>
      </Transforms>
      <DigestMethod Algorithm="http://www.w3.org/2001/04/xmlenc#sha256"/>
      <DigestValue>cWEd3MkOau7rZZ9lusll5kjckyiwUEqM+sRFWnwvjCA=</DigestValue>
    </Reference>
  </SignedInfo>
  <SignatureValue>dFcHDtg+lrqA6UBvL8+7YwzKOfNH0U2yNXpzi91JCHXrICUWS1g0bAitMZ60R1KfuTrxwo/M294n
a7Ln/eMKGx3XeiTkpWc323R0jdRLMou5wpIebgZ7y9GTLiDmL74tQPGoaZOX87eHJSdtXUg9//Aj
orKDfK06jeC6jVJTxNkva0nY4440go+oRWbv8zTXtnv/uSiXP+au3THeCNZM4xYvboaGNorgQIuj
Owux0YF2kNsN7ABmXapE0shskDU9gZMUEz44pQMmFPW/ITfxVqw5cvq/WWmXV+mWPZeS5ALHN8qq
OQZs7cXxlf4ro129CNPNM2KSfzM2lW167KJbxw==</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MCI3K0wwuFgJSY/3tSdnm7ga8xg3kU4IBtXnlr0p63U=</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ylp5fKRQCIrzpVX6ZftVt/dGtJGDhKIOQG7oWF4cqbg=</DigestValue>
      </Reference>
      <Reference URI="/xl/styles.xml?ContentType=application/vnd.openxmlformats-officedocument.spreadsheetml.styles+xml">
        <DigestMethod Algorithm="http://www.w3.org/2001/04/xmlenc#sha256"/>
        <DigestValue>91YsJ+aoPlHSOzBOgC5R1IGLlQemnXhGh9GkA7IMn80=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9zkbJtkQisbjw4sp0bs2LHTbLvOLXceEKPPg19H06vs=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pqzIJNMwKS+CcoF6Emt+n+E/G4FyFwJi0VMH8vERuRg=</DigestValue>
      </Reference>
      <Reference URI="/xl/worksheets/sheet10.xml?ContentType=application/vnd.openxmlformats-officedocument.spreadsheetml.worksheet+xml">
        <DigestMethod Algorithm="http://www.w3.org/2001/04/xmlenc#sha256"/>
        <DigestValue>ST77dzCn6ru6rluouq9q7CRyv8l+KgRk/dySbw0X4+Y=</DigestValue>
      </Reference>
      <Reference URI="/xl/worksheets/sheet11.xml?ContentType=application/vnd.openxmlformats-officedocument.spreadsheetml.worksheet+xml">
        <DigestMethod Algorithm="http://www.w3.org/2001/04/xmlenc#sha256"/>
        <DigestValue>Gk7w5WOrB1PbL4sqefWPYFm/0HzKltbhSBFfG98CFRs=</DigestValue>
      </Reference>
      <Reference URI="/xl/worksheets/sheet12.xml?ContentType=application/vnd.openxmlformats-officedocument.spreadsheetml.worksheet+xml">
        <DigestMethod Algorithm="http://www.w3.org/2001/04/xmlenc#sha256"/>
        <DigestValue>LjxEsHmCuEO7wUzzUdqGUY2gT+9x5aysHU3dQvIs4nE=</DigestValue>
      </Reference>
      <Reference URI="/xl/worksheets/sheet13.xml?ContentType=application/vnd.openxmlformats-officedocument.spreadsheetml.worksheet+xml">
        <DigestMethod Algorithm="http://www.w3.org/2001/04/xmlenc#sha256"/>
        <DigestValue>ZrXh7/9lw2Cwedq3zvQ1pBxPbIQ7cfQ86S4gmV9Zz3M=</DigestValue>
      </Reference>
      <Reference URI="/xl/worksheets/sheet14.xml?ContentType=application/vnd.openxmlformats-officedocument.spreadsheetml.worksheet+xml">
        <DigestMethod Algorithm="http://www.w3.org/2001/04/xmlenc#sha256"/>
        <DigestValue>Tpz8qJUZokg+5GQcOnOVQ9mcYfNkVK0jjN98O35v/F4=</DigestValue>
      </Reference>
      <Reference URI="/xl/worksheets/sheet15.xml?ContentType=application/vnd.openxmlformats-officedocument.spreadsheetml.worksheet+xml">
        <DigestMethod Algorithm="http://www.w3.org/2001/04/xmlenc#sha256"/>
        <DigestValue>dE3ftB4OOgup67zjdpI8PWDxtk6vQQo9ApugBM/Ofug=</DigestValue>
      </Reference>
      <Reference URI="/xl/worksheets/sheet16.xml?ContentType=application/vnd.openxmlformats-officedocument.spreadsheetml.worksheet+xml">
        <DigestMethod Algorithm="http://www.w3.org/2001/04/xmlenc#sha256"/>
        <DigestValue>NTDl0V2iRUef8TXVFUQYxG4mGIqNWSHszxeYl+Dy2u8=</DigestValue>
      </Reference>
      <Reference URI="/xl/worksheets/sheet17.xml?ContentType=application/vnd.openxmlformats-officedocument.spreadsheetml.worksheet+xml">
        <DigestMethod Algorithm="http://www.w3.org/2001/04/xmlenc#sha256"/>
        <DigestValue>0NZFVJH8vurUbZc9yN1pR0Ic66JivoJ5kCBx0sca+lU=</DigestValue>
      </Reference>
      <Reference URI="/xl/worksheets/sheet18.xml?ContentType=application/vnd.openxmlformats-officedocument.spreadsheetml.worksheet+xml">
        <DigestMethod Algorithm="http://www.w3.org/2001/04/xmlenc#sha256"/>
        <DigestValue>/mVM0xu0HXz4TaqKwcDdbwhmgAdh7Fz7WHpr8qUDmoc=</DigestValue>
      </Reference>
      <Reference URI="/xl/worksheets/sheet19.xml?ContentType=application/vnd.openxmlformats-officedocument.spreadsheetml.worksheet+xml">
        <DigestMethod Algorithm="http://www.w3.org/2001/04/xmlenc#sha256"/>
        <DigestValue>oG6LfVGsl8e6GiGxouPY2nTmcSDjKGRFzSH7rF8Lie8=</DigestValue>
      </Reference>
      <Reference URI="/xl/worksheets/sheet2.xml?ContentType=application/vnd.openxmlformats-officedocument.spreadsheetml.worksheet+xml">
        <DigestMethod Algorithm="http://www.w3.org/2001/04/xmlenc#sha256"/>
        <DigestValue>snVWl9o1aHQf1EYPHPlRtzzXaiYtE2/e6NnX9Z5IwvM=</DigestValue>
      </Reference>
      <Reference URI="/xl/worksheets/sheet20.xml?ContentType=application/vnd.openxmlformats-officedocument.spreadsheetml.worksheet+xml">
        <DigestMethod Algorithm="http://www.w3.org/2001/04/xmlenc#sha256"/>
        <DigestValue>H38b5YjWnvBHYZRfqG8uKLs4hshNMGG0eLBy3fYDkCg=</DigestValue>
      </Reference>
      <Reference URI="/xl/worksheets/sheet21.xml?ContentType=application/vnd.openxmlformats-officedocument.spreadsheetml.worksheet+xml">
        <DigestMethod Algorithm="http://www.w3.org/2001/04/xmlenc#sha256"/>
        <DigestValue>Z5CbHV+Fy0EQaJXzvbrxL2BD0MvE9CfhMhkveFYNQXQ=</DigestValue>
      </Reference>
      <Reference URI="/xl/worksheets/sheet22.xml?ContentType=application/vnd.openxmlformats-officedocument.spreadsheetml.worksheet+xml">
        <DigestMethod Algorithm="http://www.w3.org/2001/04/xmlenc#sha256"/>
        <DigestValue>ukmhVxdJlQwdCGfEEE7RHuhue1sJpYJgUs2VWOPxHRY=</DigestValue>
      </Reference>
      <Reference URI="/xl/worksheets/sheet23.xml?ContentType=application/vnd.openxmlformats-officedocument.spreadsheetml.worksheet+xml">
        <DigestMethod Algorithm="http://www.w3.org/2001/04/xmlenc#sha256"/>
        <DigestValue>JMqTprIJVV8dmB1B0NeCBW4qKTDjlocZ0ihHj2zooSY=</DigestValue>
      </Reference>
      <Reference URI="/xl/worksheets/sheet24.xml?ContentType=application/vnd.openxmlformats-officedocument.spreadsheetml.worksheet+xml">
        <DigestMethod Algorithm="http://www.w3.org/2001/04/xmlenc#sha256"/>
        <DigestValue>Ix3NBcnJcfbkLzBMWSFlKY7UwUfUYbE2+fdge4bdEY4=</DigestValue>
      </Reference>
      <Reference URI="/xl/worksheets/sheet25.xml?ContentType=application/vnd.openxmlformats-officedocument.spreadsheetml.worksheet+xml">
        <DigestMethod Algorithm="http://www.w3.org/2001/04/xmlenc#sha256"/>
        <DigestValue>rSY/LeN+XykWvhjAEy1wyeZVKjMehkSP+ENbEnlHflk=</DigestValue>
      </Reference>
      <Reference URI="/xl/worksheets/sheet26.xml?ContentType=application/vnd.openxmlformats-officedocument.spreadsheetml.worksheet+xml">
        <DigestMethod Algorithm="http://www.w3.org/2001/04/xmlenc#sha256"/>
        <DigestValue>9FB1cdKfwKvpo7/jNg/3KN7RLB+KH21akNi/f836A20=</DigestValue>
      </Reference>
      <Reference URI="/xl/worksheets/sheet27.xml?ContentType=application/vnd.openxmlformats-officedocument.spreadsheetml.worksheet+xml">
        <DigestMethod Algorithm="http://www.w3.org/2001/04/xmlenc#sha256"/>
        <DigestValue>W9ach10YBAzQtO9mxIxk+05BNvCXXe8j6SfXQBjtFLc=</DigestValue>
      </Reference>
      <Reference URI="/xl/worksheets/sheet28.xml?ContentType=application/vnd.openxmlformats-officedocument.spreadsheetml.worksheet+xml">
        <DigestMethod Algorithm="http://www.w3.org/2001/04/xmlenc#sha256"/>
        <DigestValue>As6gdjQMS1fokzEHjQb2/uzBDLL6KfOxIkn3lRDXLo4=</DigestValue>
      </Reference>
      <Reference URI="/xl/worksheets/sheet29.xml?ContentType=application/vnd.openxmlformats-officedocument.spreadsheetml.worksheet+xml">
        <DigestMethod Algorithm="http://www.w3.org/2001/04/xmlenc#sha256"/>
        <DigestValue>pgmSfcWIE7ynoyt182cP9zMmD0sXSfhn2NRRjeV60XM=</DigestValue>
      </Reference>
      <Reference URI="/xl/worksheets/sheet3.xml?ContentType=application/vnd.openxmlformats-officedocument.spreadsheetml.worksheet+xml">
        <DigestMethod Algorithm="http://www.w3.org/2001/04/xmlenc#sha256"/>
        <DigestValue>TOAnYQY6Uip+nSM1LEhVrGuVK0qP98rObMAwq5/BbEw=</DigestValue>
      </Reference>
      <Reference URI="/xl/worksheets/sheet4.xml?ContentType=application/vnd.openxmlformats-officedocument.spreadsheetml.worksheet+xml">
        <DigestMethod Algorithm="http://www.w3.org/2001/04/xmlenc#sha256"/>
        <DigestValue>5a4rpEuJblNRIi5OknW6Z/H2NI0PhJSg/5JDqiu7Ajw=</DigestValue>
      </Reference>
      <Reference URI="/xl/worksheets/sheet5.xml?ContentType=application/vnd.openxmlformats-officedocument.spreadsheetml.worksheet+xml">
        <DigestMethod Algorithm="http://www.w3.org/2001/04/xmlenc#sha256"/>
        <DigestValue>QG5Ypywxp7A1HOKod+ABbt7LNxOxU2iUOC3lXJKncuQ=</DigestValue>
      </Reference>
      <Reference URI="/xl/worksheets/sheet6.xml?ContentType=application/vnd.openxmlformats-officedocument.spreadsheetml.worksheet+xml">
        <DigestMethod Algorithm="http://www.w3.org/2001/04/xmlenc#sha256"/>
        <DigestValue>4QzDytefNFFG/OY7mhOSj/2Wo0s9Mf6gveWdBqHWb/A=</DigestValue>
      </Reference>
      <Reference URI="/xl/worksheets/sheet7.xml?ContentType=application/vnd.openxmlformats-officedocument.spreadsheetml.worksheet+xml">
        <DigestMethod Algorithm="http://www.w3.org/2001/04/xmlenc#sha256"/>
        <DigestValue>P87LPKEmqtON2Wz7TKF7sw2j6AzOsRriWtyzDRI96u8=</DigestValue>
      </Reference>
      <Reference URI="/xl/worksheets/sheet8.xml?ContentType=application/vnd.openxmlformats-officedocument.spreadsheetml.worksheet+xml">
        <DigestMethod Algorithm="http://www.w3.org/2001/04/xmlenc#sha256"/>
        <DigestValue>+g5chyXxaTLQyVlMOuejTtYEEDnWYvuiScgRO8vwlks=</DigestValue>
      </Reference>
      <Reference URI="/xl/worksheets/sheet9.xml?ContentType=application/vnd.openxmlformats-officedocument.spreadsheetml.worksheet+xml">
        <DigestMethod Algorithm="http://www.w3.org/2001/04/xmlenc#sha256"/>
        <DigestValue>fLDr9Bpk09UgTsrlWFoYv8nTZGUY+LG8D0qQfOVRFt0=</DigestValue>
      </Reference>
    </Manifest>
    <SignatureProperties>
      <SignatureProperty Id="idSignatureTime" Target="#idPackageSignature">
        <mdssi:SignatureTime xmlns:mdssi="http://schemas.openxmlformats.org/package/2006/digital-signature">
          <mdssi:Format>YYYY-MM-DDThh:mm:ssTZD</mdssi:Format>
          <mdssi:Value>2023-02-27T07:52:39Z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5</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2023-02-27T07:52:39Z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5</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f25byXdFc1wlgy4DaGT9aC4HmuUpEylxFUIlDci2Tec=</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vYH1lHPD4Z03VRYwphw6cLczCSvK5uemRo9bfmenbSg=</DigestValue>
    </Reference>
  </SignedInfo>
  <SignatureValue>oeEtrCarwA7G7+EAjqMqoo4ekdmDOtX+TvslN+E2Rt3U3RO0EHAdDaqqyhYQZMAzUjGLYwtckV5P
cp2HuiMO3rFoaRuurXyGFhJGeEtTkzPUtShKp6nYs722zQGHbWTWFqnoz/9M24+6r998MqrX0KF4
V8SjTKLZWnQsOAcpXBvpTRUMt78hTFaxP7q8wfU71Ba8eHUti8COARBHNI/u8J9gfX1GZiDHD9nt
MYPrDXQp4fulBJ0Wo2kQ2X/dW/pbD7+uw0CADSGuXfHhfU6gPxIbduMiK0z6GM45AxmtqaVtMnno
bPE810lpnDIfeGR1WkQyV4d//yHHpRQqFhkpjw==</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MCI3K0wwuFgJSY/3tSdnm7ga8xg3kU4IBtXnlr0p63U=</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ylp5fKRQCIrzpVX6ZftVt/dGtJGDhKIOQG7oWF4cqbg=</DigestValue>
      </Reference>
      <Reference URI="/xl/styles.xml?ContentType=application/vnd.openxmlformats-officedocument.spreadsheetml.styles+xml">
        <DigestMethod Algorithm="http://www.w3.org/2001/04/xmlenc#sha256"/>
        <DigestValue>91YsJ+aoPlHSOzBOgC5R1IGLlQemnXhGh9GkA7IMn80=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9zkbJtkQisbjw4sp0bs2LHTbLvOLXceEKPPg19H06vs=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pqzIJNMwKS+CcoF6Emt+n+E/G4FyFwJi0VMH8vERuRg=</DigestValue>
      </Reference>
      <Reference URI="/xl/worksheets/sheet10.xml?ContentType=application/vnd.openxmlformats-officedocument.spreadsheetml.worksheet+xml">
        <DigestMethod Algorithm="http://www.w3.org/2001/04/xmlenc#sha256"/>
        <DigestValue>ST77dzCn6ru6rluouq9q7CRyv8l+KgRk/dySbw0X4+Y=</DigestValue>
      </Reference>
      <Reference URI="/xl/worksheets/sheet11.xml?ContentType=application/vnd.openxmlformats-officedocument.spreadsheetml.worksheet+xml">
        <DigestMethod Algorithm="http://www.w3.org/2001/04/xmlenc#sha256"/>
        <DigestValue>Gk7w5WOrB1PbL4sqefWPYFm/0HzKltbhSBFfG98CFRs=</DigestValue>
      </Reference>
      <Reference URI="/xl/worksheets/sheet12.xml?ContentType=application/vnd.openxmlformats-officedocument.spreadsheetml.worksheet+xml">
        <DigestMethod Algorithm="http://www.w3.org/2001/04/xmlenc#sha256"/>
        <DigestValue>LjxEsHmCuEO7wUzzUdqGUY2gT+9x5aysHU3dQvIs4nE=</DigestValue>
      </Reference>
      <Reference URI="/xl/worksheets/sheet13.xml?ContentType=application/vnd.openxmlformats-officedocument.spreadsheetml.worksheet+xml">
        <DigestMethod Algorithm="http://www.w3.org/2001/04/xmlenc#sha256"/>
        <DigestValue>ZrXh7/9lw2Cwedq3zvQ1pBxPbIQ7cfQ86S4gmV9Zz3M=</DigestValue>
      </Reference>
      <Reference URI="/xl/worksheets/sheet14.xml?ContentType=application/vnd.openxmlformats-officedocument.spreadsheetml.worksheet+xml">
        <DigestMethod Algorithm="http://www.w3.org/2001/04/xmlenc#sha256"/>
        <DigestValue>Tpz8qJUZokg+5GQcOnOVQ9mcYfNkVK0jjN98O35v/F4=</DigestValue>
      </Reference>
      <Reference URI="/xl/worksheets/sheet15.xml?ContentType=application/vnd.openxmlformats-officedocument.spreadsheetml.worksheet+xml">
        <DigestMethod Algorithm="http://www.w3.org/2001/04/xmlenc#sha256"/>
        <DigestValue>dE3ftB4OOgup67zjdpI8PWDxtk6vQQo9ApugBM/Ofug=</DigestValue>
      </Reference>
      <Reference URI="/xl/worksheets/sheet16.xml?ContentType=application/vnd.openxmlformats-officedocument.spreadsheetml.worksheet+xml">
        <DigestMethod Algorithm="http://www.w3.org/2001/04/xmlenc#sha256"/>
        <DigestValue>NTDl0V2iRUef8TXVFUQYxG4mGIqNWSHszxeYl+Dy2u8=</DigestValue>
      </Reference>
      <Reference URI="/xl/worksheets/sheet17.xml?ContentType=application/vnd.openxmlformats-officedocument.spreadsheetml.worksheet+xml">
        <DigestMethod Algorithm="http://www.w3.org/2001/04/xmlenc#sha256"/>
        <DigestValue>0NZFVJH8vurUbZc9yN1pR0Ic66JivoJ5kCBx0sca+lU=</DigestValue>
      </Reference>
      <Reference URI="/xl/worksheets/sheet18.xml?ContentType=application/vnd.openxmlformats-officedocument.spreadsheetml.worksheet+xml">
        <DigestMethod Algorithm="http://www.w3.org/2001/04/xmlenc#sha256"/>
        <DigestValue>/mVM0xu0HXz4TaqKwcDdbwhmgAdh7Fz7WHpr8qUDmoc=</DigestValue>
      </Reference>
      <Reference URI="/xl/worksheets/sheet19.xml?ContentType=application/vnd.openxmlformats-officedocument.spreadsheetml.worksheet+xml">
        <DigestMethod Algorithm="http://www.w3.org/2001/04/xmlenc#sha256"/>
        <DigestValue>oG6LfVGsl8e6GiGxouPY2nTmcSDjKGRFzSH7rF8Lie8=</DigestValue>
      </Reference>
      <Reference URI="/xl/worksheets/sheet2.xml?ContentType=application/vnd.openxmlformats-officedocument.spreadsheetml.worksheet+xml">
        <DigestMethod Algorithm="http://www.w3.org/2001/04/xmlenc#sha256"/>
        <DigestValue>snVWl9o1aHQf1EYPHPlRtzzXaiYtE2/e6NnX9Z5IwvM=</DigestValue>
      </Reference>
      <Reference URI="/xl/worksheets/sheet20.xml?ContentType=application/vnd.openxmlformats-officedocument.spreadsheetml.worksheet+xml">
        <DigestMethod Algorithm="http://www.w3.org/2001/04/xmlenc#sha256"/>
        <DigestValue>H38b5YjWnvBHYZRfqG8uKLs4hshNMGG0eLBy3fYDkCg=</DigestValue>
      </Reference>
      <Reference URI="/xl/worksheets/sheet21.xml?ContentType=application/vnd.openxmlformats-officedocument.spreadsheetml.worksheet+xml">
        <DigestMethod Algorithm="http://www.w3.org/2001/04/xmlenc#sha256"/>
        <DigestValue>Z5CbHV+Fy0EQaJXzvbrxL2BD0MvE9CfhMhkveFYNQXQ=</DigestValue>
      </Reference>
      <Reference URI="/xl/worksheets/sheet22.xml?ContentType=application/vnd.openxmlformats-officedocument.spreadsheetml.worksheet+xml">
        <DigestMethod Algorithm="http://www.w3.org/2001/04/xmlenc#sha256"/>
        <DigestValue>ukmhVxdJlQwdCGfEEE7RHuhue1sJpYJgUs2VWOPxHRY=</DigestValue>
      </Reference>
      <Reference URI="/xl/worksheets/sheet23.xml?ContentType=application/vnd.openxmlformats-officedocument.spreadsheetml.worksheet+xml">
        <DigestMethod Algorithm="http://www.w3.org/2001/04/xmlenc#sha256"/>
        <DigestValue>JMqTprIJVV8dmB1B0NeCBW4qKTDjlocZ0ihHj2zooSY=</DigestValue>
      </Reference>
      <Reference URI="/xl/worksheets/sheet24.xml?ContentType=application/vnd.openxmlformats-officedocument.spreadsheetml.worksheet+xml">
        <DigestMethod Algorithm="http://www.w3.org/2001/04/xmlenc#sha256"/>
        <DigestValue>Ix3NBcnJcfbkLzBMWSFlKY7UwUfUYbE2+fdge4bdEY4=</DigestValue>
      </Reference>
      <Reference URI="/xl/worksheets/sheet25.xml?ContentType=application/vnd.openxmlformats-officedocument.spreadsheetml.worksheet+xml">
        <DigestMethod Algorithm="http://www.w3.org/2001/04/xmlenc#sha256"/>
        <DigestValue>rSY/LeN+XykWvhjAEy1wyeZVKjMehkSP+ENbEnlHflk=</DigestValue>
      </Reference>
      <Reference URI="/xl/worksheets/sheet26.xml?ContentType=application/vnd.openxmlformats-officedocument.spreadsheetml.worksheet+xml">
        <DigestMethod Algorithm="http://www.w3.org/2001/04/xmlenc#sha256"/>
        <DigestValue>9FB1cdKfwKvpo7/jNg/3KN7RLB+KH21akNi/f836A20=</DigestValue>
      </Reference>
      <Reference URI="/xl/worksheets/sheet27.xml?ContentType=application/vnd.openxmlformats-officedocument.spreadsheetml.worksheet+xml">
        <DigestMethod Algorithm="http://www.w3.org/2001/04/xmlenc#sha256"/>
        <DigestValue>W9ach10YBAzQtO9mxIxk+05BNvCXXe8j6SfXQBjtFLc=</DigestValue>
      </Reference>
      <Reference URI="/xl/worksheets/sheet28.xml?ContentType=application/vnd.openxmlformats-officedocument.spreadsheetml.worksheet+xml">
        <DigestMethod Algorithm="http://www.w3.org/2001/04/xmlenc#sha256"/>
        <DigestValue>As6gdjQMS1fokzEHjQb2/uzBDLL6KfOxIkn3lRDXLo4=</DigestValue>
      </Reference>
      <Reference URI="/xl/worksheets/sheet29.xml?ContentType=application/vnd.openxmlformats-officedocument.spreadsheetml.worksheet+xml">
        <DigestMethod Algorithm="http://www.w3.org/2001/04/xmlenc#sha256"/>
        <DigestValue>pgmSfcWIE7ynoyt182cP9zMmD0sXSfhn2NRRjeV60XM=</DigestValue>
      </Reference>
      <Reference URI="/xl/worksheets/sheet3.xml?ContentType=application/vnd.openxmlformats-officedocument.spreadsheetml.worksheet+xml">
        <DigestMethod Algorithm="http://www.w3.org/2001/04/xmlenc#sha256"/>
        <DigestValue>TOAnYQY6Uip+nSM1LEhVrGuVK0qP98rObMAwq5/BbEw=</DigestValue>
      </Reference>
      <Reference URI="/xl/worksheets/sheet4.xml?ContentType=application/vnd.openxmlformats-officedocument.spreadsheetml.worksheet+xml">
        <DigestMethod Algorithm="http://www.w3.org/2001/04/xmlenc#sha256"/>
        <DigestValue>5a4rpEuJblNRIi5OknW6Z/H2NI0PhJSg/5JDqiu7Ajw=</DigestValue>
      </Reference>
      <Reference URI="/xl/worksheets/sheet5.xml?ContentType=application/vnd.openxmlformats-officedocument.spreadsheetml.worksheet+xml">
        <DigestMethod Algorithm="http://www.w3.org/2001/04/xmlenc#sha256"/>
        <DigestValue>QG5Ypywxp7A1HOKod+ABbt7LNxOxU2iUOC3lXJKncuQ=</DigestValue>
      </Reference>
      <Reference URI="/xl/worksheets/sheet6.xml?ContentType=application/vnd.openxmlformats-officedocument.spreadsheetml.worksheet+xml">
        <DigestMethod Algorithm="http://www.w3.org/2001/04/xmlenc#sha256"/>
        <DigestValue>4QzDytefNFFG/OY7mhOSj/2Wo0s9Mf6gveWdBqHWb/A=</DigestValue>
      </Reference>
      <Reference URI="/xl/worksheets/sheet7.xml?ContentType=application/vnd.openxmlformats-officedocument.spreadsheetml.worksheet+xml">
        <DigestMethod Algorithm="http://www.w3.org/2001/04/xmlenc#sha256"/>
        <DigestValue>P87LPKEmqtON2Wz7TKF7sw2j6AzOsRriWtyzDRI96u8=</DigestValue>
      </Reference>
      <Reference URI="/xl/worksheets/sheet8.xml?ContentType=application/vnd.openxmlformats-officedocument.spreadsheetml.worksheet+xml">
        <DigestMethod Algorithm="http://www.w3.org/2001/04/xmlenc#sha256"/>
        <DigestValue>+g5chyXxaTLQyVlMOuejTtYEEDnWYvuiScgRO8vwlks=</DigestValue>
      </Reference>
      <Reference URI="/xl/worksheets/sheet9.xml?ContentType=application/vnd.openxmlformats-officedocument.spreadsheetml.worksheet+xml">
        <DigestMethod Algorithm="http://www.w3.org/2001/04/xmlenc#sha256"/>
        <DigestValue>fLDr9Bpk09UgTsrlWFoYv8nTZGUY+LG8D0qQfOVRFt0=</DigestValue>
      </Reference>
    </Manifest>
    <SignatureProperties>
      <SignatureProperty Id="idSignatureTime" Target="#idPackageSignature">
        <mdssi:SignatureTime xmlns:mdssi="http://schemas.openxmlformats.org/package/2006/digital-signature">
          <mdssi:Format>YYYY-MM-DDThh:mm:ssTZD</mdssi:Format>
          <mdssi:Value>2023-02-27T08:07:32Z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2023-02-27T08:07:32Z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2023-02-24T14:31:12Z</dcterms:modified>
</cp:coreProperties>
</file>