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D1137E60-34E1-47AB-A047-E55719A9C04B}"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83" l="1"/>
  <c r="H15" i="83"/>
  <c r="C22" i="103" l="1"/>
  <c r="D22" i="103"/>
  <c r="E22" i="103"/>
  <c r="G22" i="103"/>
  <c r="L22" i="103"/>
  <c r="U22" i="103"/>
  <c r="I13" i="99"/>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66" i="85"/>
  <c r="E66" i="85"/>
  <c r="H64" i="85"/>
  <c r="E64" i="85"/>
  <c r="G61" i="85"/>
  <c r="F61" i="85"/>
  <c r="H61" i="85" s="1"/>
  <c r="D61" i="85"/>
  <c r="C61" i="85"/>
  <c r="E61" i="85" s="1"/>
  <c r="H60" i="85"/>
  <c r="E60" i="85"/>
  <c r="H59" i="85"/>
  <c r="E59" i="85"/>
  <c r="H58" i="85"/>
  <c r="E58" i="85"/>
  <c r="G53" i="85"/>
  <c r="F53" i="85"/>
  <c r="H53" i="85" s="1"/>
  <c r="D53" i="85"/>
  <c r="C53" i="85"/>
  <c r="H52" i="85"/>
  <c r="E52" i="85"/>
  <c r="H51" i="85"/>
  <c r="E51" i="85"/>
  <c r="H50" i="85"/>
  <c r="E50" i="85"/>
  <c r="H49" i="85"/>
  <c r="E49" i="85"/>
  <c r="H48" i="85"/>
  <c r="E48" i="85"/>
  <c r="H47" i="85"/>
  <c r="E47" i="85"/>
  <c r="C45" i="85"/>
  <c r="H44" i="85"/>
  <c r="E44" i="85"/>
  <c r="H43" i="85"/>
  <c r="E43" i="85"/>
  <c r="H42" i="85"/>
  <c r="E42" i="85"/>
  <c r="H41" i="85"/>
  <c r="E41" i="85"/>
  <c r="H40" i="85"/>
  <c r="E40" i="85"/>
  <c r="H39" i="85"/>
  <c r="E39" i="85"/>
  <c r="H38" i="85"/>
  <c r="E38" i="85"/>
  <c r="H37" i="85"/>
  <c r="E37" i="85"/>
  <c r="H36" i="85"/>
  <c r="E36" i="85"/>
  <c r="H35" i="85"/>
  <c r="E35" i="85"/>
  <c r="G34" i="85"/>
  <c r="G45" i="85" s="1"/>
  <c r="F34" i="85"/>
  <c r="F45" i="85" s="1"/>
  <c r="D34" i="85"/>
  <c r="D45" i="85" s="1"/>
  <c r="D54" i="85" s="1"/>
  <c r="C34" i="85"/>
  <c r="G30" i="85"/>
  <c r="F30" i="85"/>
  <c r="H30" i="85" s="1"/>
  <c r="D30" i="85"/>
  <c r="C30" i="85"/>
  <c r="E30" i="85" s="1"/>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F22" i="85" s="1"/>
  <c r="D9" i="85"/>
  <c r="D22" i="85" s="1"/>
  <c r="D31" i="85" s="1"/>
  <c r="C9" i="85"/>
  <c r="C22" i="85" s="1"/>
  <c r="H8" i="85"/>
  <c r="E8" i="85"/>
  <c r="H40" i="83"/>
  <c r="C40" i="83"/>
  <c r="E40" i="83" s="1"/>
  <c r="H39" i="83"/>
  <c r="E39" i="83"/>
  <c r="H38" i="83"/>
  <c r="E38" i="83"/>
  <c r="H37" i="83"/>
  <c r="E37" i="83"/>
  <c r="H36" i="83"/>
  <c r="E36" i="83"/>
  <c r="H35" i="83"/>
  <c r="E35" i="83"/>
  <c r="H34" i="83"/>
  <c r="E34" i="83"/>
  <c r="H33" i="83"/>
  <c r="E33" i="83"/>
  <c r="G31" i="83"/>
  <c r="G41" i="83" s="1"/>
  <c r="F31" i="83"/>
  <c r="F41" i="83" s="1"/>
  <c r="D31" i="83"/>
  <c r="D41" i="83" s="1"/>
  <c r="C31" i="83"/>
  <c r="E31" i="83" s="1"/>
  <c r="H30" i="83"/>
  <c r="E30" i="83"/>
  <c r="H29" i="83"/>
  <c r="E29" i="83"/>
  <c r="H28" i="83"/>
  <c r="E28" i="83"/>
  <c r="H27" i="83"/>
  <c r="E27" i="83"/>
  <c r="H26" i="83"/>
  <c r="E26" i="83"/>
  <c r="H25" i="83"/>
  <c r="E25" i="83"/>
  <c r="H24" i="83"/>
  <c r="E24" i="83"/>
  <c r="H23" i="83"/>
  <c r="E23" i="83"/>
  <c r="H22" i="83"/>
  <c r="E22" i="83"/>
  <c r="E19" i="83"/>
  <c r="H18" i="83"/>
  <c r="E18" i="83"/>
  <c r="H17" i="83"/>
  <c r="E17" i="83"/>
  <c r="H16" i="83"/>
  <c r="E16" i="83"/>
  <c r="E15" i="83"/>
  <c r="G14" i="83"/>
  <c r="G20" i="83" s="1"/>
  <c r="F14" i="83"/>
  <c r="F20" i="83" s="1"/>
  <c r="D14" i="83"/>
  <c r="D20" i="83" s="1"/>
  <c r="C14" i="83"/>
  <c r="C20" i="83" s="1"/>
  <c r="E20" i="83" s="1"/>
  <c r="H13" i="83"/>
  <c r="E13" i="83"/>
  <c r="H12" i="83"/>
  <c r="E12" i="83"/>
  <c r="H11" i="83"/>
  <c r="E11" i="83"/>
  <c r="H10" i="83"/>
  <c r="E10" i="83"/>
  <c r="H9" i="83"/>
  <c r="E9" i="83"/>
  <c r="H8" i="83"/>
  <c r="E8" i="83"/>
  <c r="H7" i="83"/>
  <c r="E7" i="83"/>
  <c r="E45" i="85" l="1"/>
  <c r="H20" i="83"/>
  <c r="E14" i="83"/>
  <c r="E9" i="85"/>
  <c r="G54" i="85"/>
  <c r="E45" i="75"/>
  <c r="C41" i="83"/>
  <c r="E41" i="83" s="1"/>
  <c r="G56" i="85"/>
  <c r="G63" i="85" s="1"/>
  <c r="G65" i="85" s="1"/>
  <c r="G67" i="85" s="1"/>
  <c r="E34" i="85"/>
  <c r="C54" i="85"/>
  <c r="F31" i="85"/>
  <c r="H22" i="85"/>
  <c r="E22" i="85"/>
  <c r="C31" i="85"/>
  <c r="D56" i="85"/>
  <c r="D63" i="85" s="1"/>
  <c r="D65" i="85" s="1"/>
  <c r="D67" i="85" s="1"/>
  <c r="F54" i="85"/>
  <c r="H54" i="85" s="1"/>
  <c r="H45" i="85"/>
  <c r="E54" i="85"/>
  <c r="E53" i="85"/>
  <c r="H9" i="85"/>
  <c r="H34" i="85"/>
  <c r="H41" i="83"/>
  <c r="H31" i="83"/>
  <c r="H14" i="83"/>
  <c r="C35" i="95"/>
  <c r="C56" i="85" l="1"/>
  <c r="E31" i="85"/>
  <c r="F56" i="85"/>
  <c r="H31" i="85"/>
  <c r="C12" i="101"/>
  <c r="C10" i="102"/>
  <c r="F63" i="85" l="1"/>
  <c r="H56" i="85"/>
  <c r="C63" i="85"/>
  <c r="E56" i="85"/>
  <c r="S21" i="90"/>
  <c r="S20" i="90"/>
  <c r="S19" i="90"/>
  <c r="S18" i="90"/>
  <c r="S17" i="90"/>
  <c r="S16" i="90"/>
  <c r="S15" i="90"/>
  <c r="S14" i="90"/>
  <c r="S13" i="90"/>
  <c r="S12" i="90"/>
  <c r="S11" i="90"/>
  <c r="S10" i="90"/>
  <c r="S9" i="90"/>
  <c r="S8" i="90"/>
  <c r="C29" i="69"/>
  <c r="C27" i="69"/>
  <c r="C20" i="69"/>
  <c r="F65" i="85" l="1"/>
  <c r="H63" i="85"/>
  <c r="E63" i="85"/>
  <c r="C65" i="85"/>
  <c r="C54" i="69"/>
  <c r="C53" i="69"/>
  <c r="C50" i="69"/>
  <c r="C49" i="69"/>
  <c r="C48" i="69"/>
  <c r="C47" i="69"/>
  <c r="C46" i="69"/>
  <c r="C43" i="69"/>
  <c r="C44" i="69" s="1"/>
  <c r="C41" i="69"/>
  <c r="C40" i="69"/>
  <c r="C39" i="69"/>
  <c r="C38" i="69"/>
  <c r="C37" i="69"/>
  <c r="C36" i="69"/>
  <c r="C35" i="69"/>
  <c r="C34" i="69"/>
  <c r="C28" i="69"/>
  <c r="C32" i="69" s="1"/>
  <c r="C26" i="69"/>
  <c r="C19" i="69"/>
  <c r="C18" i="69"/>
  <c r="C13" i="69"/>
  <c r="C17" i="69" s="1"/>
  <c r="C10" i="69"/>
  <c r="C12" i="69" s="1"/>
  <c r="C9" i="69"/>
  <c r="C8" i="69"/>
  <c r="C7" i="69"/>
  <c r="C6" i="69"/>
  <c r="C67" i="85" l="1"/>
  <c r="E67" i="85" s="1"/>
  <c r="E65" i="85"/>
  <c r="F67" i="85"/>
  <c r="H67" i="85" s="1"/>
  <c r="H65" i="85"/>
  <c r="C33" i="69"/>
  <c r="C45" i="69"/>
  <c r="N33" i="105"/>
  <c r="M33" i="105"/>
  <c r="L33" i="105"/>
  <c r="K33" i="105"/>
  <c r="J33" i="105"/>
  <c r="I33" i="105"/>
  <c r="H33" i="105"/>
  <c r="G33" i="105"/>
  <c r="F33" i="105"/>
  <c r="E33" i="105"/>
  <c r="D33" i="105"/>
  <c r="C33" i="105"/>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6" i="93"/>
  <c r="D16" i="93"/>
  <c r="E16" i="93"/>
  <c r="F16" i="93"/>
  <c r="G16" i="93"/>
  <c r="H16" i="93"/>
  <c r="I16" i="93"/>
  <c r="J16" i="93"/>
  <c r="K16" i="93"/>
  <c r="G6" i="86"/>
  <c r="G13" i="86" s="1"/>
  <c r="F6" i="86"/>
  <c r="F13" i="86" s="1"/>
  <c r="E6" i="86"/>
  <c r="E13" i="86" s="1"/>
  <c r="D6" i="86"/>
  <c r="D13" i="86" s="1"/>
  <c r="C6" i="86"/>
  <c r="C13" i="86" s="1"/>
  <c r="H53" i="75"/>
  <c r="E53" i="75"/>
  <c r="H7" i="75"/>
  <c r="E7" i="75"/>
  <c r="B2" i="107" l="1"/>
  <c r="B2" i="75" l="1"/>
  <c r="B2" i="97" l="1"/>
  <c r="B2" i="95"/>
  <c r="B2" i="92"/>
  <c r="B2" i="93"/>
  <c r="B2" i="91"/>
  <c r="B2" i="64"/>
  <c r="B2" i="90"/>
  <c r="B2" i="69"/>
  <c r="B2" i="94"/>
  <c r="B2" i="89"/>
  <c r="B2" i="73"/>
  <c r="B2" i="88"/>
  <c r="B2" i="52"/>
  <c r="B2" i="86"/>
  <c r="C19" i="102" l="1"/>
  <c r="D12" i="101"/>
  <c r="C19" i="101"/>
  <c r="D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2" i="99"/>
  <c r="I11" i="99"/>
  <c r="I10" i="99"/>
  <c r="I9" i="99"/>
  <c r="I8" i="99"/>
  <c r="I7" i="99"/>
  <c r="I21" i="99" l="1"/>
  <c r="I34" i="100"/>
  <c r="D19" i="101"/>
  <c r="G22" i="98"/>
  <c r="F22" i="98"/>
  <c r="E22" i="98"/>
  <c r="D22" i="98"/>
  <c r="C22" i="98"/>
  <c r="C30" i="95"/>
  <c r="K23" i="93"/>
  <c r="J23" i="93"/>
  <c r="I23" i="93"/>
  <c r="H23" i="93"/>
  <c r="G23" i="93"/>
  <c r="F23" i="93"/>
  <c r="K21" i="93"/>
  <c r="K24" i="93" s="1"/>
  <c r="J21" i="93"/>
  <c r="J24" i="93" s="1"/>
  <c r="I21" i="93"/>
  <c r="I24" i="93" s="1"/>
  <c r="H21" i="93"/>
  <c r="G21" i="93"/>
  <c r="G24" i="93" s="1"/>
  <c r="F21" i="93"/>
  <c r="F24" i="93" s="1"/>
  <c r="E21" i="93"/>
  <c r="D21" i="93"/>
  <c r="C21" i="93"/>
  <c r="H24" i="93"/>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C55" i="69"/>
  <c r="C21" i="94"/>
  <c r="D21" i="94" s="1"/>
  <c r="C20" i="94"/>
  <c r="C19" i="94"/>
  <c r="E21" i="88"/>
  <c r="D21" i="88"/>
  <c r="C21" i="88"/>
  <c r="B2" i="85"/>
  <c r="G25" i="93" l="1"/>
  <c r="H25" i="93"/>
  <c r="H22" i="98"/>
  <c r="I25" i="93"/>
  <c r="J25" i="93"/>
  <c r="D19" i="94"/>
  <c r="H22" i="91"/>
  <c r="K25" i="93"/>
  <c r="V21" i="64"/>
  <c r="D16" i="94"/>
  <c r="D8" i="94"/>
  <c r="D7" i="94"/>
  <c r="D15" i="94"/>
  <c r="D12" i="94"/>
  <c r="D17" i="94"/>
  <c r="D13" i="94"/>
  <c r="D11" i="94"/>
  <c r="D9" i="94"/>
  <c r="D20" i="94"/>
  <c r="F25" i="93"/>
  <c r="G39" i="97"/>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7" s="1"/>
  <c r="B1" i="106" l="1"/>
  <c r="B1" i="100"/>
  <c r="B1" i="105"/>
  <c r="B1" i="99"/>
  <c r="B1" i="103"/>
  <c r="B1" i="104"/>
  <c r="B1" i="102"/>
  <c r="B1" i="101"/>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J7" i="92"/>
  <c r="I7" i="92"/>
  <c r="H7" i="92"/>
  <c r="H21" i="92" s="1"/>
  <c r="G7" i="92"/>
  <c r="G21" i="92" s="1"/>
  <c r="F7" i="92"/>
  <c r="F21" i="92" s="1"/>
  <c r="C7" i="92"/>
  <c r="K21" i="92" l="1"/>
  <c r="E14" i="92"/>
  <c r="N14" i="92"/>
  <c r="J21" i="92"/>
  <c r="E7" i="92"/>
  <c r="I21" i="92"/>
  <c r="M21" i="92"/>
  <c r="C21" i="92"/>
  <c r="N7" i="92"/>
  <c r="N21" i="92" s="1"/>
  <c r="E21" i="92" l="1"/>
  <c r="C12" i="95" s="1"/>
  <c r="C18" i="95" s="1"/>
  <c r="C36" i="95" s="1"/>
  <c r="C38" i="95" s="1"/>
  <c r="C5" i="73"/>
  <c r="C12" i="89" l="1"/>
  <c r="C6" i="89"/>
  <c r="C28" i="89" l="1"/>
  <c r="C31" i="89"/>
  <c r="C30" i="89" s="1"/>
  <c r="C35" i="89"/>
  <c r="C43" i="89"/>
  <c r="C47" i="89"/>
  <c r="C41" i="89" l="1"/>
  <c r="C8" i="73"/>
  <c r="C13" i="73" s="1"/>
  <c r="C52" i="89"/>
</calcChain>
</file>

<file path=xl/sharedStrings.xml><?xml version="1.0" encoding="utf-8"?>
<sst xmlns="http://schemas.openxmlformats.org/spreadsheetml/2006/main" count="1179" uniqueCount="779">
  <si>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</si>
  <si>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</si>
  <si>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</si>
  <si>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</si>
  <si>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</si>
  <si>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</si>
  <si>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</si>
  <si>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</si>
  <si>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</si>
  <si>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</si>
  <si>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</si>
  <si>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</si>
  <si>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</si>
  <si>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</si>
  <si>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</si>
  <si>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</si>
  <si>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</si>
  <si>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</si>
  <si>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</si>
  <si>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</si>
  <si>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</si>
  <si>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</si>
  <si>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</si>
  <si>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</si>
  <si>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</si>
  <si>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</si>
  <si>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</si>
  <si>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</si>
  <si>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</si>
  <si>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</si>
  <si>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</si>
  <si>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</si>
  <si>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</si>
  <si>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</si>
  <si>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</si>
  <si>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</si>
  <si>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</si>
  <si>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</si>
  <si>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</si>
  <si>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</si>
  <si>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</si>
  <si>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</si>
  <si>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</si>
  <si>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</si>
  <si>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</si>
  <si>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</si>
  <si>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</si>
  <si>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</si>
  <si>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</si>
  <si>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</si>
  <si>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</si>
  <si>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</si>
  <si>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</si>
  <si>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</si>
  <si>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</si>
  <si>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</si>
  <si>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</si>
  <si>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</si>
  <si>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</si>
  <si>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</si>
  <si>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</si>
  <si>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</si>
  <si>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</si>
  <si>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</si>
  <si>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</si>
  <si>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</si>
  <si>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</si>
  <si>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</si>
  <si>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</si>
  <si>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</si>
  <si>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</si>
  <si>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</si>
  <si>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</si>
  <si>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</si>
  <si>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</si>
  <si>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</si>
  <si>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</si>
  <si>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</si>
  <si>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</si>
  <si>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</si>
  <si>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</si>
  <si>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</si>
  <si>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</si>
  <si>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</si>
  <si>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</si>
  <si>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</si>
  <si>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</si>
  <si>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</si>
  <si>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</si>
  <si>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</si>
  <si>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</si>
  <si>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</si>
  <si>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</si>
  <si>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</si>
  <si>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</si>
  <si>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</si>
  <si>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</si>
  <si>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</si>
  <si>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</si>
  <si>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</si>
  <si>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</si>
  <si>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</si>
  <si>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</si>
  <si>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</si>
  <si>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</si>
  <si>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</si>
  <si>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</si>
  <si>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</si>
  <si>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</si>
  <si>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</si>
  <si>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</si>
  <si>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</si>
  <si>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</si>
  <si>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</si>
  <si>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</si>
  <si>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</si>
  <si>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</si>
  <si>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</si>
  <si>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</si>
  <si>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</si>
  <si>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</si>
  <si>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</si>
  <si>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</si>
  <si>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</si>
  <si>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</si>
  <si>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</si>
  <si>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</si>
  <si>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</si>
  <si>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</si>
  <si>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</si>
  <si>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</si>
  <si>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</si>
  <si>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</si>
  <si>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</si>
  <si>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</si>
  <si>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</si>
  <si>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</si>
  <si>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</si>
  <si>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</si>
  <si>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</si>
  <si>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</si>
  <si>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</si>
  <si>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</si>
  <si>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</si>
  <si>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</si>
  <si>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</si>
  <si>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</si>
  <si>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</si>
  <si>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</si>
  <si>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</si>
  <si>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</si>
  <si>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</si>
  <si>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</si>
  <si>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</si>
  <si>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</si>
  <si>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</si>
  <si>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</si>
  <si>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</si>
  <si>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</si>
  <si>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</si>
  <si>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</si>
  <si>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</si>
  <si>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</si>
  <si>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</si>
  <si>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</si>
  <si>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</si>
  <si>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</si>
  <si>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</si>
  <si>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</si>
  <si>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</si>
  <si>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</si>
  <si>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</si>
  <si>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</si>
  <si>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</si>
  <si>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</si>
  <si>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</si>
  <si>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</si>
  <si>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</si>
  <si>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</si>
  <si>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</si>
  <si>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</si>
  <si>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</si>
  <si>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</si>
  <si>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</si>
  <si>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</si>
  <si>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</si>
  <si>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</si>
  <si>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</si>
  <si>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</si>
  <si>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</si>
  <si>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</si>
  <si>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</si>
  <si>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</si>
  <si>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</si>
  <si>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</si>
  <si>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</si>
  <si>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</si>
  <si>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</si>
  <si>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</si>
  <si>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</si>
  <si>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</si>
  <si>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</si>
  <si>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</si>
  <si>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</si>
  <si>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</si>
  <si>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</si>
  <si>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</si>
  <si>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</si>
  <si>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</si>
  <si>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</si>
  <si>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</si>
  <si>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</si>
  <si>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</si>
  <si>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</si>
  <si>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</si>
  <si>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</si>
  <si>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</si>
  <si>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</si>
  <si>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</si>
  <si>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</si>
  <si>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</si>
  <si>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</si>
  <si>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</si>
  <si>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</si>
  <si>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</si>
  <si>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</si>
  <si>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</si>
  <si>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</si>
  <si>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</si>
  <si>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</si>
  <si>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</si>
  <si>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</si>
  <si>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</si>
  <si>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</si>
  <si>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</si>
  <si>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</si>
  <si>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</si>
  <si>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</si>
  <si>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</si>
  <si>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</si>
  <si>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</si>
  <si>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</si>
  <si>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</si>
  <si>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</si>
  <si>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</si>
  <si>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</si>
  <si>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</si>
  <si>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</si>
  <si>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</si>
  <si>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</si>
  <si>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</si>
  <si>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</si>
  <si>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</si>
  <si>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</si>
  <si>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</si>
  <si>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</si>
  <si>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</si>
  <si>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</si>
  <si>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</si>
  <si>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</si>
  <si>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</si>
  <si>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</si>
  <si>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</si>
  <si>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</si>
  <si>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</si>
  <si>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</si>
  <si>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</si>
  <si>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</si>
  <si>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</si>
  <si>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</si>
  <si>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</si>
  <si>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</si>
  <si>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</si>
  <si>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</si>
  <si>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</si>
  <si>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</si>
  <si>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</si>
  <si>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</si>
  <si>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</si>
  <si>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</si>
  <si>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</si>
  <si>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</si>
  <si>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</si>
  <si>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</si>
  <si>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</si>
  <si>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</si>
  <si>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</si>
  <si>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</si>
  <si>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</si>
  <si>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</si>
  <si>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</si>
  <si>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</si>
  <si>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</si>
  <si>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</si>
  <si>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</si>
  <si>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</si>
  <si>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</si>
  <si>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</si>
  <si>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</si>
  <si>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</si>
  <si>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</si>
  <si>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</si>
  <si>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</si>
  <si>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</si>
  <si>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</si>
  <si>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</si>
  <si>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</si>
  <si>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</si>
  <si>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</si>
  <si>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</si>
  <si>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</si>
  <si>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</si>
  <si>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</si>
  <si>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</si>
  <si>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</si>
  <si>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</si>
  <si>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</si>
  <si>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</si>
  <si>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</si>
  <si>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</si>
  <si>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</si>
  <si>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</si>
  <si>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</si>
  <si>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</si>
  <si>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</si>
  <si>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</si>
  <si>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</si>
  <si>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</si>
  <si>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</si>
  <si>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</si>
  <si>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</si>
  <si>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</si>
  <si>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</si>
  <si>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</si>
  <si>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</si>
  <si>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</si>
  <si>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</si>
  <si>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</si>
  <si>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</si>
  <si>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</si>
  <si>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</si>
  <si>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</si>
  <si>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</si>
  <si>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</si>
  <si>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</si>
  <si>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</si>
  <si>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</si>
  <si>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</si>
  <si>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</si>
  <si>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</si>
  <si>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</si>
  <si>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</si>
  <si>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</si>
  <si>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</si>
  <si>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</si>
  <si>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</si>
  <si>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</si>
  <si>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</si>
  <si>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</si>
  <si>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</si>
  <si>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</si>
  <si>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</si>
  <si>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</si>
  <si>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</si>
  <si>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</si>
  <si>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</si>
  <si>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</si>
  <si>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</si>
  <si>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</si>
  <si>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</si>
  <si>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</si>
  <si>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</si>
  <si>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</si>
  <si>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</si>
  <si>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</si>
  <si>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</si>
  <si>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</si>
  <si>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</si>
  <si>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</si>
  <si>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</si>
  <si>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</si>
  <si>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</si>
  <si>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</si>
  <si>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</si>
  <si>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</si>
  <si>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</si>
  <si>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</si>
  <si>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</si>
  <si>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</si>
  <si>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</si>
  <si>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</si>
  <si>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</si>
  <si>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</si>
  <si>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</si>
  <si>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</si>
  <si>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</si>
  <si>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</si>
  <si>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</si>
  <si>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</si>
  <si>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</si>
  <si>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</si>
  <si>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</si>
  <si>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</si>
  <si>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</si>
  <si>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</si>
  <si>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</si>
  <si>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</si>
  <si>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</si>
  <si>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</si>
  <si>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</si>
  <si>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</si>
  <si>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</si>
  <si>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</si>
  <si>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</si>
  <si>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</si>
  <si>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</si>
  <si>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</si>
  <si>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</si>
  <si>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</si>
  <si>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</si>
  <si>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</si>
  <si>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</si>
  <si>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</si>
  <si>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</si>
  <si>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</si>
  <si>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</si>
  <si>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</si>
  <si>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</si>
  <si>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</si>
  <si>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</si>
  <si>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</si>
  <si>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</si>
  <si>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</si>
  <si>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</si>
  <si>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</si>
  <si>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</si>
  <si>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</si>
  <si>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</si>
  <si>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</si>
  <si>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</si>
  <si>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</si>
  <si>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</si>
  <si>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</si>
  <si>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</si>
  <si>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</si>
  <si>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</si>
  <si>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</si>
  <si>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</si>
  <si>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</si>
  <si>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</si>
  <si>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</si>
  <si>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</si>
  <si>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</si>
  <si>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</si>
  <si>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</si>
  <si>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</si>
  <si>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</si>
  <si>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</si>
  <si>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</si>
  <si>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</si>
  <si>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</si>
  <si>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</si>
  <si>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</si>
  <si>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</si>
  <si>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</si>
  <si>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</si>
  <si>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</si>
  <si>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</si>
  <si>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</si>
  <si>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</si>
  <si>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</si>
  <si>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</si>
  <si>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</si>
  <si>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</si>
  <si>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</si>
  <si>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</si>
  <si>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</si>
  <si>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</si>
  <si>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</si>
  <si>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</si>
  <si>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</si>
  <si>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</si>
  <si>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</si>
  <si>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</si>
  <si>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</si>
  <si>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</si>
  <si>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</si>
  <si>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</si>
  <si>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</si>
  <si>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</si>
  <si>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</si>
  <si>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</si>
  <si>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</si>
  <si>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</si>
  <si>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</si>
  <si>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</si>
  <si>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</si>
  <si>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</si>
  <si>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</si>
  <si>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</si>
  <si>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</si>
  <si>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</si>
  <si>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</si>
  <si>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</si>
  <si>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</si>
  <si>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</si>
  <si>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</si>
  <si>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</si>
  <si>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</si>
  <si>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</si>
  <si>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</si>
  <si>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</si>
  <si>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</si>
  <si>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</si>
  <si>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</si>
  <si>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</si>
  <si>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</si>
  <si>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</si>
  <si>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</si>
  <si>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</si>
  <si>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</si>
  <si>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</si>
  <si>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</si>
  <si>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</si>
  <si>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</si>
  <si>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</si>
  <si>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</si>
  <si>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</si>
  <si>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</si>
  <si>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</si>
  <si>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</si>
  <si>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</si>
  <si>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</si>
  <si>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</si>
  <si>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</si>
  <si>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</si>
  <si>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</si>
  <si>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</si>
  <si>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</si>
  <si>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</si>
  <si>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</si>
  <si>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</si>
  <si>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</si>
  <si>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</si>
  <si>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</si>
  <si>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</si>
  <si>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</si>
  <si>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</si>
  <si>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</si>
  <si>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</si>
  <si>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</si>
  <si>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</si>
  <si>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</si>
  <si>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</si>
  <si>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</si>
  <si>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</si>
  <si>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</si>
  <si>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</si>
  <si>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</si>
  <si>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</si>
  <si>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</si>
  <si>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</si>
  <si>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</si>
  <si>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</si>
  <si>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</si>
  <si>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</si>
  <si>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</si>
  <si>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</si>
  <si>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</si>
  <si>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</si>
  <si>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</si>
  <si>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</si>
  <si>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</si>
  <si>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</si>
  <si>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</si>
  <si>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</si>
  <si>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</si>
  <si>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</si>
  <si>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</si>
  <si>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</si>
  <si>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</si>
  <si>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</si>
  <si>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</si>
  <si>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</si>
  <si>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</si>
  <si>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</si>
  <si>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</si>
  <si>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</si>
  <si>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</si>
  <si>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</si>
  <si>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</si>
  <si>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</si>
  <si>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</si>
  <si>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</si>
  <si>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</si>
  <si>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</si>
  <si>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</si>
  <si>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</si>
  <si>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</si>
  <si>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</si>
  <si>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</si>
  <si>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</si>
  <si>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</si>
  <si>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</si>
  <si>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</si>
  <si>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</si>
  <si>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</si>
  <si>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</si>
  <si>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</si>
  <si>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</si>
  <si>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</si>
  <si>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</si>
  <si>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</si>
  <si>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</si>
  <si>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</si>
  <si>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</si>
  <si>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</si>
  <si>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</si>
  <si>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</si>
  <si>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</si>
  <si>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</si>
  <si>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</si>
  <si>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</si>
  <si>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</si>
  <si>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</si>
  <si>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</si>
  <si>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</si>
  <si>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</si>
  <si>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</si>
  <si>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</si>
  <si>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</si>
  <si>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</si>
  <si>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</si>
  <si>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</si>
  <si>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</si>
  <si>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</si>
  <si>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</si>
  <si>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</si>
  <si>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</si>
  <si>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</si>
  <si>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</si>
  <si>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</si>
  <si>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</si>
  <si>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</si>
  <si>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</si>
  <si>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</si>
  <si>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</si>
  <si>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</si>
  <si>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</si>
  <si>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</si>
  <si>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</si>
  <si>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</si>
  <si>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</si>
  <si>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</si>
  <si>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</si>
  <si>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</si>
  <si>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</si>
  <si>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</si>
  <si>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</si>
  <si>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</si>
  <si>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</si>
  <si>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</si>
  <si>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</si>
  <si>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</si>
  <si>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</si>
  <si>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</si>
  <si>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</si>
  <si>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</si>
  <si>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</si>
  <si>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</si>
  <si>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</si>
  <si>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</si>
  <si>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</si>
  <si>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</si>
  <si>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</si>
  <si>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</si>
  <si>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</si>
  <si>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</si>
  <si>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</si>
  <si>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</si>
  <si>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</si>
  <si>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</si>
  <si>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</si>
  <si>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</si>
  <si>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</si>
  <si>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</si>
  <si>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</si>
  <si>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</si>
  <si>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</si>
  <si>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</si>
  <si>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</si>
  <si>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</si>
  <si>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</si>
  <si>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</si>
  <si>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</si>
  <si>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</si>
  <si>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</si>
  <si>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</si>
  <si>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</si>
  <si>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</si>
  <si>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</si>
  <si>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</si>
  <si>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</si>
  <si>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</si>
  <si>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</si>
  <si>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</si>
  <si>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</si>
  <si>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</si>
  <si>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</si>
  <si>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</si>
  <si>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</si>
  <si>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</si>
  <si>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</si>
  <si>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</si>
  <si>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</si>
  <si>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</si>
  <si>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</si>
  <si>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</si>
  <si>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</si>
  <si>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Temur Kobakhidze</t>
  </si>
  <si>
    <t>Independent member</t>
  </si>
  <si>
    <t>Zaza Verdzeuli</t>
  </si>
  <si>
    <t>Tea Jokhadze</t>
  </si>
  <si>
    <t>General Director</t>
  </si>
  <si>
    <t>Givi Lebanidze</t>
  </si>
  <si>
    <t>Financial Director</t>
  </si>
  <si>
    <t>Beka Kvaratskhelia</t>
  </si>
  <si>
    <t>Risk Director</t>
  </si>
  <si>
    <t xml:space="preserve">Zurab Gogua </t>
  </si>
  <si>
    <t>Commercial Director</t>
  </si>
  <si>
    <t>David Galuashvili</t>
  </si>
  <si>
    <t>Director of Operations</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</si>
  <si>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</si>
  <si>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</si>
  <si>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</si>
  <si>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</si>
  <si>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</si>
  <si>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</si>
  <si>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</si>
  <si>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</si>
  <si>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</si>
  <si>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</si>
  <si>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</si>
  <si>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</si>
  <si>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</si>
  <si>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</si>
  <si>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</si>
  <si>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</si>
  <si>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</si>
  <si>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</si>
  <si>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</si>
  <si>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</si>
  <si>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</si>
  <si>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</si>
  <si>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</si>
  <si>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</si>
  <si>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</si>
  <si>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</si>
  <si>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</si>
  <si>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</si>
  <si>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</si>
  <si>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</si>
  <si>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</si>
  <si>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</si>
  <si>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</si>
  <si>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</si>
  <si>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</si>
  <si>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</si>
  <si>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</si>
  <si>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</si>
  <si>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</si>
  <si>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</si>
  <si>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</si>
  <si>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</si>
  <si>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</si>
  <si>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</si>
  <si>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</si>
  <si>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X</t>
  </si>
  <si>
    <t>Table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</si>
</sst>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193" fontId="2" fillId="36" borderId="25" xfId="7"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7" fillId="0" borderId="13" xfId="0" applyNumberFormat="1" applyFont="1" applyBorder="1" applyAlignment="1">
      <alignment vertic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93" fontId="84" fillId="0" borderId="17" xfId="0" applyNumberFormat="1" applyFont="1" applyBorder="1" applyAlignment="1">
      <alignment vertic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45" fillId="77" borderId="102"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87" xfId="7" applyNumberFormat="1" applyFont="1" applyBorder="1"/>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164" fontId="4" fillId="0" borderId="87" xfId="7" applyNumberFormat="1" applyFont="1" applyBorder="1"/>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18" xfId="7" applyNumberFormat="1" applyFont="1" applyFill="1" applyBorder="1" applyAlignment="1" applyProtection="1">
      <alignment horizontal="right"/>
    </xf>
    <xf numFmtId="193" fontId="94" fillId="36" borderId="118" xfId="7" applyNumberFormat="1" applyFont="1" applyFill="1" applyBorder="1" applyAlignment="1" applyProtection="1">
      <alignment horizontal="right"/>
    </xf>
    <xf numFmtId="193" fontId="94" fillId="0" borderId="122" xfId="0" applyNumberFormat="1" applyFont="1" applyBorder="1" applyAlignment="1">
      <alignment horizontal="right"/>
    </xf>
    <xf numFmtId="193" fontId="94" fillId="0" borderId="118" xfId="0" applyNumberFormat="1" applyFont="1" applyBorder="1" applyAlignment="1">
      <alignment horizontal="right"/>
    </xf>
    <xf numFmtId="193" fontId="2" fillId="36" borderId="87" xfId="0" applyNumberFormat="1" applyFont="1" applyFill="1" applyBorder="1" applyAlignment="1">
      <alignment horizontal="right"/>
    </xf>
    <xf numFmtId="193" fontId="94" fillId="0" borderId="118" xfId="7" applyNumberFormat="1" applyFont="1" applyFill="1" applyBorder="1" applyAlignment="1" applyProtection="1">
      <alignment horizontal="right"/>
      <protection locked="0"/>
    </xf>
    <xf numFmtId="193" fontId="94" fillId="0" borderId="122" xfId="0" applyNumberFormat="1" applyFont="1" applyBorder="1" applyAlignment="1" applyProtection="1">
      <alignment horizontal="right"/>
      <protection locked="0"/>
    </xf>
    <xf numFmtId="193" fontId="94" fillId="0" borderId="118" xfId="0" applyNumberFormat="1" applyFont="1" applyBorder="1" applyAlignment="1" applyProtection="1">
      <alignment horizontal="right"/>
      <protection locked="0"/>
    </xf>
    <xf numFmtId="193" fontId="2" fillId="0" borderId="87" xfId="0" applyNumberFormat="1" applyFont="1" applyBorder="1" applyAlignment="1">
      <alignment horizontal="right"/>
    </xf>
    <xf numFmtId="193" fontId="2" fillId="36" borderId="26" xfId="0" applyNumberFormat="1" applyFont="1" applyFill="1" applyBorder="1" applyAlignment="1">
      <alignment horizontal="right"/>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67" fontId="3" fillId="0" borderId="118" xfId="0" applyNumberFormat="1" applyFont="1" applyBorder="1" applyAlignment="1">
      <alignment horizontal="center" vertical="center"/>
    </xf>
    <xf numFmtId="167" fontId="3" fillId="0" borderId="87" xfId="0" applyNumberFormat="1" applyFont="1" applyBorder="1" applyAlignment="1">
      <alignment horizontal="center" vertical="center"/>
    </xf>
    <xf numFmtId="167" fontId="99" fillId="0" borderId="118" xfId="0" applyNumberFormat="1" applyFont="1" applyBorder="1" applyAlignment="1">
      <alignment horizontal="center" vertical="center"/>
    </xf>
    <xf numFmtId="167" fontId="125" fillId="0" borderId="118" xfId="0" applyNumberFormat="1" applyFont="1" applyBorder="1" applyAlignment="1">
      <alignment horizontal="center" vertical="center"/>
    </xf>
    <xf numFmtId="167" fontId="7" fillId="0" borderId="118" xfId="0" applyNumberFormat="1" applyFont="1" applyBorder="1" applyAlignment="1">
      <alignment horizontal="center" vertical="center"/>
    </xf>
    <xf numFmtId="167" fontId="7" fillId="0" borderId="87" xfId="0" applyNumberFormat="1" applyFont="1" applyBorder="1" applyAlignment="1">
      <alignment horizontal="center" vertical="center"/>
    </xf>
    <xf numFmtId="193" fontId="0" fillId="0" borderId="87" xfId="0" applyNumberFormat="1" applyBorder="1"/>
    <xf numFmtId="193" fontId="0" fillId="0" borderId="87" xfId="0" applyNumberFormat="1" applyBorder="1" applyAlignment="1">
      <alignment wrapText="1"/>
    </xf>
    <xf numFmtId="193" fontId="96" fillId="3" borderId="87" xfId="2" applyNumberFormat="1" applyFont="1" applyFill="1" applyBorder="1" applyAlignment="1" applyProtection="1">
      <alignment vertical="top"/>
      <protection locked="0"/>
    </xf>
    <xf numFmtId="193" fontId="96" fillId="3" borderId="87" xfId="2" applyNumberFormat="1" applyFont="1" applyFill="1" applyBorder="1" applyAlignment="1" applyProtection="1">
      <alignment vertical="top" wrapText="1"/>
      <protection locked="0"/>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94" fillId="0" borderId="34" xfId="0" applyNumberFormat="1" applyFont="1" applyBorder="1" applyAlignment="1">
      <alignment vertical="center"/>
    </xf>
    <xf numFmtId="167" fontId="127" fillId="76" borderId="64" xfId="0" applyNumberFormat="1" applyFont="1" applyFill="1" applyBorder="1" applyAlignment="1">
      <alignment horizontal="center"/>
    </xf>
    <xf numFmtId="193" fontId="128" fillId="0" borderId="13" xfId="0" applyNumberFormat="1" applyFont="1" applyBorder="1" applyAlignment="1">
      <alignment vertical="center"/>
    </xf>
    <xf numFmtId="193" fontId="126" fillId="36" borderId="13" xfId="0" applyNumberFormat="1" applyFont="1" applyFill="1" applyBorder="1" applyAlignment="1">
      <alignment vertic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9" fontId="3" fillId="0" borderId="87" xfId="20962" applyFont="1" applyBorder="1"/>
    <xf numFmtId="14" fontId="84" fillId="0" borderId="0" xfId="0" applyNumberFormat="1" applyFont="1" applyAlignment="1">
      <alignment horizontal="right"/>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64" fontId="105" fillId="0" borderId="118" xfId="948" applyNumberFormat="1" applyFont="1" applyFill="1" applyBorder="1" applyAlignment="1" applyProtection="1">
      <alignment horizontal="right" vertical="center"/>
      <protection locked="0"/>
    </xf>
    <xf numFmtId="164" fontId="105" fillId="78" borderId="118" xfId="948" applyNumberFormat="1" applyFont="1" applyFill="1" applyBorder="1" applyAlignment="1" applyProtection="1">
      <alignment horizontal="right" vertical="center"/>
    </xf>
    <xf numFmtId="164" fontId="104" fillId="77" borderId="122" xfId="948" applyNumberFormat="1" applyFont="1" applyFill="1" applyBorder="1" applyAlignment="1" applyProtection="1">
      <alignment horizontal="right" vertical="center"/>
      <protection locked="0"/>
    </xf>
    <xf numFmtId="164" fontId="45" fillId="77" borderId="122" xfId="948" applyNumberFormat="1" applyFont="1" applyFill="1" applyBorder="1" applyAlignment="1" applyProtection="1">
      <alignment horizontal="right" vertical="center"/>
      <protection locked="0"/>
    </xf>
    <xf numFmtId="164" fontId="105" fillId="3" borderId="118" xfId="948" applyNumberFormat="1" applyFont="1" applyFill="1" applyBorder="1" applyAlignment="1" applyProtection="1">
      <alignment horizontal="right" vertical="center"/>
      <protection locked="0"/>
    </xf>
    <xf numFmtId="10" fontId="105" fillId="78" borderId="118" xfId="20962" applyNumberFormat="1" applyFont="1" applyFill="1" applyBorder="1" applyAlignment="1" applyProtection="1">
      <alignment horizontal="right" vertical="center"/>
    </xf>
    <xf numFmtId="164" fontId="3" fillId="0" borderId="118" xfId="7" applyNumberFormat="1" applyFont="1" applyBorder="1"/>
    <xf numFmtId="169" fontId="9" fillId="37" borderId="118" xfId="20" applyBorder="1"/>
    <xf numFmtId="164" fontId="3" fillId="0" borderId="118" xfId="7" applyNumberFormat="1" applyFont="1" applyBorder="1" applyAlignment="1">
      <alignment vertical="center"/>
    </xf>
    <xf numFmtId="164" fontId="3" fillId="0" borderId="118" xfId="7" applyNumberFormat="1" applyFont="1" applyFill="1" applyBorder="1"/>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79" borderId="118" xfId="7" applyNumberFormat="1" applyFont="1" applyFill="1" applyBorder="1"/>
    <xf numFmtId="164" fontId="116" fillId="79" borderId="118" xfId="7" applyNumberFormat="1" applyFont="1" applyFill="1" applyBorder="1"/>
    <xf numFmtId="164" fontId="113" fillId="0" borderId="118" xfId="7" applyNumberFormat="1" applyFont="1" applyBorder="1" applyAlignment="1">
      <alignment horizontal="left" indent="1"/>
    </xf>
    <xf numFmtId="164" fontId="113" fillId="80" borderId="118" xfId="7" applyNumberFormat="1" applyFont="1" applyFill="1" applyBorder="1"/>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0" fillId="0" borderId="7" xfId="0" applyBorder="1"/>
    <xf numFmtId="0" fontId="113" fillId="0" borderId="127" xfId="0" applyFont="1" applyBorder="1" applyAlignment="1">
      <alignment horizontal="center" vertical="center" wrapText="1"/>
    </xf>
    <xf numFmtId="0" fontId="113" fillId="0" borderId="125" xfId="0" applyFont="1" applyBorder="1" applyAlignment="1">
      <alignment horizontal="center" vertical="center" wrapText="1"/>
    </xf>
    <xf numFmtId="0" fontId="0" fillId="0" borderId="126" xfId="0" applyBorder="1" applyAlignment="1">
      <alignment horizontal="left" indent="2"/>
    </xf>
    <xf numFmtId="0" fontId="131" fillId="0" borderId="128" xfId="0" applyFont="1" applyBorder="1" applyAlignment="1">
      <alignment vertical="center" wrapText="1" readingOrder="1"/>
    </xf>
    <xf numFmtId="0" fontId="121" fillId="0" borderId="126" xfId="0" applyFont="1" applyBorder="1"/>
    <xf numFmtId="0" fontId="131" fillId="0" borderId="129" xfId="0" applyFont="1" applyBorder="1" applyAlignment="1">
      <alignment vertical="center" wrapText="1" readingOrder="1"/>
    </xf>
    <xf numFmtId="0" fontId="0" fillId="0" borderId="126" xfId="0" applyBorder="1" applyAlignment="1">
      <alignment horizontal="left" indent="3"/>
    </xf>
    <xf numFmtId="0" fontId="131" fillId="0" borderId="129" xfId="0" applyFont="1" applyBorder="1" applyAlignment="1">
      <alignment horizontal="left" vertical="center" wrapText="1" indent="1" readingOrder="1"/>
    </xf>
    <xf numFmtId="0" fontId="0" fillId="0" borderId="127" xfId="0" applyBorder="1" applyAlignment="1">
      <alignment horizontal="left" indent="2"/>
    </xf>
    <xf numFmtId="0" fontId="131" fillId="0" borderId="130" xfId="0" applyFont="1" applyBorder="1" applyAlignment="1">
      <alignment vertical="center" wrapText="1" readingOrder="1"/>
    </xf>
    <xf numFmtId="0" fontId="121" fillId="0" borderId="127" xfId="0" applyFont="1" applyBorder="1"/>
    <xf numFmtId="0" fontId="132" fillId="0" borderId="126" xfId="0" applyFont="1" applyBorder="1" applyAlignment="1">
      <alignment vertical="center" wrapText="1" readingOrder="1"/>
    </xf>
    <xf numFmtId="0" fontId="84" fillId="0" borderId="126" xfId="0" applyFont="1" applyBorder="1"/>
    <xf numFmtId="0" fontId="6" fillId="0" borderId="126" xfId="17" applyFill="1" applyBorder="1" applyAlignment="1" applyProtection="1"/>
    <xf numFmtId="193" fontId="123" fillId="0" borderId="126" xfId="0" applyNumberFormat="1" applyFont="1" applyBorder="1" applyAlignment="1" applyProtection="1">
      <alignment horizontal="right"/>
      <protection locked="0"/>
    </xf>
    <xf numFmtId="193" fontId="94" fillId="36" borderId="126"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123" fillId="36" borderId="126" xfId="0" applyNumberFormat="1" applyFont="1" applyFill="1" applyBorder="1" applyAlignment="1">
      <alignment horizontal="right"/>
    </xf>
    <xf numFmtId="193" fontId="94" fillId="0" borderId="126" xfId="7"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xf>
    <xf numFmtId="193" fontId="124" fillId="0" borderId="126" xfId="0" applyNumberFormat="1" applyFont="1" applyBorder="1" applyAlignment="1">
      <alignment horizontal="center"/>
    </xf>
    <xf numFmtId="193" fontId="124" fillId="0" borderId="131" xfId="0" applyNumberFormat="1" applyFont="1" applyBorder="1" applyAlignment="1">
      <alignment horizontal="center"/>
    </xf>
    <xf numFmtId="193" fontId="123" fillId="0" borderId="131" xfId="0" applyNumberFormat="1" applyFont="1" applyBorder="1" applyAlignment="1" applyProtection="1">
      <alignment horizontal="right"/>
      <protection locked="0"/>
    </xf>
    <xf numFmtId="193" fontId="123" fillId="0" borderId="126" xfId="0" applyNumberFormat="1" applyFont="1" applyBorder="1" applyAlignment="1" applyProtection="1">
      <alignment horizontal="left" indent="1"/>
      <protection locked="0"/>
    </xf>
    <xf numFmtId="193" fontId="94" fillId="36" borderId="126" xfId="7" applyNumberFormat="1" applyFont="1" applyFill="1" applyBorder="1" applyAlignment="1" applyProtection="1"/>
    <xf numFmtId="193" fontId="123" fillId="0" borderId="126" xfId="0" applyNumberFormat="1" applyFont="1" applyBorder="1" applyProtection="1">
      <protection locked="0"/>
    </xf>
    <xf numFmtId="193" fontId="94" fillId="36" borderId="131" xfId="7" applyNumberFormat="1" applyFont="1" applyFill="1" applyBorder="1" applyAlignment="1" applyProtection="1"/>
    <xf numFmtId="193" fontId="123" fillId="0" borderId="126" xfId="0" applyNumberFormat="1" applyFont="1" applyBorder="1" applyAlignment="1" applyProtection="1">
      <alignment horizontal="right" vertical="center"/>
      <protection locked="0"/>
    </xf>
    <xf numFmtId="193" fontId="123"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6" xfId="0" applyNumberFormat="1" applyFont="1" applyBorder="1" applyAlignment="1">
      <alignment horizontal="right"/>
    </xf>
    <xf numFmtId="193" fontId="94" fillId="36" borderId="126" xfId="0" applyNumberFormat="1" applyFont="1" applyFill="1" applyBorder="1" applyAlignment="1">
      <alignment horizontal="right"/>
    </xf>
    <xf numFmtId="193" fontId="94" fillId="36" borderId="131"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193" fontId="94" fillId="36" borderId="26" xfId="0" applyNumberFormat="1" applyFont="1" applyFill="1" applyBorder="1" applyAlignment="1">
      <alignment horizontal="right"/>
    </xf>
    <xf numFmtId="3" fontId="103" fillId="36" borderId="126"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26" xfId="0" applyNumberFormat="1" applyFont="1" applyBorder="1" applyAlignment="1">
      <alignment vertical="center" wrapText="1"/>
    </xf>
    <xf numFmtId="3" fontId="103" fillId="0" borderId="132" xfId="0" applyNumberFormat="1" applyFont="1" applyBorder="1" applyAlignment="1">
      <alignment vertical="center" wrapText="1"/>
    </xf>
    <xf numFmtId="3" fontId="103" fillId="0" borderId="133" xfId="0" applyNumberFormat="1" applyFont="1" applyBorder="1" applyAlignment="1">
      <alignment vertical="center" wrapText="1"/>
    </xf>
    <xf numFmtId="164" fontId="121" fillId="0" borderId="126" xfId="7" applyNumberFormat="1" applyFont="1" applyBorder="1"/>
    <xf numFmtId="9" fontId="121" fillId="0" borderId="126" xfId="20962" applyFont="1" applyBorder="1"/>
    <xf numFmtId="2" fontId="121" fillId="0" borderId="126" xfId="0" applyNumberFormat="1" applyFont="1" applyBorder="1"/>
    <xf numFmtId="164" fontId="121" fillId="0" borderId="127" xfId="7" applyNumberFormat="1" applyFont="1" applyBorder="1"/>
    <xf numFmtId="9" fontId="121" fillId="0" borderId="127" xfId="20962" applyFont="1" applyBorder="1"/>
    <xf numFmtId="2" fontId="121" fillId="0" borderId="127" xfId="0" applyNumberFormat="1" applyFont="1" applyBorder="1"/>
    <xf numFmtId="164" fontId="133" fillId="0" borderId="126" xfId="7" applyNumberFormat="1" applyFont="1" applyBorder="1"/>
    <xf numFmtId="0" fontId="133" fillId="0" borderId="126" xfId="0" applyFont="1" applyBorder="1"/>
    <xf numFmtId="9" fontId="133" fillId="0" borderId="126" xfId="20962" applyFont="1" applyBorder="1"/>
    <xf numFmtId="2" fontId="133" fillId="0" borderId="126" xfId="0" applyNumberFormat="1" applyFont="1" applyBorder="1"/>
    <xf numFmtId="164" fontId="116" fillId="80" borderId="118" xfId="7" applyNumberFormat="1" applyFont="1" applyFill="1" applyBorder="1"/>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xf numFmtId="0" fontId="130" fillId="0" borderId="126" xfId="0" applyFont="1" applyBorder="1" applyAlignment="1">
      <alignment horizontal="center" vertical="center" wrapText="1"/>
    </xf>
    <xf numFmtId="0" fontId="129" fillId="0" borderId="118" xfId="0" applyFont="1" applyBorder="1" applyAlignment="1">
      <alignment horizontal="center" vertical="center"/>
    </xf>
    <xf numFmtId="0" fontId="129" fillId="0" borderId="126" xfId="0" applyFont="1" applyBorder="1" applyAlignment="1">
      <alignment horizontal="center" vertical="center"/>
    </xf>
    <xf numFmtId="0" fontId="121" fillId="0" borderId="119" xfId="0" applyFont="1" applyBorder="1" applyAlignment="1">
      <alignment horizontal="center" vertical="center" wrapText="1"/>
    </xf>
    <xf numFmtId="0" fontId="121" fillId="0" borderId="125"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52"/>
      <c r="B1" s="195" t="s">
        <v>344</v>
      </c>
      <c r="C1" s="152"/>
    </row>
    <row r="2" spans="1:3">
      <c r="A2" s="196">
        <v>1</v>
      </c>
      <c r="B2" s="315" t="s">
        <v>345</v>
      </c>
      <c r="C2" s="459" t="s">
        <v>711</v>
      </c>
    </row>
    <row r="3" spans="1:3">
      <c r="A3" s="196">
        <v>2</v>
      </c>
      <c r="B3" s="316" t="s">
        <v>341</v>
      </c>
      <c r="C3" s="459" t="s">
        <v>712</v>
      </c>
    </row>
    <row r="4" spans="1:3">
      <c r="A4" s="196">
        <v>3</v>
      </c>
      <c r="B4" s="317" t="s">
        <v>346</v>
      </c>
      <c r="C4" s="459" t="s">
        <v>713</v>
      </c>
    </row>
    <row r="5" spans="1:3">
      <c r="A5" s="197">
        <v>4</v>
      </c>
      <c r="B5" s="318" t="s">
        <v>342</v>
      </c>
      <c r="C5" s="459" t="s">
        <v>714</v>
      </c>
    </row>
    <row r="6" spans="1:3" s="198" customFormat="1" ht="45.75" customHeight="1">
      <c r="A6" s="640" t="s">
        <v>420</v>
      </c>
      <c r="B6" s="641"/>
      <c r="C6" s="641"/>
    </row>
    <row r="7" spans="1:3" ht="15">
      <c r="A7" s="199" t="s">
        <v>29</v>
      </c>
      <c r="B7" s="195" t="s">
        <v>343</v>
      </c>
    </row>
    <row r="8" spans="1:3">
      <c r="A8" s="152">
        <v>1</v>
      </c>
      <c r="B8" s="238" t="s">
        <v>20</v>
      </c>
    </row>
    <row r="9" spans="1:3">
      <c r="A9" s="152">
        <v>2</v>
      </c>
      <c r="B9" s="239" t="s">
        <v>21</v>
      </c>
    </row>
    <row r="10" spans="1:3">
      <c r="A10" s="152">
        <v>3</v>
      </c>
      <c r="B10" s="239" t="s">
        <v>22</v>
      </c>
    </row>
    <row r="11" spans="1:3">
      <c r="A11" s="152">
        <v>4</v>
      </c>
      <c r="B11" s="239" t="s">
        <v>23</v>
      </c>
    </row>
    <row r="12" spans="1:3">
      <c r="A12" s="152">
        <v>5</v>
      </c>
      <c r="B12" s="239" t="s">
        <v>24</v>
      </c>
    </row>
    <row r="13" spans="1:3">
      <c r="A13" s="152">
        <v>6</v>
      </c>
      <c r="B13" s="240" t="s">
        <v>353</v>
      </c>
    </row>
    <row r="14" spans="1:3">
      <c r="A14" s="152">
        <v>7</v>
      </c>
      <c r="B14" s="239" t="s">
        <v>347</v>
      </c>
    </row>
    <row r="15" spans="1:3">
      <c r="A15" s="152">
        <v>8</v>
      </c>
      <c r="B15" s="239" t="s">
        <v>348</v>
      </c>
    </row>
    <row r="16" spans="1:3">
      <c r="A16" s="152">
        <v>9</v>
      </c>
      <c r="B16" s="239" t="s">
        <v>25</v>
      </c>
    </row>
    <row r="17" spans="1:2">
      <c r="A17" s="314" t="s">
        <v>419</v>
      </c>
      <c r="B17" s="313" t="s">
        <v>406</v>
      </c>
    </row>
    <row r="18" spans="1:2">
      <c r="A18" s="152">
        <v>10</v>
      </c>
      <c r="B18" s="239" t="s">
        <v>26</v>
      </c>
    </row>
    <row r="19" spans="1:2">
      <c r="A19" s="152">
        <v>11</v>
      </c>
      <c r="B19" s="240" t="s">
        <v>349</v>
      </c>
    </row>
    <row r="20" spans="1:2">
      <c r="A20" s="152">
        <v>12</v>
      </c>
      <c r="B20" s="240" t="s">
        <v>27</v>
      </c>
    </row>
    <row r="21" spans="1:2">
      <c r="A21" s="356">
        <v>13</v>
      </c>
      <c r="B21" s="357" t="s">
        <v>350</v>
      </c>
    </row>
    <row r="22" spans="1:2">
      <c r="A22" s="356">
        <v>14</v>
      </c>
      <c r="B22" s="358" t="s">
        <v>377</v>
      </c>
    </row>
    <row r="23" spans="1:2">
      <c r="A23" s="356">
        <v>15</v>
      </c>
      <c r="B23" s="359" t="s">
        <v>28</v>
      </c>
    </row>
    <row r="24" spans="1:2">
      <c r="A24" s="356">
        <v>15.1</v>
      </c>
      <c r="B24" s="360" t="s">
        <v>433</v>
      </c>
    </row>
    <row r="25" spans="1:2">
      <c r="A25" s="356">
        <v>16</v>
      </c>
      <c r="B25" s="360" t="s">
        <v>497</v>
      </c>
    </row>
    <row r="26" spans="1:2">
      <c r="A26" s="356">
        <v>17</v>
      </c>
      <c r="B26" s="360" t="s">
        <v>538</v>
      </c>
    </row>
    <row r="27" spans="1:2">
      <c r="A27" s="356">
        <v>18</v>
      </c>
      <c r="B27" s="360" t="s">
        <v>708</v>
      </c>
    </row>
    <row r="28" spans="1:2">
      <c r="A28" s="356">
        <v>19</v>
      </c>
      <c r="B28" s="360" t="s">
        <v>709</v>
      </c>
    </row>
    <row r="29" spans="1:2">
      <c r="A29" s="356">
        <v>20</v>
      </c>
      <c r="B29" s="436" t="s">
        <v>539</v>
      </c>
    </row>
    <row r="30" spans="1:2">
      <c r="A30" s="356">
        <v>21</v>
      </c>
      <c r="B30" s="360" t="s">
        <v>705</v>
      </c>
    </row>
    <row r="31" spans="1:2">
      <c r="A31" s="356">
        <v>22</v>
      </c>
      <c r="B31" s="360" t="s">
        <v>540</v>
      </c>
    </row>
    <row r="32" spans="1:2">
      <c r="A32" s="356">
        <v>23</v>
      </c>
      <c r="B32" s="360" t="s">
        <v>541</v>
      </c>
    </row>
    <row r="33" spans="1:2">
      <c r="A33" s="356">
        <v>24</v>
      </c>
      <c r="B33" s="360" t="s">
        <v>542</v>
      </c>
    </row>
    <row r="34" spans="1:2">
      <c r="A34" s="356">
        <v>25</v>
      </c>
      <c r="B34" s="360" t="s">
        <v>543</v>
      </c>
    </row>
    <row r="35" spans="1:2">
      <c r="A35" s="598">
        <v>26</v>
      </c>
      <c r="B35" s="599" t="s">
        <v>776</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pane="topRight"/>
      <selection pane="bottomLeft"/>
      <selection pane="bottomRight"/>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CARTU BANK</v>
      </c>
    </row>
    <row r="2" spans="1:3" s="2" customFormat="1" ht="15.75" customHeight="1">
      <c r="A2" s="2" t="s">
        <v>31</v>
      </c>
      <c r="B2" s="370">
        <f>'1. key ratios '!B2</f>
        <v>44651</v>
      </c>
    </row>
    <row r="3" spans="1:3" s="2" customFormat="1" ht="15.75" customHeight="1"/>
    <row r="4" spans="1:3" ht="13.5" thickBot="1">
      <c r="A4" s="4" t="s">
        <v>246</v>
      </c>
      <c r="B4" s="137" t="s">
        <v>245</v>
      </c>
    </row>
    <row r="5" spans="1:3">
      <c r="A5" s="80" t="s">
        <v>6</v>
      </c>
      <c r="B5" s="81"/>
      <c r="C5" s="82" t="s">
        <v>73</v>
      </c>
    </row>
    <row r="6" spans="1:3">
      <c r="A6" s="83">
        <v>1</v>
      </c>
      <c r="B6" s="84" t="s">
        <v>244</v>
      </c>
      <c r="C6" s="85">
        <f>SUM(C7:C11)</f>
        <v>195829007</v>
      </c>
    </row>
    <row r="7" spans="1:3">
      <c r="A7" s="83">
        <v>2</v>
      </c>
      <c r="B7" s="86" t="s">
        <v>243</v>
      </c>
      <c r="C7" s="503">
        <v>114430000</v>
      </c>
    </row>
    <row r="8" spans="1:3">
      <c r="A8" s="83">
        <v>3</v>
      </c>
      <c r="B8" s="87" t="s">
        <v>242</v>
      </c>
      <c r="C8" s="503"/>
    </row>
    <row r="9" spans="1:3">
      <c r="A9" s="83">
        <v>4</v>
      </c>
      <c r="B9" s="87" t="s">
        <v>241</v>
      </c>
      <c r="C9" s="503"/>
    </row>
    <row r="10" spans="1:3">
      <c r="A10" s="83">
        <v>5</v>
      </c>
      <c r="B10" s="87" t="s">
        <v>240</v>
      </c>
      <c r="C10" s="503">
        <v>7438034</v>
      </c>
    </row>
    <row r="11" spans="1:3">
      <c r="A11" s="83">
        <v>6</v>
      </c>
      <c r="B11" s="88" t="s">
        <v>239</v>
      </c>
      <c r="C11" s="503">
        <v>73960973</v>
      </c>
    </row>
    <row r="12" spans="1:3" s="56" customFormat="1">
      <c r="A12" s="83">
        <v>7</v>
      </c>
      <c r="B12" s="84" t="s">
        <v>238</v>
      </c>
      <c r="C12" s="89">
        <f>SUM(C13:C27)</f>
        <v>3965614</v>
      </c>
    </row>
    <row r="13" spans="1:3" s="56" customFormat="1">
      <c r="A13" s="83">
        <v>8</v>
      </c>
      <c r="B13" s="90" t="s">
        <v>237</v>
      </c>
      <c r="C13" s="504">
        <v>261450</v>
      </c>
    </row>
    <row r="14" spans="1:3" s="56" customFormat="1" ht="25.5">
      <c r="A14" s="83">
        <v>9</v>
      </c>
      <c r="B14" s="92" t="s">
        <v>236</v>
      </c>
      <c r="C14" s="504"/>
    </row>
    <row r="15" spans="1:3" s="56" customFormat="1">
      <c r="A15" s="83">
        <v>10</v>
      </c>
      <c r="B15" s="93" t="s">
        <v>235</v>
      </c>
      <c r="C15" s="504">
        <v>3704164</v>
      </c>
    </row>
    <row r="16" spans="1:3" s="56" customFormat="1">
      <c r="A16" s="83">
        <v>11</v>
      </c>
      <c r="B16" s="94" t="s">
        <v>234</v>
      </c>
      <c r="C16" s="504"/>
    </row>
    <row r="17" spans="1:3" s="56" customFormat="1">
      <c r="A17" s="83">
        <v>12</v>
      </c>
      <c r="B17" s="93" t="s">
        <v>233</v>
      </c>
      <c r="C17" s="504"/>
    </row>
    <row r="18" spans="1:3" s="56" customFormat="1">
      <c r="A18" s="83">
        <v>13</v>
      </c>
      <c r="B18" s="93" t="s">
        <v>232</v>
      </c>
      <c r="C18" s="504"/>
    </row>
    <row r="19" spans="1:3" s="56" customFormat="1">
      <c r="A19" s="83">
        <v>14</v>
      </c>
      <c r="B19" s="93" t="s">
        <v>231</v>
      </c>
      <c r="C19" s="504"/>
    </row>
    <row r="20" spans="1:3" s="56" customFormat="1">
      <c r="A20" s="83">
        <v>15</v>
      </c>
      <c r="B20" s="93" t="s">
        <v>230</v>
      </c>
      <c r="C20" s="504">
        <v>0</v>
      </c>
    </row>
    <row r="21" spans="1:3" s="56" customFormat="1" ht="25.5">
      <c r="A21" s="83">
        <v>16</v>
      </c>
      <c r="B21" s="92" t="s">
        <v>229</v>
      </c>
      <c r="C21" s="504"/>
    </row>
    <row r="22" spans="1:3" s="56" customFormat="1">
      <c r="A22" s="83">
        <v>17</v>
      </c>
      <c r="B22" s="95" t="s">
        <v>228</v>
      </c>
      <c r="C22" s="504"/>
    </row>
    <row r="23" spans="1:3" s="56" customFormat="1">
      <c r="A23" s="83">
        <v>18</v>
      </c>
      <c r="B23" s="92" t="s">
        <v>227</v>
      </c>
      <c r="C23" s="504"/>
    </row>
    <row r="24" spans="1:3" s="56" customFormat="1" ht="25.5">
      <c r="A24" s="83">
        <v>19</v>
      </c>
      <c r="B24" s="92" t="s">
        <v>204</v>
      </c>
      <c r="C24" s="504"/>
    </row>
    <row r="25" spans="1:3" s="56" customFormat="1">
      <c r="A25" s="83">
        <v>20</v>
      </c>
      <c r="B25" s="94" t="s">
        <v>226</v>
      </c>
      <c r="C25" s="504"/>
    </row>
    <row r="26" spans="1:3" s="56" customFormat="1">
      <c r="A26" s="83">
        <v>21</v>
      </c>
      <c r="B26" s="94" t="s">
        <v>225</v>
      </c>
      <c r="C26" s="504"/>
    </row>
    <row r="27" spans="1:3" s="56" customFormat="1">
      <c r="A27" s="83">
        <v>22</v>
      </c>
      <c r="B27" s="94" t="s">
        <v>224</v>
      </c>
      <c r="C27" s="504"/>
    </row>
    <row r="28" spans="1:3" s="56" customFormat="1">
      <c r="A28" s="83">
        <v>23</v>
      </c>
      <c r="B28" s="96" t="s">
        <v>223</v>
      </c>
      <c r="C28" s="89">
        <f>C6-C12</f>
        <v>191863393</v>
      </c>
    </row>
    <row r="29" spans="1:3" s="56" customFormat="1">
      <c r="A29" s="97"/>
      <c r="B29" s="98"/>
      <c r="C29" s="91"/>
    </row>
    <row r="30" spans="1:3" s="56" customFormat="1">
      <c r="A30" s="97">
        <v>24</v>
      </c>
      <c r="B30" s="96" t="s">
        <v>222</v>
      </c>
      <c r="C30" s="89">
        <f>C31+C34</f>
        <v>83735100</v>
      </c>
    </row>
    <row r="31" spans="1:3" s="56" customFormat="1">
      <c r="A31" s="97">
        <v>25</v>
      </c>
      <c r="B31" s="87" t="s">
        <v>221</v>
      </c>
      <c r="C31" s="99">
        <f>C32+C33</f>
        <v>83735100</v>
      </c>
    </row>
    <row r="32" spans="1:3" s="56" customFormat="1">
      <c r="A32" s="97">
        <v>26</v>
      </c>
      <c r="B32" s="100" t="s">
        <v>302</v>
      </c>
      <c r="C32" s="504"/>
    </row>
    <row r="33" spans="1:3" s="56" customFormat="1">
      <c r="A33" s="97">
        <v>27</v>
      </c>
      <c r="B33" s="100" t="s">
        <v>220</v>
      </c>
      <c r="C33" s="504">
        <v>83735100</v>
      </c>
    </row>
    <row r="34" spans="1:3" s="56" customFormat="1">
      <c r="A34" s="97">
        <v>28</v>
      </c>
      <c r="B34" s="87" t="s">
        <v>219</v>
      </c>
      <c r="C34" s="504"/>
    </row>
    <row r="35" spans="1:3" s="56" customFormat="1">
      <c r="A35" s="97">
        <v>29</v>
      </c>
      <c r="B35" s="96" t="s">
        <v>218</v>
      </c>
      <c r="C35" s="89">
        <f>SUM(C36:C40)</f>
        <v>0</v>
      </c>
    </row>
    <row r="36" spans="1:3" s="56" customFormat="1">
      <c r="A36" s="97">
        <v>30</v>
      </c>
      <c r="B36" s="92" t="s">
        <v>217</v>
      </c>
      <c r="C36" s="91"/>
    </row>
    <row r="37" spans="1:3" s="56" customFormat="1">
      <c r="A37" s="97">
        <v>31</v>
      </c>
      <c r="B37" s="93" t="s">
        <v>216</v>
      </c>
      <c r="C37" s="91"/>
    </row>
    <row r="38" spans="1:3" s="56" customFormat="1" ht="25.5">
      <c r="A38" s="97">
        <v>32</v>
      </c>
      <c r="B38" s="92" t="s">
        <v>215</v>
      </c>
      <c r="C38" s="91"/>
    </row>
    <row r="39" spans="1:3" s="56" customFormat="1" ht="25.5">
      <c r="A39" s="97">
        <v>33</v>
      </c>
      <c r="B39" s="92" t="s">
        <v>204</v>
      </c>
      <c r="C39" s="91"/>
    </row>
    <row r="40" spans="1:3" s="56" customFormat="1">
      <c r="A40" s="97">
        <v>34</v>
      </c>
      <c r="B40" s="94" t="s">
        <v>214</v>
      </c>
      <c r="C40" s="91"/>
    </row>
    <row r="41" spans="1:3" s="56" customFormat="1">
      <c r="A41" s="97">
        <v>35</v>
      </c>
      <c r="B41" s="96" t="s">
        <v>213</v>
      </c>
      <c r="C41" s="89">
        <f>C30-C35</f>
        <v>83735100</v>
      </c>
    </row>
    <row r="42" spans="1:3" s="56" customFormat="1">
      <c r="A42" s="97"/>
      <c r="B42" s="98"/>
      <c r="C42" s="91"/>
    </row>
    <row r="43" spans="1:3" s="56" customFormat="1">
      <c r="A43" s="97">
        <v>36</v>
      </c>
      <c r="B43" s="101" t="s">
        <v>212</v>
      </c>
      <c r="C43" s="89">
        <f>SUM(C44:C46)</f>
        <v>49346409</v>
      </c>
    </row>
    <row r="44" spans="1:3" s="56" customFormat="1">
      <c r="A44" s="97">
        <v>37</v>
      </c>
      <c r="B44" s="87" t="s">
        <v>211</v>
      </c>
      <c r="C44" s="504">
        <v>37215600</v>
      </c>
    </row>
    <row r="45" spans="1:3" s="56" customFormat="1">
      <c r="A45" s="97">
        <v>38</v>
      </c>
      <c r="B45" s="87" t="s">
        <v>210</v>
      </c>
      <c r="C45" s="504"/>
    </row>
    <row r="46" spans="1:3" s="56" customFormat="1">
      <c r="A46" s="97">
        <v>39</v>
      </c>
      <c r="B46" s="87" t="s">
        <v>209</v>
      </c>
      <c r="C46" s="504">
        <v>12130809</v>
      </c>
    </row>
    <row r="47" spans="1:3" s="56" customFormat="1">
      <c r="A47" s="97">
        <v>40</v>
      </c>
      <c r="B47" s="101" t="s">
        <v>208</v>
      </c>
      <c r="C47" s="89">
        <f>SUM(C48:C51)</f>
        <v>0</v>
      </c>
    </row>
    <row r="48" spans="1:3" s="56" customFormat="1">
      <c r="A48" s="97">
        <v>41</v>
      </c>
      <c r="B48" s="92" t="s">
        <v>207</v>
      </c>
      <c r="C48" s="91"/>
    </row>
    <row r="49" spans="1:3" s="56" customFormat="1">
      <c r="A49" s="97">
        <v>42</v>
      </c>
      <c r="B49" s="93" t="s">
        <v>206</v>
      </c>
      <c r="C49" s="91"/>
    </row>
    <row r="50" spans="1:3" s="56" customFormat="1">
      <c r="A50" s="97">
        <v>43</v>
      </c>
      <c r="B50" s="92" t="s">
        <v>205</v>
      </c>
      <c r="C50" s="91"/>
    </row>
    <row r="51" spans="1:3" s="56" customFormat="1" ht="25.5">
      <c r="A51" s="97">
        <v>44</v>
      </c>
      <c r="B51" s="92" t="s">
        <v>204</v>
      </c>
      <c r="C51" s="91"/>
    </row>
    <row r="52" spans="1:3" s="56" customFormat="1" ht="13.5" thickBot="1">
      <c r="A52" s="102">
        <v>45</v>
      </c>
      <c r="B52" s="103" t="s">
        <v>203</v>
      </c>
      <c r="C52" s="104">
        <f>C43-C47</f>
        <v>49346409</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ht="15">
      <c r="A1" s="223" t="s">
        <v>30</v>
      </c>
      <c r="B1" s="3" t="str">
        <f>'Info '!C2</f>
        <v>JSC CARTU BANK</v>
      </c>
    </row>
    <row r="2" spans="1:4" s="223" customFormat="1" ht="15.75" customHeight="1">
      <c r="A2" s="223" t="s">
        <v>31</v>
      </c>
      <c r="B2" s="370">
        <f>'1. key ratios '!B2</f>
        <v>44651</v>
      </c>
    </row>
    <row r="3" spans="1:4" s="223" customFormat="1" ht="15.75" customHeight="1"/>
    <row r="4" spans="1:4" ht="13.5" thickBot="1">
      <c r="A4" s="225" t="s">
        <v>405</v>
      </c>
      <c r="B4" s="305" t="s">
        <v>406</v>
      </c>
    </row>
    <row r="5" spans="1:4" s="230" customFormat="1" ht="12.75" customHeight="1">
      <c r="A5" s="354"/>
      <c r="B5" s="355" t="s">
        <v>409</v>
      </c>
      <c r="C5" s="298" t="s">
        <v>407</v>
      </c>
      <c r="D5" s="299" t="s">
        <v>408</v>
      </c>
    </row>
    <row r="6" spans="1:4" s="306" customFormat="1">
      <c r="A6" s="300">
        <v>1</v>
      </c>
      <c r="B6" s="350" t="s">
        <v>410</v>
      </c>
      <c r="C6" s="350"/>
      <c r="D6" s="301"/>
    </row>
    <row r="7" spans="1:4" s="306" customFormat="1">
      <c r="A7" s="302" t="s">
        <v>396</v>
      </c>
      <c r="B7" s="351" t="s">
        <v>411</v>
      </c>
      <c r="C7" s="505">
        <v>4.4999999999999998E-2</v>
      </c>
      <c r="D7" s="506">
        <f>C7*'5. RWA '!$C$13</f>
        <v>61251833.056093186</v>
      </c>
    </row>
    <row r="8" spans="1:4" s="306" customFormat="1">
      <c r="A8" s="302" t="s">
        <v>397</v>
      </c>
      <c r="B8" s="351" t="s">
        <v>412</v>
      </c>
      <c r="C8" s="507">
        <v>0.06</v>
      </c>
      <c r="D8" s="506">
        <f>C8*'5. RWA '!$C$13</f>
        <v>81669110.741457582</v>
      </c>
    </row>
    <row r="9" spans="1:4" s="306" customFormat="1">
      <c r="A9" s="302" t="s">
        <v>398</v>
      </c>
      <c r="B9" s="351" t="s">
        <v>413</v>
      </c>
      <c r="C9" s="507">
        <v>0.08</v>
      </c>
      <c r="D9" s="506">
        <f>C9*'5. RWA '!$C$13</f>
        <v>108892147.65527678</v>
      </c>
    </row>
    <row r="10" spans="1:4" s="306" customFormat="1">
      <c r="A10" s="300" t="s">
        <v>399</v>
      </c>
      <c r="B10" s="350" t="s">
        <v>414</v>
      </c>
      <c r="C10" s="508"/>
      <c r="D10" s="509"/>
    </row>
    <row r="11" spans="1:4" s="307" customFormat="1">
      <c r="A11" s="303" t="s">
        <v>400</v>
      </c>
      <c r="B11" s="349" t="s">
        <v>480</v>
      </c>
      <c r="C11" s="510">
        <v>2.5000000000000001E-2</v>
      </c>
      <c r="D11" s="506">
        <f>C11*'5. RWA '!$C$13</f>
        <v>34028796.142273992</v>
      </c>
    </row>
    <row r="12" spans="1:4" s="307" customFormat="1">
      <c r="A12" s="303" t="s">
        <v>401</v>
      </c>
      <c r="B12" s="349" t="s">
        <v>415</v>
      </c>
      <c r="C12" s="510">
        <v>0</v>
      </c>
      <c r="D12" s="506">
        <f>C12*'5. RWA '!$C$13</f>
        <v>0</v>
      </c>
    </row>
    <row r="13" spans="1:4" s="307" customFormat="1">
      <c r="A13" s="303" t="s">
        <v>402</v>
      </c>
      <c r="B13" s="349" t="s">
        <v>416</v>
      </c>
      <c r="C13" s="510"/>
      <c r="D13" s="506">
        <f>C13*'5. RWA '!$C$13</f>
        <v>0</v>
      </c>
    </row>
    <row r="14" spans="1:4" s="307" customFormat="1">
      <c r="A14" s="300" t="s">
        <v>403</v>
      </c>
      <c r="B14" s="350" t="s">
        <v>477</v>
      </c>
      <c r="C14" s="511"/>
      <c r="D14" s="509"/>
    </row>
    <row r="15" spans="1:4" s="307" customFormat="1">
      <c r="A15" s="303">
        <v>3.1</v>
      </c>
      <c r="B15" s="349" t="s">
        <v>421</v>
      </c>
      <c r="C15" s="510">
        <v>4.5176080575978404E-2</v>
      </c>
      <c r="D15" s="506">
        <f>C15*'5. RWA '!$C$13</f>
        <v>61491505.45707652</v>
      </c>
    </row>
    <row r="16" spans="1:4" s="307" customFormat="1">
      <c r="A16" s="303">
        <v>3.2</v>
      </c>
      <c r="B16" s="349" t="s">
        <v>422</v>
      </c>
      <c r="C16" s="510">
        <v>6.0304011215380704E-2</v>
      </c>
      <c r="D16" s="506">
        <f>C16*'5. RWA '!$C$13</f>
        <v>82082916.168383777</v>
      </c>
    </row>
    <row r="17" spans="1:4" s="306" customFormat="1">
      <c r="A17" s="303">
        <v>3.3</v>
      </c>
      <c r="B17" s="349" t="s">
        <v>423</v>
      </c>
      <c r="C17" s="510">
        <v>9.531390180325551E-2</v>
      </c>
      <c r="D17" s="506">
        <f>C17*'5. RWA '!$C$13</f>
        <v>129736693.35950813</v>
      </c>
    </row>
    <row r="18" spans="1:4" s="230" customFormat="1" ht="12.75" customHeight="1">
      <c r="A18" s="352"/>
      <c r="B18" s="353" t="s">
        <v>476</v>
      </c>
      <c r="C18" s="508" t="s">
        <v>407</v>
      </c>
      <c r="D18" s="512" t="s">
        <v>408</v>
      </c>
    </row>
    <row r="19" spans="1:4" s="306" customFormat="1">
      <c r="A19" s="304">
        <v>4</v>
      </c>
      <c r="B19" s="349" t="s">
        <v>417</v>
      </c>
      <c r="C19" s="510">
        <f>C7+C11+C12+C13+C15</f>
        <v>0.11517608057597842</v>
      </c>
      <c r="D19" s="506">
        <f>C19*'5. RWA '!$C$13</f>
        <v>156772134.65544373</v>
      </c>
    </row>
    <row r="20" spans="1:4" s="306" customFormat="1">
      <c r="A20" s="304">
        <v>5</v>
      </c>
      <c r="B20" s="349" t="s">
        <v>137</v>
      </c>
      <c r="C20" s="510">
        <f>C8+C11+C12+C13+C16</f>
        <v>0.1453040112153807</v>
      </c>
      <c r="D20" s="506">
        <f>C20*'5. RWA '!$C$13</f>
        <v>197780823.05211535</v>
      </c>
    </row>
    <row r="21" spans="1:4" s="306" customFormat="1" ht="13.5" thickBot="1">
      <c r="A21" s="308" t="s">
        <v>404</v>
      </c>
      <c r="B21" s="309" t="s">
        <v>418</v>
      </c>
      <c r="C21" s="513">
        <f>C9+C11+C12+C13+C17</f>
        <v>0.20031390180325553</v>
      </c>
      <c r="D21" s="514">
        <f>C21*'5. RWA '!$C$13</f>
        <v>272657637.15705895</v>
      </c>
    </row>
    <row r="23" spans="1:4" ht="51">
      <c r="B23" s="265"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CARTU BANK</v>
      </c>
      <c r="E1" s="4"/>
      <c r="F1" s="4"/>
    </row>
    <row r="2" spans="1:6" s="2" customFormat="1" ht="15.75" customHeight="1">
      <c r="A2" s="2" t="s">
        <v>31</v>
      </c>
      <c r="B2" s="370">
        <f>'1. key ratios '!B2</f>
        <v>44651</v>
      </c>
    </row>
    <row r="3" spans="1:6" s="2" customFormat="1" ht="15.75" customHeight="1">
      <c r="A3" s="105"/>
    </row>
    <row r="4" spans="1:6" s="2" customFormat="1" ht="15.75" customHeight="1" thickBot="1">
      <c r="A4" s="2" t="s">
        <v>86</v>
      </c>
      <c r="B4" s="215" t="s">
        <v>286</v>
      </c>
      <c r="D4" s="32" t="s">
        <v>73</v>
      </c>
    </row>
    <row r="5" spans="1:6" ht="25.5">
      <c r="A5" s="106" t="s">
        <v>6</v>
      </c>
      <c r="B5" s="242" t="s">
        <v>340</v>
      </c>
      <c r="C5" s="107" t="s">
        <v>93</v>
      </c>
      <c r="D5" s="108" t="s">
        <v>94</v>
      </c>
    </row>
    <row r="6" spans="1:6" ht="15">
      <c r="A6" s="74">
        <v>1</v>
      </c>
      <c r="B6" s="109" t="s">
        <v>35</v>
      </c>
      <c r="C6" s="515">
        <f>'2.RC'!E7</f>
        <v>14851742</v>
      </c>
      <c r="D6" s="110"/>
      <c r="E6" s="111"/>
    </row>
    <row r="7" spans="1:6" ht="15">
      <c r="A7" s="74">
        <v>2</v>
      </c>
      <c r="B7" s="112" t="s">
        <v>36</v>
      </c>
      <c r="C7" s="516">
        <f>'2.RC'!E8</f>
        <v>211334277</v>
      </c>
      <c r="D7" s="114"/>
      <c r="E7" s="111"/>
    </row>
    <row r="8" spans="1:6" ht="15">
      <c r="A8" s="74">
        <v>3</v>
      </c>
      <c r="B8" s="112" t="s">
        <v>37</v>
      </c>
      <c r="C8" s="516">
        <f>'2.RC'!E9</f>
        <v>194640372</v>
      </c>
      <c r="D8" s="114"/>
      <c r="E8" s="111"/>
    </row>
    <row r="9" spans="1:6" ht="15">
      <c r="A9" s="74">
        <v>4</v>
      </c>
      <c r="B9" s="112" t="s">
        <v>38</v>
      </c>
      <c r="C9" s="516">
        <f>'2.RC'!E10</f>
        <v>0</v>
      </c>
      <c r="D9" s="114"/>
      <c r="E9" s="111"/>
    </row>
    <row r="10" spans="1:6" ht="15">
      <c r="A10" s="74">
        <v>5</v>
      </c>
      <c r="B10" s="112" t="s">
        <v>39</v>
      </c>
      <c r="C10" s="516">
        <f>'2.RC'!E11-C11</f>
        <v>32405550</v>
      </c>
      <c r="D10" s="114"/>
      <c r="E10" s="111"/>
    </row>
    <row r="11" spans="1:6" ht="15.75">
      <c r="A11" s="74">
        <v>5.0999999999999996</v>
      </c>
      <c r="B11" s="523" t="s">
        <v>740</v>
      </c>
      <c r="C11" s="517">
        <v>-60000</v>
      </c>
      <c r="D11" s="518" t="s">
        <v>734</v>
      </c>
      <c r="E11" s="117"/>
    </row>
    <row r="12" spans="1:6" ht="15">
      <c r="A12" s="74">
        <v>5.2</v>
      </c>
      <c r="B12" s="112" t="s">
        <v>741</v>
      </c>
      <c r="C12" s="517">
        <f>C10+C11</f>
        <v>32345550</v>
      </c>
      <c r="D12" s="114"/>
      <c r="E12" s="117"/>
    </row>
    <row r="13" spans="1:6" ht="15">
      <c r="A13" s="74">
        <v>6.1</v>
      </c>
      <c r="B13" s="216" t="s">
        <v>40</v>
      </c>
      <c r="C13" s="519">
        <f>'2.RC'!E12</f>
        <v>965150942</v>
      </c>
      <c r="D13" s="116"/>
      <c r="E13" s="111"/>
    </row>
    <row r="14" spans="1:6" ht="15">
      <c r="A14" s="74">
        <v>6.2</v>
      </c>
      <c r="B14" s="217" t="s">
        <v>41</v>
      </c>
      <c r="C14" s="519">
        <v>-162019834</v>
      </c>
      <c r="D14" s="116"/>
      <c r="E14" s="111"/>
    </row>
    <row r="15" spans="1:6" ht="15.75">
      <c r="A15" s="74" t="s">
        <v>742</v>
      </c>
      <c r="B15" s="524" t="s">
        <v>740</v>
      </c>
      <c r="C15" s="519">
        <v>-11638775</v>
      </c>
      <c r="D15" s="518" t="s">
        <v>734</v>
      </c>
      <c r="E15" s="111"/>
    </row>
    <row r="16" spans="1:6" ht="15">
      <c r="A16" s="74" t="s">
        <v>743</v>
      </c>
      <c r="B16" s="524" t="s">
        <v>744</v>
      </c>
      <c r="C16" s="519">
        <v>0</v>
      </c>
      <c r="D16" s="116"/>
      <c r="E16" s="111"/>
    </row>
    <row r="17" spans="1:5" ht="15">
      <c r="A17" s="74">
        <v>6</v>
      </c>
      <c r="B17" s="112" t="s">
        <v>42</v>
      </c>
      <c r="C17" s="520">
        <f>C13+C14</f>
        <v>803131108</v>
      </c>
      <c r="D17" s="116"/>
      <c r="E17" s="111"/>
    </row>
    <row r="18" spans="1:5" ht="15">
      <c r="A18" s="74">
        <v>7</v>
      </c>
      <c r="B18" s="112" t="s">
        <v>43</v>
      </c>
      <c r="C18" s="516">
        <f>'2.RC'!E15</f>
        <v>24782525</v>
      </c>
      <c r="D18" s="114"/>
      <c r="E18" s="111"/>
    </row>
    <row r="19" spans="1:5" ht="15">
      <c r="A19" s="74">
        <v>8</v>
      </c>
      <c r="B19" s="112" t="s">
        <v>199</v>
      </c>
      <c r="C19" s="516">
        <f>'2.RC'!E16</f>
        <v>15975500</v>
      </c>
      <c r="D19" s="114"/>
      <c r="E19" s="111"/>
    </row>
    <row r="20" spans="1:5" ht="15">
      <c r="A20" s="74">
        <v>9</v>
      </c>
      <c r="B20" s="112" t="s">
        <v>44</v>
      </c>
      <c r="C20" s="516">
        <f>SUM(C22:C25)</f>
        <v>7793239</v>
      </c>
      <c r="D20" s="114"/>
      <c r="E20" s="111"/>
    </row>
    <row r="21" spans="1:5">
      <c r="A21" s="74">
        <v>9.1</v>
      </c>
      <c r="B21" s="118" t="s">
        <v>88</v>
      </c>
      <c r="C21" s="115"/>
      <c r="D21" s="114"/>
      <c r="E21" s="111"/>
    </row>
    <row r="22" spans="1:5" ht="15.75">
      <c r="A22" s="74">
        <v>9.1999999999999993</v>
      </c>
      <c r="B22" s="118" t="s">
        <v>89</v>
      </c>
      <c r="C22" s="115">
        <v>9372300</v>
      </c>
      <c r="D22" s="521"/>
      <c r="E22" s="111"/>
    </row>
    <row r="23" spans="1:5" ht="15.75">
      <c r="A23" s="74">
        <v>9.3000000000000007</v>
      </c>
      <c r="B23" s="118" t="s">
        <v>745</v>
      </c>
      <c r="C23" s="115">
        <v>-1634921</v>
      </c>
      <c r="D23" s="521"/>
      <c r="E23" s="125"/>
    </row>
    <row r="24" spans="1:5" ht="15.75">
      <c r="A24" s="74">
        <v>9.4</v>
      </c>
      <c r="B24" s="118" t="s">
        <v>268</v>
      </c>
      <c r="C24" s="113">
        <v>57000</v>
      </c>
      <c r="D24" s="521"/>
      <c r="E24" s="111"/>
    </row>
    <row r="25" spans="1:5" ht="15.75">
      <c r="A25" s="74">
        <v>9.5</v>
      </c>
      <c r="B25" s="118" t="s">
        <v>746</v>
      </c>
      <c r="C25" s="113">
        <v>-1140</v>
      </c>
      <c r="D25" s="518" t="s">
        <v>734</v>
      </c>
      <c r="E25" s="111"/>
    </row>
    <row r="26" spans="1:5">
      <c r="A26" s="74">
        <v>10</v>
      </c>
      <c r="B26" s="112" t="s">
        <v>45</v>
      </c>
      <c r="C26" s="120">
        <f>'2.RC'!E18</f>
        <v>19652980</v>
      </c>
      <c r="D26" s="114"/>
      <c r="E26" s="111"/>
    </row>
    <row r="27" spans="1:5">
      <c r="A27" s="525">
        <v>10.1</v>
      </c>
      <c r="B27" s="127" t="s">
        <v>90</v>
      </c>
      <c r="C27" s="120">
        <f>'9.Capital'!C15</f>
        <v>3704164</v>
      </c>
      <c r="D27" s="522" t="s">
        <v>92</v>
      </c>
      <c r="E27" s="111"/>
    </row>
    <row r="28" spans="1:5">
      <c r="A28" s="526">
        <v>11</v>
      </c>
      <c r="B28" s="527" t="s">
        <v>46</v>
      </c>
      <c r="C28" s="120">
        <f>'2.RC'!E19-C30-C31</f>
        <v>47924129</v>
      </c>
      <c r="D28" s="121"/>
      <c r="E28" s="111"/>
    </row>
    <row r="29" spans="1:5">
      <c r="A29" s="526">
        <v>11.1</v>
      </c>
      <c r="B29" s="528" t="s">
        <v>747</v>
      </c>
      <c r="C29" s="120">
        <f>'9.Capital'!C20</f>
        <v>0</v>
      </c>
      <c r="D29" s="522" t="s">
        <v>735</v>
      </c>
      <c r="E29" s="111"/>
    </row>
    <row r="30" spans="1:5">
      <c r="A30" s="526">
        <v>11.2</v>
      </c>
      <c r="B30" s="528" t="s">
        <v>740</v>
      </c>
      <c r="C30" s="120">
        <v>0</v>
      </c>
      <c r="D30" s="522" t="s">
        <v>734</v>
      </c>
      <c r="E30" s="111"/>
    </row>
    <row r="31" spans="1:5">
      <c r="A31" s="526">
        <v>11.3</v>
      </c>
      <c r="B31" s="528" t="s">
        <v>748</v>
      </c>
      <c r="C31" s="120">
        <v>-1961140</v>
      </c>
      <c r="D31" s="121"/>
      <c r="E31" s="111"/>
    </row>
    <row r="32" spans="1:5">
      <c r="A32" s="526"/>
      <c r="B32" s="527" t="s">
        <v>749</v>
      </c>
      <c r="C32" s="120">
        <f>SUM(C28,C30:C31)</f>
        <v>45962989</v>
      </c>
      <c r="D32" s="121"/>
      <c r="E32" s="111"/>
    </row>
    <row r="33" spans="1:5">
      <c r="A33" s="74">
        <v>12</v>
      </c>
      <c r="B33" s="122" t="s">
        <v>47</v>
      </c>
      <c r="C33" s="123">
        <f>SUM(C6:C9,C12,C17:C20,C26,C32)</f>
        <v>1370470282</v>
      </c>
      <c r="D33" s="124"/>
      <c r="E33" s="111"/>
    </row>
    <row r="34" spans="1:5" ht="15">
      <c r="A34" s="74">
        <v>13</v>
      </c>
      <c r="B34" s="112" t="s">
        <v>49</v>
      </c>
      <c r="C34" s="126">
        <f>'2.RC'!E22</f>
        <v>163841</v>
      </c>
      <c r="D34" s="124"/>
      <c r="E34" s="125"/>
    </row>
    <row r="35" spans="1:5">
      <c r="A35" s="74">
        <v>14</v>
      </c>
      <c r="B35" s="112" t="s">
        <v>50</v>
      </c>
      <c r="C35" s="113">
        <f>'2.RC'!E23</f>
        <v>463184649</v>
      </c>
      <c r="D35" s="114"/>
      <c r="E35" s="111"/>
    </row>
    <row r="36" spans="1:5">
      <c r="A36" s="74">
        <v>15</v>
      </c>
      <c r="B36" s="112" t="s">
        <v>51</v>
      </c>
      <c r="C36" s="113">
        <f>'2.RC'!E24</f>
        <v>67995483</v>
      </c>
      <c r="D36" s="114"/>
      <c r="E36" s="111"/>
    </row>
    <row r="37" spans="1:5">
      <c r="A37" s="74">
        <v>16</v>
      </c>
      <c r="B37" s="112" t="s">
        <v>52</v>
      </c>
      <c r="C37" s="113">
        <f>'2.RC'!E25</f>
        <v>499692982</v>
      </c>
      <c r="D37" s="114"/>
      <c r="E37" s="111"/>
    </row>
    <row r="38" spans="1:5">
      <c r="A38" s="74">
        <v>17</v>
      </c>
      <c r="B38" s="112" t="s">
        <v>53</v>
      </c>
      <c r="C38" s="113">
        <f>'2.RC'!E26</f>
        <v>0</v>
      </c>
      <c r="D38" s="114"/>
      <c r="E38" s="111"/>
    </row>
    <row r="39" spans="1:5">
      <c r="A39" s="74">
        <v>18</v>
      </c>
      <c r="B39" s="112" t="s">
        <v>54</v>
      </c>
      <c r="C39" s="113">
        <f>'2.RC'!E27</f>
        <v>0</v>
      </c>
      <c r="D39" s="114"/>
      <c r="E39" s="111"/>
    </row>
    <row r="40" spans="1:5">
      <c r="A40" s="74">
        <v>19</v>
      </c>
      <c r="B40" s="112" t="s">
        <v>55</v>
      </c>
      <c r="C40" s="113">
        <f>'2.RC'!E28</f>
        <v>14722717</v>
      </c>
      <c r="D40" s="114"/>
      <c r="E40" s="111"/>
    </row>
    <row r="41" spans="1:5">
      <c r="A41" s="74">
        <v>20</v>
      </c>
      <c r="B41" s="112" t="s">
        <v>56</v>
      </c>
      <c r="C41" s="113">
        <f>'2.RC'!E29</f>
        <v>8192353</v>
      </c>
      <c r="D41" s="114"/>
      <c r="E41" s="111"/>
    </row>
    <row r="42" spans="1:5" ht="15.75">
      <c r="A42" s="74">
        <v>20.100000000000001</v>
      </c>
      <c r="B42" s="529" t="s">
        <v>750</v>
      </c>
      <c r="C42" s="120">
        <v>430894</v>
      </c>
      <c r="D42" s="518" t="s">
        <v>734</v>
      </c>
      <c r="E42" s="125"/>
    </row>
    <row r="43" spans="1:5" ht="15.75">
      <c r="A43" s="74">
        <v>21</v>
      </c>
      <c r="B43" s="119" t="s">
        <v>57</v>
      </c>
      <c r="C43" s="120">
        <f>'2.RC'!E30</f>
        <v>120950700</v>
      </c>
      <c r="D43" s="521"/>
    </row>
    <row r="44" spans="1:5" ht="15.75">
      <c r="A44" s="74">
        <v>21.1</v>
      </c>
      <c r="B44" s="127" t="s">
        <v>91</v>
      </c>
      <c r="C44" s="128">
        <f>C43-'9.Capital'!C33</f>
        <v>37215600</v>
      </c>
      <c r="D44" s="518" t="s">
        <v>736</v>
      </c>
    </row>
    <row r="45" spans="1:5">
      <c r="A45" s="74">
        <v>22</v>
      </c>
      <c r="B45" s="122" t="s">
        <v>58</v>
      </c>
      <c r="C45" s="123">
        <f>SUM(C34:C41,C43)</f>
        <v>1174902725</v>
      </c>
      <c r="D45" s="124"/>
    </row>
    <row r="46" spans="1:5" ht="15.75">
      <c r="A46" s="74">
        <v>23</v>
      </c>
      <c r="B46" s="119" t="s">
        <v>60</v>
      </c>
      <c r="C46" s="113">
        <f>'2.RC'!E33</f>
        <v>114430000</v>
      </c>
      <c r="D46" s="518" t="s">
        <v>737</v>
      </c>
    </row>
    <row r="47" spans="1:5">
      <c r="A47" s="74">
        <v>24</v>
      </c>
      <c r="B47" s="119" t="s">
        <v>61</v>
      </c>
      <c r="C47" s="113">
        <f>'2.RC'!E34</f>
        <v>0</v>
      </c>
      <c r="D47" s="114"/>
    </row>
    <row r="48" spans="1:5">
      <c r="A48" s="74">
        <v>25</v>
      </c>
      <c r="B48" s="119" t="s">
        <v>62</v>
      </c>
      <c r="C48" s="113">
        <f>'2.RC'!E35</f>
        <v>0</v>
      </c>
      <c r="D48" s="114"/>
    </row>
    <row r="49" spans="1:4">
      <c r="A49" s="74">
        <v>26</v>
      </c>
      <c r="B49" s="119" t="s">
        <v>63</v>
      </c>
      <c r="C49" s="113">
        <f>'2.RC'!E36</f>
        <v>0</v>
      </c>
      <c r="D49" s="114"/>
    </row>
    <row r="50" spans="1:4">
      <c r="A50" s="74">
        <v>27</v>
      </c>
      <c r="B50" s="119" t="s">
        <v>64</v>
      </c>
      <c r="C50" s="113">
        <f>'2.RC'!E37</f>
        <v>7438034</v>
      </c>
      <c r="D50" s="114"/>
    </row>
    <row r="51" spans="1:4" ht="15.75">
      <c r="A51" s="74">
        <v>27.1</v>
      </c>
      <c r="B51" s="530" t="s">
        <v>751</v>
      </c>
      <c r="C51" s="516">
        <v>6838034</v>
      </c>
      <c r="D51" s="518" t="s">
        <v>738</v>
      </c>
    </row>
    <row r="52" spans="1:4" ht="15.75">
      <c r="A52" s="74">
        <v>27.2</v>
      </c>
      <c r="B52" s="530" t="s">
        <v>752</v>
      </c>
      <c r="C52" s="516">
        <v>600000</v>
      </c>
      <c r="D52" s="518" t="s">
        <v>738</v>
      </c>
    </row>
    <row r="53" spans="1:4" ht="15.75">
      <c r="A53" s="74">
        <v>28</v>
      </c>
      <c r="B53" s="119" t="s">
        <v>65</v>
      </c>
      <c r="C53" s="113">
        <f>'2.RC'!E38</f>
        <v>73960973</v>
      </c>
      <c r="D53" s="518" t="s">
        <v>739</v>
      </c>
    </row>
    <row r="54" spans="1:4" ht="15.75">
      <c r="A54" s="74">
        <v>29</v>
      </c>
      <c r="B54" s="119" t="s">
        <v>66</v>
      </c>
      <c r="C54" s="113">
        <f>'2.RC'!E39</f>
        <v>-261450</v>
      </c>
      <c r="D54" s="518" t="s">
        <v>778</v>
      </c>
    </row>
    <row r="55" spans="1:4" ht="15" thickBot="1">
      <c r="A55" s="129">
        <v>30</v>
      </c>
      <c r="B55" s="130" t="s">
        <v>266</v>
      </c>
      <c r="C55" s="131">
        <f>SUM(C46:C50,C53:C54)</f>
        <v>195567557</v>
      </c>
      <c r="D55" s="13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1" bestFit="1" customWidth="1"/>
    <col min="17" max="17" width="14.7109375" style="31" customWidth="1"/>
    <col min="18" max="18" width="13" style="31" bestFit="1" customWidth="1"/>
    <col min="19" max="19" width="34.7109375" style="31" customWidth="1"/>
    <col min="20" max="16384" width="9.28515625" style="31"/>
  </cols>
  <sheetData>
    <row r="1" spans="1:19">
      <c r="A1" s="2" t="s">
        <v>30</v>
      </c>
      <c r="B1" s="3" t="str">
        <f>'Info '!C2</f>
        <v>JSC CARTU BANK</v>
      </c>
    </row>
    <row r="2" spans="1:19">
      <c r="A2" s="2" t="s">
        <v>31</v>
      </c>
      <c r="B2" s="370">
        <f>'1. key ratios '!B2</f>
        <v>44651</v>
      </c>
    </row>
    <row r="4" spans="1:19" ht="26.25" thickBot="1">
      <c r="A4" s="4" t="s">
        <v>249</v>
      </c>
      <c r="B4" s="258" t="s">
        <v>375</v>
      </c>
    </row>
    <row r="5" spans="1:19" s="250" customFormat="1">
      <c r="A5" s="245"/>
      <c r="B5" s="246"/>
      <c r="C5" s="247" t="s">
        <v>0</v>
      </c>
      <c r="D5" s="247" t="s">
        <v>1</v>
      </c>
      <c r="E5" s="247" t="s">
        <v>2</v>
      </c>
      <c r="F5" s="247" t="s">
        <v>3</v>
      </c>
      <c r="G5" s="247" t="s">
        <v>4</v>
      </c>
      <c r="H5" s="247" t="s">
        <v>5</v>
      </c>
      <c r="I5" s="247" t="s">
        <v>8</v>
      </c>
      <c r="J5" s="247" t="s">
        <v>9</v>
      </c>
      <c r="K5" s="247" t="s">
        <v>10</v>
      </c>
      <c r="L5" s="247" t="s">
        <v>11</v>
      </c>
      <c r="M5" s="247" t="s">
        <v>12</v>
      </c>
      <c r="N5" s="247" t="s">
        <v>13</v>
      </c>
      <c r="O5" s="247" t="s">
        <v>358</v>
      </c>
      <c r="P5" s="247" t="s">
        <v>359</v>
      </c>
      <c r="Q5" s="247" t="s">
        <v>360</v>
      </c>
      <c r="R5" s="248" t="s">
        <v>361</v>
      </c>
      <c r="S5" s="249" t="s">
        <v>362</v>
      </c>
    </row>
    <row r="6" spans="1:19" s="250" customFormat="1" ht="99" customHeight="1">
      <c r="A6" s="251"/>
      <c r="B6" s="662" t="s">
        <v>363</v>
      </c>
      <c r="C6" s="658">
        <v>0</v>
      </c>
      <c r="D6" s="659"/>
      <c r="E6" s="658">
        <v>0.2</v>
      </c>
      <c r="F6" s="659"/>
      <c r="G6" s="658">
        <v>0.35</v>
      </c>
      <c r="H6" s="659"/>
      <c r="I6" s="658">
        <v>0.5</v>
      </c>
      <c r="J6" s="659"/>
      <c r="K6" s="658">
        <v>0.75</v>
      </c>
      <c r="L6" s="659"/>
      <c r="M6" s="658">
        <v>1</v>
      </c>
      <c r="N6" s="659"/>
      <c r="O6" s="658">
        <v>1.5</v>
      </c>
      <c r="P6" s="659"/>
      <c r="Q6" s="658">
        <v>2.5</v>
      </c>
      <c r="R6" s="659"/>
      <c r="S6" s="660" t="s">
        <v>248</v>
      </c>
    </row>
    <row r="7" spans="1:19" s="250" customFormat="1" ht="30.75" customHeight="1">
      <c r="A7" s="251"/>
      <c r="B7" s="663"/>
      <c r="C7" s="241" t="s">
        <v>251</v>
      </c>
      <c r="D7" s="241" t="s">
        <v>250</v>
      </c>
      <c r="E7" s="241" t="s">
        <v>251</v>
      </c>
      <c r="F7" s="241" t="s">
        <v>250</v>
      </c>
      <c r="G7" s="241" t="s">
        <v>251</v>
      </c>
      <c r="H7" s="241" t="s">
        <v>250</v>
      </c>
      <c r="I7" s="241" t="s">
        <v>251</v>
      </c>
      <c r="J7" s="241" t="s">
        <v>250</v>
      </c>
      <c r="K7" s="241" t="s">
        <v>251</v>
      </c>
      <c r="L7" s="241" t="s">
        <v>250</v>
      </c>
      <c r="M7" s="241" t="s">
        <v>251</v>
      </c>
      <c r="N7" s="241" t="s">
        <v>250</v>
      </c>
      <c r="O7" s="241" t="s">
        <v>251</v>
      </c>
      <c r="P7" s="241" t="s">
        <v>250</v>
      </c>
      <c r="Q7" s="241" t="s">
        <v>251</v>
      </c>
      <c r="R7" s="241" t="s">
        <v>250</v>
      </c>
      <c r="S7" s="661"/>
    </row>
    <row r="8" spans="1:19">
      <c r="A8" s="133">
        <v>1</v>
      </c>
      <c r="B8" s="1" t="s">
        <v>96</v>
      </c>
      <c r="C8" s="531">
        <v>37056049</v>
      </c>
      <c r="D8" s="531"/>
      <c r="E8" s="531"/>
      <c r="F8" s="532"/>
      <c r="G8" s="531"/>
      <c r="H8" s="531"/>
      <c r="I8" s="531"/>
      <c r="J8" s="531"/>
      <c r="K8" s="531"/>
      <c r="L8" s="531"/>
      <c r="M8" s="531">
        <v>204617975</v>
      </c>
      <c r="N8" s="531"/>
      <c r="O8" s="531"/>
      <c r="P8" s="531"/>
      <c r="Q8" s="531"/>
      <c r="R8" s="532"/>
      <c r="S8" s="533">
        <f>$C$6*SUM(C8:D8)+$E$6*SUM(E8:F8)+$G$6*SUM(G8:H8)+$I$6*SUM(I8:J8)+$K$6*SUM(K8:L8)+$M$6*SUM(M8:N8)+$O$6*SUM(O8:P8)+$Q$6*SUM(Q8:R8)</f>
        <v>204617975</v>
      </c>
    </row>
    <row r="9" spans="1:19">
      <c r="A9" s="133">
        <v>2</v>
      </c>
      <c r="B9" s="1" t="s">
        <v>97</v>
      </c>
      <c r="C9" s="531"/>
      <c r="D9" s="531"/>
      <c r="E9" s="531"/>
      <c r="F9" s="531"/>
      <c r="G9" s="531"/>
      <c r="H9" s="531"/>
      <c r="I9" s="531"/>
      <c r="J9" s="531"/>
      <c r="K9" s="531"/>
      <c r="L9" s="531"/>
      <c r="M9" s="531">
        <v>0</v>
      </c>
      <c r="N9" s="531"/>
      <c r="O9" s="531"/>
      <c r="P9" s="531"/>
      <c r="Q9" s="531"/>
      <c r="R9" s="532"/>
      <c r="S9" s="533">
        <f t="shared" ref="S9:S21" si="0">$C$6*SUM(C9:D9)+$E$6*SUM(E9:F9)+$G$6*SUM(G9:H9)+$I$6*SUM(I9:J9)+$K$6*SUM(K9:L9)+$M$6*SUM(M9:N9)+$O$6*SUM(O9:P9)+$Q$6*SUM(Q9:R9)</f>
        <v>0</v>
      </c>
    </row>
    <row r="10" spans="1:19">
      <c r="A10" s="133">
        <v>3</v>
      </c>
      <c r="B10" s="1" t="s">
        <v>269</v>
      </c>
      <c r="C10" s="531"/>
      <c r="D10" s="531"/>
      <c r="E10" s="531"/>
      <c r="F10" s="531"/>
      <c r="G10" s="531"/>
      <c r="H10" s="531"/>
      <c r="I10" s="531"/>
      <c r="J10" s="531"/>
      <c r="K10" s="531"/>
      <c r="L10" s="531"/>
      <c r="M10" s="531">
        <v>0</v>
      </c>
      <c r="N10" s="531"/>
      <c r="O10" s="531"/>
      <c r="P10" s="531"/>
      <c r="Q10" s="531"/>
      <c r="R10" s="532"/>
      <c r="S10" s="533">
        <f t="shared" si="0"/>
        <v>0</v>
      </c>
    </row>
    <row r="11" spans="1:19">
      <c r="A11" s="133">
        <v>4</v>
      </c>
      <c r="B11" s="1" t="s">
        <v>98</v>
      </c>
      <c r="C11" s="531"/>
      <c r="D11" s="531"/>
      <c r="E11" s="531"/>
      <c r="F11" s="531"/>
      <c r="G11" s="531"/>
      <c r="H11" s="531"/>
      <c r="I11" s="531"/>
      <c r="J11" s="531"/>
      <c r="K11" s="531"/>
      <c r="L11" s="531"/>
      <c r="M11" s="531">
        <v>0</v>
      </c>
      <c r="N11" s="531"/>
      <c r="O11" s="531"/>
      <c r="P11" s="531"/>
      <c r="Q11" s="531"/>
      <c r="R11" s="532"/>
      <c r="S11" s="533">
        <f t="shared" si="0"/>
        <v>0</v>
      </c>
    </row>
    <row r="12" spans="1:19">
      <c r="A12" s="133">
        <v>5</v>
      </c>
      <c r="B12" s="1" t="s">
        <v>99</v>
      </c>
      <c r="C12" s="531"/>
      <c r="D12" s="531"/>
      <c r="E12" s="531"/>
      <c r="F12" s="531"/>
      <c r="G12" s="531"/>
      <c r="H12" s="531"/>
      <c r="I12" s="531"/>
      <c r="J12" s="531"/>
      <c r="K12" s="531"/>
      <c r="L12" s="531"/>
      <c r="M12" s="531">
        <v>0</v>
      </c>
      <c r="N12" s="531"/>
      <c r="O12" s="531"/>
      <c r="P12" s="531"/>
      <c r="Q12" s="531"/>
      <c r="R12" s="532"/>
      <c r="S12" s="533">
        <f t="shared" si="0"/>
        <v>0</v>
      </c>
    </row>
    <row r="13" spans="1:19">
      <c r="A13" s="133">
        <v>6</v>
      </c>
      <c r="B13" s="1" t="s">
        <v>100</v>
      </c>
      <c r="C13" s="531">
        <v>0</v>
      </c>
      <c r="D13" s="531"/>
      <c r="E13" s="531">
        <v>85340315.519999996</v>
      </c>
      <c r="F13" s="531"/>
      <c r="G13" s="531"/>
      <c r="H13" s="531"/>
      <c r="I13" s="531">
        <v>108988503.64</v>
      </c>
      <c r="J13" s="531"/>
      <c r="K13" s="531"/>
      <c r="L13" s="531"/>
      <c r="M13" s="531">
        <v>149521.84000000358</v>
      </c>
      <c r="N13" s="531"/>
      <c r="O13" s="531">
        <v>162031</v>
      </c>
      <c r="P13" s="531"/>
      <c r="Q13" s="531"/>
      <c r="R13" s="532"/>
      <c r="S13" s="533">
        <f t="shared" si="0"/>
        <v>71954883.263999999</v>
      </c>
    </row>
    <row r="14" spans="1:19">
      <c r="A14" s="133">
        <v>7</v>
      </c>
      <c r="B14" s="1" t="s">
        <v>101</v>
      </c>
      <c r="C14" s="531"/>
      <c r="D14" s="531"/>
      <c r="E14" s="531"/>
      <c r="F14" s="531"/>
      <c r="G14" s="531"/>
      <c r="H14" s="531"/>
      <c r="I14" s="531"/>
      <c r="J14" s="531"/>
      <c r="K14" s="531"/>
      <c r="L14" s="531"/>
      <c r="M14" s="531">
        <v>721517768.86174488</v>
      </c>
      <c r="N14" s="531">
        <v>25568153.175408587</v>
      </c>
      <c r="O14" s="531">
        <v>0</v>
      </c>
      <c r="P14" s="531"/>
      <c r="Q14" s="531">
        <v>0</v>
      </c>
      <c r="R14" s="532">
        <v>0</v>
      </c>
      <c r="S14" s="533">
        <f t="shared" si="0"/>
        <v>747085922.03715348</v>
      </c>
    </row>
    <row r="15" spans="1:19">
      <c r="A15" s="133">
        <v>8</v>
      </c>
      <c r="B15" s="1" t="s">
        <v>102</v>
      </c>
      <c r="C15" s="531"/>
      <c r="D15" s="531"/>
      <c r="E15" s="531"/>
      <c r="F15" s="531"/>
      <c r="G15" s="531"/>
      <c r="H15" s="531"/>
      <c r="I15" s="531"/>
      <c r="J15" s="531"/>
      <c r="K15" s="531"/>
      <c r="L15" s="531"/>
      <c r="M15" s="531"/>
      <c r="N15" s="531"/>
      <c r="O15" s="531"/>
      <c r="P15" s="531"/>
      <c r="Q15" s="531"/>
      <c r="R15" s="532"/>
      <c r="S15" s="533">
        <f t="shared" si="0"/>
        <v>0</v>
      </c>
    </row>
    <row r="16" spans="1:19">
      <c r="A16" s="133">
        <v>9</v>
      </c>
      <c r="B16" s="1" t="s">
        <v>103</v>
      </c>
      <c r="C16" s="531"/>
      <c r="D16" s="531"/>
      <c r="E16" s="531"/>
      <c r="F16" s="531"/>
      <c r="G16" s="531"/>
      <c r="H16" s="531"/>
      <c r="I16" s="531"/>
      <c r="J16" s="531"/>
      <c r="K16" s="531"/>
      <c r="L16" s="531"/>
      <c r="M16" s="531">
        <v>0</v>
      </c>
      <c r="N16" s="531"/>
      <c r="O16" s="531"/>
      <c r="P16" s="531"/>
      <c r="Q16" s="531"/>
      <c r="R16" s="532"/>
      <c r="S16" s="533">
        <f t="shared" si="0"/>
        <v>0</v>
      </c>
    </row>
    <row r="17" spans="1:19">
      <c r="A17" s="133">
        <v>10</v>
      </c>
      <c r="B17" s="1" t="s">
        <v>104</v>
      </c>
      <c r="C17" s="531"/>
      <c r="D17" s="531"/>
      <c r="E17" s="531"/>
      <c r="F17" s="531"/>
      <c r="G17" s="531"/>
      <c r="H17" s="531"/>
      <c r="I17" s="531"/>
      <c r="J17" s="531"/>
      <c r="K17" s="531"/>
      <c r="L17" s="531"/>
      <c r="M17" s="531">
        <v>97620234.997077942</v>
      </c>
      <c r="N17" s="531">
        <v>186445.58499997854</v>
      </c>
      <c r="O17" s="531">
        <v>0</v>
      </c>
      <c r="P17" s="531"/>
      <c r="Q17" s="531">
        <v>0</v>
      </c>
      <c r="R17" s="532"/>
      <c r="S17" s="533">
        <f t="shared" si="0"/>
        <v>97806680.58207792</v>
      </c>
    </row>
    <row r="18" spans="1:19">
      <c r="A18" s="133">
        <v>11</v>
      </c>
      <c r="B18" s="1" t="s">
        <v>105</v>
      </c>
      <c r="C18" s="531"/>
      <c r="D18" s="531"/>
      <c r="E18" s="531"/>
      <c r="F18" s="531"/>
      <c r="G18" s="531"/>
      <c r="H18" s="531"/>
      <c r="I18" s="531"/>
      <c r="J18" s="531"/>
      <c r="K18" s="531"/>
      <c r="L18" s="531"/>
      <c r="M18" s="531">
        <v>0</v>
      </c>
      <c r="N18" s="531"/>
      <c r="O18" s="531"/>
      <c r="P18" s="531"/>
      <c r="Q18" s="531"/>
      <c r="R18" s="532"/>
      <c r="S18" s="533">
        <f t="shared" si="0"/>
        <v>0</v>
      </c>
    </row>
    <row r="19" spans="1:19">
      <c r="A19" s="133">
        <v>12</v>
      </c>
      <c r="B19" s="1" t="s">
        <v>106</v>
      </c>
      <c r="C19" s="531"/>
      <c r="D19" s="531"/>
      <c r="E19" s="531"/>
      <c r="F19" s="531"/>
      <c r="G19" s="531"/>
      <c r="H19" s="531"/>
      <c r="I19" s="531"/>
      <c r="J19" s="531"/>
      <c r="K19" s="531"/>
      <c r="L19" s="531"/>
      <c r="M19" s="531">
        <v>0</v>
      </c>
      <c r="N19" s="531"/>
      <c r="O19" s="531"/>
      <c r="P19" s="531"/>
      <c r="Q19" s="531"/>
      <c r="R19" s="532"/>
      <c r="S19" s="533">
        <f t="shared" si="0"/>
        <v>0</v>
      </c>
    </row>
    <row r="20" spans="1:19">
      <c r="A20" s="133">
        <v>13</v>
      </c>
      <c r="B20" s="1" t="s">
        <v>247</v>
      </c>
      <c r="C20" s="531"/>
      <c r="D20" s="531"/>
      <c r="E20" s="531"/>
      <c r="F20" s="531"/>
      <c r="G20" s="531"/>
      <c r="H20" s="531"/>
      <c r="I20" s="531"/>
      <c r="J20" s="531"/>
      <c r="K20" s="531"/>
      <c r="L20" s="531"/>
      <c r="M20" s="531">
        <v>0</v>
      </c>
      <c r="N20" s="531"/>
      <c r="O20" s="531"/>
      <c r="P20" s="531"/>
      <c r="Q20" s="531"/>
      <c r="R20" s="532"/>
      <c r="S20" s="533">
        <f t="shared" si="0"/>
        <v>0</v>
      </c>
    </row>
    <row r="21" spans="1:19">
      <c r="A21" s="133">
        <v>14</v>
      </c>
      <c r="B21" s="1" t="s">
        <v>108</v>
      </c>
      <c r="C21" s="531">
        <v>17408924</v>
      </c>
      <c r="D21" s="531"/>
      <c r="E21" s="531">
        <v>0</v>
      </c>
      <c r="F21" s="531"/>
      <c r="G21" s="531"/>
      <c r="H21" s="531">
        <v>0</v>
      </c>
      <c r="I21" s="531">
        <v>0</v>
      </c>
      <c r="J21" s="531"/>
      <c r="K21" s="531"/>
      <c r="L21" s="531"/>
      <c r="M21" s="531">
        <v>90030133.188834012</v>
      </c>
      <c r="N21" s="531">
        <v>1308453.7765499982</v>
      </c>
      <c r="O21" s="531">
        <v>0</v>
      </c>
      <c r="P21" s="531"/>
      <c r="Q21" s="531">
        <v>15836020</v>
      </c>
      <c r="R21" s="532"/>
      <c r="S21" s="533">
        <f t="shared" si="0"/>
        <v>130928636.96538401</v>
      </c>
    </row>
    <row r="22" spans="1:19" ht="13.5" thickBot="1">
      <c r="A22" s="134"/>
      <c r="B22" s="135" t="s">
        <v>109</v>
      </c>
      <c r="C22" s="136">
        <f>SUM(C8:C21)</f>
        <v>54464973</v>
      </c>
      <c r="D22" s="136">
        <f t="shared" ref="D22:S22" si="1">SUM(D8:D21)</f>
        <v>0</v>
      </c>
      <c r="E22" s="136">
        <f t="shared" si="1"/>
        <v>85340315.519999996</v>
      </c>
      <c r="F22" s="136">
        <f t="shared" si="1"/>
        <v>0</v>
      </c>
      <c r="G22" s="136">
        <f t="shared" si="1"/>
        <v>0</v>
      </c>
      <c r="H22" s="136">
        <f t="shared" si="1"/>
        <v>0</v>
      </c>
      <c r="I22" s="136">
        <f t="shared" si="1"/>
        <v>108988503.64</v>
      </c>
      <c r="J22" s="136">
        <f t="shared" si="1"/>
        <v>0</v>
      </c>
      <c r="K22" s="136">
        <f t="shared" si="1"/>
        <v>0</v>
      </c>
      <c r="L22" s="136">
        <f t="shared" si="1"/>
        <v>0</v>
      </c>
      <c r="M22" s="136">
        <f t="shared" si="1"/>
        <v>1113935633.8876569</v>
      </c>
      <c r="N22" s="136">
        <f t="shared" si="1"/>
        <v>27063052.536958564</v>
      </c>
      <c r="O22" s="136">
        <f t="shared" si="1"/>
        <v>162031</v>
      </c>
      <c r="P22" s="136">
        <f t="shared" si="1"/>
        <v>0</v>
      </c>
      <c r="Q22" s="136">
        <f t="shared" si="1"/>
        <v>15836020</v>
      </c>
      <c r="R22" s="136">
        <f t="shared" si="1"/>
        <v>0</v>
      </c>
      <c r="S22" s="259">
        <f t="shared" si="1"/>
        <v>1252394097.8486154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1"/>
  </cols>
  <sheetData>
    <row r="1" spans="1:22">
      <c r="A1" s="2" t="s">
        <v>30</v>
      </c>
      <c r="B1" s="3" t="str">
        <f>'Info '!C2</f>
        <v>JSC CARTU BANK</v>
      </c>
    </row>
    <row r="2" spans="1:22">
      <c r="A2" s="2" t="s">
        <v>31</v>
      </c>
      <c r="B2" s="370">
        <f>'1. key ratios '!B2</f>
        <v>44651</v>
      </c>
    </row>
    <row r="4" spans="1:22" ht="13.5" thickBot="1">
      <c r="A4" s="4" t="s">
        <v>366</v>
      </c>
      <c r="B4" s="137" t="s">
        <v>95</v>
      </c>
      <c r="V4" s="32" t="s">
        <v>73</v>
      </c>
    </row>
    <row r="5" spans="1:22" ht="12.75" customHeight="1">
      <c r="A5" s="138"/>
      <c r="B5" s="139"/>
      <c r="C5" s="664" t="s">
        <v>277</v>
      </c>
      <c r="D5" s="665"/>
      <c r="E5" s="665"/>
      <c r="F5" s="665"/>
      <c r="G5" s="665"/>
      <c r="H5" s="665"/>
      <c r="I5" s="665"/>
      <c r="J5" s="665"/>
      <c r="K5" s="665"/>
      <c r="L5" s="666"/>
      <c r="M5" s="667" t="s">
        <v>278</v>
      </c>
      <c r="N5" s="668"/>
      <c r="O5" s="668"/>
      <c r="P5" s="668"/>
      <c r="Q5" s="668"/>
      <c r="R5" s="668"/>
      <c r="S5" s="669"/>
      <c r="T5" s="672" t="s">
        <v>364</v>
      </c>
      <c r="U5" s="672" t="s">
        <v>365</v>
      </c>
      <c r="V5" s="670" t="s">
        <v>121</v>
      </c>
    </row>
    <row r="6" spans="1:22" s="79" customFormat="1" ht="102">
      <c r="A6" s="77"/>
      <c r="B6" s="140"/>
      <c r="C6" s="141" t="s">
        <v>110</v>
      </c>
      <c r="D6" s="220" t="s">
        <v>111</v>
      </c>
      <c r="E6" s="164" t="s">
        <v>280</v>
      </c>
      <c r="F6" s="164" t="s">
        <v>281</v>
      </c>
      <c r="G6" s="220" t="s">
        <v>284</v>
      </c>
      <c r="H6" s="220" t="s">
        <v>279</v>
      </c>
      <c r="I6" s="220" t="s">
        <v>112</v>
      </c>
      <c r="J6" s="220" t="s">
        <v>113</v>
      </c>
      <c r="K6" s="142" t="s">
        <v>114</v>
      </c>
      <c r="L6" s="143" t="s">
        <v>115</v>
      </c>
      <c r="M6" s="141" t="s">
        <v>282</v>
      </c>
      <c r="N6" s="142" t="s">
        <v>116</v>
      </c>
      <c r="O6" s="142" t="s">
        <v>117</v>
      </c>
      <c r="P6" s="142" t="s">
        <v>118</v>
      </c>
      <c r="Q6" s="142" t="s">
        <v>119</v>
      </c>
      <c r="R6" s="142" t="s">
        <v>120</v>
      </c>
      <c r="S6" s="243" t="s">
        <v>283</v>
      </c>
      <c r="T6" s="673"/>
      <c r="U6" s="673"/>
      <c r="V6" s="671"/>
    </row>
    <row r="7" spans="1:22">
      <c r="A7" s="144">
        <v>1</v>
      </c>
      <c r="B7" s="1" t="s">
        <v>96</v>
      </c>
      <c r="C7" s="538"/>
      <c r="D7" s="531"/>
      <c r="E7" s="531"/>
      <c r="F7" s="531"/>
      <c r="G7" s="531"/>
      <c r="H7" s="531"/>
      <c r="I7" s="531"/>
      <c r="J7" s="531"/>
      <c r="K7" s="531"/>
      <c r="L7" s="534"/>
      <c r="M7" s="538"/>
      <c r="N7" s="531"/>
      <c r="O7" s="531"/>
      <c r="P7" s="531"/>
      <c r="Q7" s="531"/>
      <c r="R7" s="531"/>
      <c r="S7" s="534"/>
      <c r="T7" s="535"/>
      <c r="U7" s="536"/>
      <c r="V7" s="537">
        <f>SUM(C7:S7)</f>
        <v>0</v>
      </c>
    </row>
    <row r="8" spans="1:22">
      <c r="A8" s="144">
        <v>2</v>
      </c>
      <c r="B8" s="1" t="s">
        <v>97</v>
      </c>
      <c r="C8" s="538"/>
      <c r="D8" s="531"/>
      <c r="E8" s="531"/>
      <c r="F8" s="531"/>
      <c r="G8" s="531"/>
      <c r="H8" s="531"/>
      <c r="I8" s="531"/>
      <c r="J8" s="531"/>
      <c r="K8" s="531"/>
      <c r="L8" s="534"/>
      <c r="M8" s="538"/>
      <c r="N8" s="531"/>
      <c r="O8" s="531"/>
      <c r="P8" s="531"/>
      <c r="Q8" s="531"/>
      <c r="R8" s="531"/>
      <c r="S8" s="534"/>
      <c r="T8" s="536"/>
      <c r="U8" s="536"/>
      <c r="V8" s="537">
        <f t="shared" ref="V8:V20" si="0">SUM(C8:S8)</f>
        <v>0</v>
      </c>
    </row>
    <row r="9" spans="1:22">
      <c r="A9" s="144">
        <v>3</v>
      </c>
      <c r="B9" s="1" t="s">
        <v>270</v>
      </c>
      <c r="C9" s="538"/>
      <c r="D9" s="531"/>
      <c r="E9" s="531"/>
      <c r="F9" s="531"/>
      <c r="G9" s="531"/>
      <c r="H9" s="531"/>
      <c r="I9" s="531"/>
      <c r="J9" s="531"/>
      <c r="K9" s="531"/>
      <c r="L9" s="534"/>
      <c r="M9" s="538"/>
      <c r="N9" s="531"/>
      <c r="O9" s="531"/>
      <c r="P9" s="531"/>
      <c r="Q9" s="531"/>
      <c r="R9" s="531"/>
      <c r="S9" s="534"/>
      <c r="T9" s="536"/>
      <c r="U9" s="536"/>
      <c r="V9" s="537">
        <f t="shared" si="0"/>
        <v>0</v>
      </c>
    </row>
    <row r="10" spans="1:22">
      <c r="A10" s="144">
        <v>4</v>
      </c>
      <c r="B10" s="1" t="s">
        <v>98</v>
      </c>
      <c r="C10" s="538"/>
      <c r="D10" s="531"/>
      <c r="E10" s="531"/>
      <c r="F10" s="531"/>
      <c r="G10" s="531"/>
      <c r="H10" s="531"/>
      <c r="I10" s="531"/>
      <c r="J10" s="531"/>
      <c r="K10" s="531"/>
      <c r="L10" s="534"/>
      <c r="M10" s="538"/>
      <c r="N10" s="531"/>
      <c r="O10" s="531"/>
      <c r="P10" s="531"/>
      <c r="Q10" s="531"/>
      <c r="R10" s="531"/>
      <c r="S10" s="534"/>
      <c r="T10" s="536"/>
      <c r="U10" s="536"/>
      <c r="V10" s="537">
        <f t="shared" si="0"/>
        <v>0</v>
      </c>
    </row>
    <row r="11" spans="1:22">
      <c r="A11" s="144">
        <v>5</v>
      </c>
      <c r="B11" s="1" t="s">
        <v>99</v>
      </c>
      <c r="C11" s="538"/>
      <c r="D11" s="531"/>
      <c r="E11" s="531"/>
      <c r="F11" s="531"/>
      <c r="G11" s="531"/>
      <c r="H11" s="531"/>
      <c r="I11" s="531"/>
      <c r="J11" s="531"/>
      <c r="K11" s="531"/>
      <c r="L11" s="534"/>
      <c r="M11" s="538"/>
      <c r="N11" s="531"/>
      <c r="O11" s="531"/>
      <c r="P11" s="531"/>
      <c r="Q11" s="531"/>
      <c r="R11" s="531"/>
      <c r="S11" s="534"/>
      <c r="T11" s="536"/>
      <c r="U11" s="536"/>
      <c r="V11" s="537">
        <f t="shared" si="0"/>
        <v>0</v>
      </c>
    </row>
    <row r="12" spans="1:22">
      <c r="A12" s="144">
        <v>6</v>
      </c>
      <c r="B12" s="1" t="s">
        <v>100</v>
      </c>
      <c r="C12" s="538"/>
      <c r="D12" s="531"/>
      <c r="E12" s="531"/>
      <c r="F12" s="531"/>
      <c r="G12" s="531"/>
      <c r="H12" s="531"/>
      <c r="I12" s="531"/>
      <c r="J12" s="531"/>
      <c r="K12" s="531"/>
      <c r="L12" s="534"/>
      <c r="M12" s="538"/>
      <c r="N12" s="531"/>
      <c r="O12" s="531"/>
      <c r="P12" s="531"/>
      <c r="Q12" s="531"/>
      <c r="R12" s="531"/>
      <c r="S12" s="534"/>
      <c r="T12" s="536"/>
      <c r="U12" s="536"/>
      <c r="V12" s="537">
        <f t="shared" si="0"/>
        <v>0</v>
      </c>
    </row>
    <row r="13" spans="1:22">
      <c r="A13" s="144">
        <v>7</v>
      </c>
      <c r="B13" s="1" t="s">
        <v>101</v>
      </c>
      <c r="C13" s="538"/>
      <c r="D13" s="531">
        <v>36103805.90161071</v>
      </c>
      <c r="E13" s="531"/>
      <c r="F13" s="531"/>
      <c r="G13" s="531"/>
      <c r="H13" s="531"/>
      <c r="I13" s="531"/>
      <c r="J13" s="531"/>
      <c r="K13" s="531"/>
      <c r="L13" s="534"/>
      <c r="M13" s="538"/>
      <c r="N13" s="531"/>
      <c r="O13" s="531"/>
      <c r="P13" s="531"/>
      <c r="Q13" s="531"/>
      <c r="R13" s="531"/>
      <c r="S13" s="534"/>
      <c r="T13" s="536">
        <v>33948043.683700733</v>
      </c>
      <c r="U13" s="536">
        <v>2155762.2179099745</v>
      </c>
      <c r="V13" s="537">
        <f t="shared" si="0"/>
        <v>36103805.90161071</v>
      </c>
    </row>
    <row r="14" spans="1:22">
      <c r="A14" s="144">
        <v>8</v>
      </c>
      <c r="B14" s="1" t="s">
        <v>102</v>
      </c>
      <c r="C14" s="538"/>
      <c r="D14" s="531"/>
      <c r="E14" s="531"/>
      <c r="F14" s="531"/>
      <c r="G14" s="531"/>
      <c r="H14" s="531"/>
      <c r="I14" s="531"/>
      <c r="J14" s="531"/>
      <c r="K14" s="531"/>
      <c r="L14" s="534"/>
      <c r="M14" s="538"/>
      <c r="N14" s="531"/>
      <c r="O14" s="531"/>
      <c r="P14" s="531"/>
      <c r="Q14" s="531"/>
      <c r="R14" s="531"/>
      <c r="S14" s="534"/>
      <c r="T14" s="536"/>
      <c r="U14" s="536"/>
      <c r="V14" s="537">
        <f t="shared" si="0"/>
        <v>0</v>
      </c>
    </row>
    <row r="15" spans="1:22">
      <c r="A15" s="144">
        <v>9</v>
      </c>
      <c r="B15" s="1" t="s">
        <v>103</v>
      </c>
      <c r="C15" s="538"/>
      <c r="D15" s="531"/>
      <c r="E15" s="531"/>
      <c r="F15" s="531"/>
      <c r="G15" s="531"/>
      <c r="H15" s="531"/>
      <c r="I15" s="531"/>
      <c r="J15" s="531"/>
      <c r="K15" s="531"/>
      <c r="L15" s="534"/>
      <c r="M15" s="538"/>
      <c r="N15" s="531"/>
      <c r="O15" s="531"/>
      <c r="P15" s="531"/>
      <c r="Q15" s="531"/>
      <c r="R15" s="531"/>
      <c r="S15" s="534"/>
      <c r="T15" s="536"/>
      <c r="U15" s="536"/>
      <c r="V15" s="537">
        <f t="shared" si="0"/>
        <v>0</v>
      </c>
    </row>
    <row r="16" spans="1:22">
      <c r="A16" s="144">
        <v>10</v>
      </c>
      <c r="B16" s="1" t="s">
        <v>104</v>
      </c>
      <c r="C16" s="538"/>
      <c r="D16" s="531">
        <v>92960.293085485755</v>
      </c>
      <c r="E16" s="531"/>
      <c r="F16" s="531"/>
      <c r="G16" s="531"/>
      <c r="H16" s="531"/>
      <c r="I16" s="531"/>
      <c r="J16" s="531"/>
      <c r="K16" s="531"/>
      <c r="L16" s="534"/>
      <c r="M16" s="538"/>
      <c r="N16" s="531"/>
      <c r="O16" s="531"/>
      <c r="P16" s="531"/>
      <c r="Q16" s="531"/>
      <c r="R16" s="531"/>
      <c r="S16" s="534"/>
      <c r="T16" s="536">
        <v>92960.293085485755</v>
      </c>
      <c r="U16" s="536">
        <v>0</v>
      </c>
      <c r="V16" s="537">
        <f t="shared" si="0"/>
        <v>92960.293085485755</v>
      </c>
    </row>
    <row r="17" spans="1:22">
      <c r="A17" s="144">
        <v>11</v>
      </c>
      <c r="B17" s="1" t="s">
        <v>105</v>
      </c>
      <c r="C17" s="538"/>
      <c r="D17" s="531"/>
      <c r="E17" s="531"/>
      <c r="F17" s="531"/>
      <c r="G17" s="531"/>
      <c r="H17" s="531"/>
      <c r="I17" s="531"/>
      <c r="J17" s="531"/>
      <c r="K17" s="531"/>
      <c r="L17" s="534"/>
      <c r="M17" s="538"/>
      <c r="N17" s="531"/>
      <c r="O17" s="531"/>
      <c r="P17" s="531"/>
      <c r="Q17" s="531"/>
      <c r="R17" s="531"/>
      <c r="S17" s="534"/>
      <c r="T17" s="536"/>
      <c r="U17" s="536"/>
      <c r="V17" s="537">
        <f t="shared" si="0"/>
        <v>0</v>
      </c>
    </row>
    <row r="18" spans="1:22">
      <c r="A18" s="144">
        <v>12</v>
      </c>
      <c r="B18" s="1" t="s">
        <v>106</v>
      </c>
      <c r="C18" s="538"/>
      <c r="D18" s="531"/>
      <c r="E18" s="531"/>
      <c r="F18" s="531"/>
      <c r="G18" s="531"/>
      <c r="H18" s="531"/>
      <c r="I18" s="531"/>
      <c r="J18" s="531"/>
      <c r="K18" s="531"/>
      <c r="L18" s="534"/>
      <c r="M18" s="538"/>
      <c r="N18" s="531"/>
      <c r="O18" s="531"/>
      <c r="P18" s="531"/>
      <c r="Q18" s="531"/>
      <c r="R18" s="531"/>
      <c r="S18" s="534"/>
      <c r="T18" s="536"/>
      <c r="U18" s="536"/>
      <c r="V18" s="537">
        <f t="shared" si="0"/>
        <v>0</v>
      </c>
    </row>
    <row r="19" spans="1:22">
      <c r="A19" s="144">
        <v>13</v>
      </c>
      <c r="B19" s="1" t="s">
        <v>107</v>
      </c>
      <c r="C19" s="538"/>
      <c r="D19" s="531"/>
      <c r="E19" s="531"/>
      <c r="F19" s="531"/>
      <c r="G19" s="531"/>
      <c r="H19" s="531"/>
      <c r="I19" s="531"/>
      <c r="J19" s="531"/>
      <c r="K19" s="531"/>
      <c r="L19" s="534"/>
      <c r="M19" s="538"/>
      <c r="N19" s="531"/>
      <c r="O19" s="531"/>
      <c r="P19" s="531"/>
      <c r="Q19" s="531"/>
      <c r="R19" s="531"/>
      <c r="S19" s="534"/>
      <c r="T19" s="536"/>
      <c r="U19" s="536"/>
      <c r="V19" s="537">
        <f t="shared" si="0"/>
        <v>0</v>
      </c>
    </row>
    <row r="20" spans="1:22">
      <c r="A20" s="144">
        <v>14</v>
      </c>
      <c r="B20" s="1" t="s">
        <v>108</v>
      </c>
      <c r="C20" s="538"/>
      <c r="D20" s="531">
        <v>2020139.7791275999</v>
      </c>
      <c r="E20" s="531"/>
      <c r="F20" s="531"/>
      <c r="G20" s="531"/>
      <c r="H20" s="531"/>
      <c r="I20" s="531"/>
      <c r="J20" s="531"/>
      <c r="K20" s="531"/>
      <c r="L20" s="534"/>
      <c r="M20" s="538"/>
      <c r="N20" s="531"/>
      <c r="O20" s="531"/>
      <c r="P20" s="531"/>
      <c r="Q20" s="531"/>
      <c r="R20" s="531"/>
      <c r="S20" s="534"/>
      <c r="T20" s="536">
        <v>2019639.6541275999</v>
      </c>
      <c r="U20" s="536">
        <v>500.125</v>
      </c>
      <c r="V20" s="537">
        <f t="shared" si="0"/>
        <v>2020139.7791275999</v>
      </c>
    </row>
    <row r="21" spans="1:22" ht="13.5" thickBot="1">
      <c r="A21" s="134"/>
      <c r="B21" s="145" t="s">
        <v>109</v>
      </c>
      <c r="C21" s="146">
        <f>SUM(C7:C20)</f>
        <v>0</v>
      </c>
      <c r="D21" s="136">
        <f t="shared" ref="D21:V21" si="1">SUM(D7:D20)</f>
        <v>38216905.973823793</v>
      </c>
      <c r="E21" s="136">
        <f t="shared" si="1"/>
        <v>0</v>
      </c>
      <c r="F21" s="136">
        <f t="shared" si="1"/>
        <v>0</v>
      </c>
      <c r="G21" s="136">
        <f t="shared" si="1"/>
        <v>0</v>
      </c>
      <c r="H21" s="136">
        <f t="shared" si="1"/>
        <v>0</v>
      </c>
      <c r="I21" s="136">
        <f t="shared" si="1"/>
        <v>0</v>
      </c>
      <c r="J21" s="136">
        <f t="shared" si="1"/>
        <v>0</v>
      </c>
      <c r="K21" s="136">
        <f t="shared" si="1"/>
        <v>0</v>
      </c>
      <c r="L21" s="147">
        <f t="shared" si="1"/>
        <v>0</v>
      </c>
      <c r="M21" s="146">
        <f t="shared" si="1"/>
        <v>0</v>
      </c>
      <c r="N21" s="136">
        <f t="shared" si="1"/>
        <v>0</v>
      </c>
      <c r="O21" s="136">
        <f t="shared" si="1"/>
        <v>0</v>
      </c>
      <c r="P21" s="136">
        <f t="shared" si="1"/>
        <v>0</v>
      </c>
      <c r="Q21" s="136">
        <f t="shared" si="1"/>
        <v>0</v>
      </c>
      <c r="R21" s="136">
        <f t="shared" si="1"/>
        <v>0</v>
      </c>
      <c r="S21" s="147">
        <f>SUM(S7:S20)</f>
        <v>0</v>
      </c>
      <c r="T21" s="147">
        <f>SUM(T7:T20)</f>
        <v>36060643.630913816</v>
      </c>
      <c r="U21" s="147">
        <f t="shared" ref="U21" si="2">SUM(U7:U20)</f>
        <v>2156262.3429099745</v>
      </c>
      <c r="V21" s="148">
        <f t="shared" si="1"/>
        <v>38216905.973823793</v>
      </c>
    </row>
    <row r="24" spans="1:22">
      <c r="C24" s="54"/>
      <c r="D24" s="54"/>
      <c r="E24" s="54"/>
    </row>
    <row r="25" spans="1:22">
      <c r="A25" s="76"/>
      <c r="B25" s="76"/>
      <c r="D25" s="54"/>
      <c r="E25" s="54"/>
    </row>
    <row r="26" spans="1:22">
      <c r="A26" s="76"/>
      <c r="B26" s="55"/>
      <c r="D26" s="54"/>
      <c r="E26" s="54"/>
    </row>
    <row r="27" spans="1:22">
      <c r="A27" s="76"/>
      <c r="B27" s="76"/>
      <c r="D27" s="54"/>
      <c r="E27" s="54"/>
    </row>
    <row r="28" spans="1:22">
      <c r="A28" s="76"/>
      <c r="B28" s="55"/>
      <c r="D28" s="54"/>
      <c r="E28" s="5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sheetView>
  </sheetViews>
  <sheetFormatPr defaultColWidth="9.28515625" defaultRowHeight="12.75"/>
  <cols>
    <col min="1" max="1" width="10.5703125" style="4" bestFit="1" customWidth="1"/>
    <col min="2" max="2" width="101.7109375" style="4"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1"/>
  </cols>
  <sheetData>
    <row r="1" spans="1:9">
      <c r="A1" s="2" t="s">
        <v>30</v>
      </c>
      <c r="B1" s="4" t="str">
        <f>'Info '!C2</f>
        <v>JSC CARTU BANK</v>
      </c>
      <c r="C1" s="3"/>
    </row>
    <row r="2" spans="1:9">
      <c r="A2" s="2" t="s">
        <v>31</v>
      </c>
      <c r="B2" s="540">
        <f>'1. key ratios '!B2</f>
        <v>44651</v>
      </c>
      <c r="C2" s="370"/>
    </row>
    <row r="4" spans="1:9" ht="13.5" thickBot="1">
      <c r="A4" s="2" t="s">
        <v>253</v>
      </c>
      <c r="B4" s="137" t="s">
        <v>376</v>
      </c>
    </row>
    <row r="5" spans="1:9">
      <c r="A5" s="138"/>
      <c r="B5" s="149"/>
      <c r="C5" s="252" t="s">
        <v>0</v>
      </c>
      <c r="D5" s="252" t="s">
        <v>1</v>
      </c>
      <c r="E5" s="252" t="s">
        <v>2</v>
      </c>
      <c r="F5" s="252" t="s">
        <v>3</v>
      </c>
      <c r="G5" s="253" t="s">
        <v>4</v>
      </c>
      <c r="H5" s="254" t="s">
        <v>5</v>
      </c>
      <c r="I5" s="150"/>
    </row>
    <row r="6" spans="1:9" s="150" customFormat="1" ht="12.75" customHeight="1">
      <c r="A6" s="151"/>
      <c r="B6" s="676" t="s">
        <v>252</v>
      </c>
      <c r="C6" s="662" t="s">
        <v>368</v>
      </c>
      <c r="D6" s="678" t="s">
        <v>367</v>
      </c>
      <c r="E6" s="679"/>
      <c r="F6" s="662" t="s">
        <v>372</v>
      </c>
      <c r="G6" s="662" t="s">
        <v>373</v>
      </c>
      <c r="H6" s="674" t="s">
        <v>371</v>
      </c>
    </row>
    <row r="7" spans="1:9" ht="38.25">
      <c r="A7" s="153"/>
      <c r="B7" s="677"/>
      <c r="C7" s="663"/>
      <c r="D7" s="255" t="s">
        <v>370</v>
      </c>
      <c r="E7" s="255" t="s">
        <v>369</v>
      </c>
      <c r="F7" s="663"/>
      <c r="G7" s="663"/>
      <c r="H7" s="675"/>
      <c r="I7" s="150"/>
    </row>
    <row r="8" spans="1:9">
      <c r="A8" s="151">
        <v>1</v>
      </c>
      <c r="B8" s="1" t="s">
        <v>96</v>
      </c>
      <c r="C8" s="531">
        <v>241674024</v>
      </c>
      <c r="D8" s="531"/>
      <c r="E8" s="531"/>
      <c r="F8" s="531">
        <v>204617975</v>
      </c>
      <c r="G8" s="532">
        <v>204617975</v>
      </c>
      <c r="H8" s="539">
        <v>0.84666929284878378</v>
      </c>
    </row>
    <row r="9" spans="1:9" ht="15" customHeight="1">
      <c r="A9" s="151">
        <v>2</v>
      </c>
      <c r="B9" s="1" t="s">
        <v>97</v>
      </c>
      <c r="C9" s="531">
        <v>0</v>
      </c>
      <c r="D9" s="531"/>
      <c r="E9" s="531"/>
      <c r="F9" s="531">
        <v>0</v>
      </c>
      <c r="G9" s="532">
        <v>0</v>
      </c>
      <c r="H9" s="539">
        <v>0</v>
      </c>
    </row>
    <row r="10" spans="1:9">
      <c r="A10" s="151">
        <v>3</v>
      </c>
      <c r="B10" s="1" t="s">
        <v>270</v>
      </c>
      <c r="C10" s="531">
        <v>0</v>
      </c>
      <c r="D10" s="531"/>
      <c r="E10" s="531"/>
      <c r="F10" s="531">
        <v>0</v>
      </c>
      <c r="G10" s="532">
        <v>0</v>
      </c>
      <c r="H10" s="539">
        <v>0</v>
      </c>
    </row>
    <row r="11" spans="1:9">
      <c r="A11" s="151">
        <v>4</v>
      </c>
      <c r="B11" s="1" t="s">
        <v>98</v>
      </c>
      <c r="C11" s="531">
        <v>0</v>
      </c>
      <c r="D11" s="531"/>
      <c r="E11" s="531"/>
      <c r="F11" s="531">
        <v>0</v>
      </c>
      <c r="G11" s="532">
        <v>0</v>
      </c>
      <c r="H11" s="539">
        <v>0</v>
      </c>
    </row>
    <row r="12" spans="1:9">
      <c r="A12" s="151">
        <v>5</v>
      </c>
      <c r="B12" s="1" t="s">
        <v>99</v>
      </c>
      <c r="C12" s="531">
        <v>0</v>
      </c>
      <c r="D12" s="531"/>
      <c r="E12" s="531"/>
      <c r="F12" s="531">
        <v>0</v>
      </c>
      <c r="G12" s="532">
        <v>0</v>
      </c>
      <c r="H12" s="539">
        <v>0</v>
      </c>
    </row>
    <row r="13" spans="1:9">
      <c r="A13" s="151">
        <v>6</v>
      </c>
      <c r="B13" s="1" t="s">
        <v>100</v>
      </c>
      <c r="C13" s="531">
        <v>194640372</v>
      </c>
      <c r="D13" s="531"/>
      <c r="E13" s="531"/>
      <c r="F13" s="531">
        <v>71954883.263999999</v>
      </c>
      <c r="G13" s="532">
        <v>71954883.263999999</v>
      </c>
      <c r="H13" s="539">
        <v>0.36968118445642922</v>
      </c>
    </row>
    <row r="14" spans="1:9">
      <c r="A14" s="151">
        <v>7</v>
      </c>
      <c r="B14" s="1" t="s">
        <v>101</v>
      </c>
      <c r="C14" s="531">
        <v>721517768.86174488</v>
      </c>
      <c r="D14" s="531">
        <v>47011521.565586172</v>
      </c>
      <c r="E14" s="531">
        <v>25568153.175408587</v>
      </c>
      <c r="F14" s="531">
        <v>747085922.03715348</v>
      </c>
      <c r="G14" s="532">
        <v>710982116.13554275</v>
      </c>
      <c r="H14" s="539">
        <v>0.95167382380441212</v>
      </c>
    </row>
    <row r="15" spans="1:9">
      <c r="A15" s="151">
        <v>8</v>
      </c>
      <c r="B15" s="1" t="s">
        <v>102</v>
      </c>
      <c r="C15" s="531">
        <v>0</v>
      </c>
      <c r="D15" s="531"/>
      <c r="E15" s="531">
        <v>0</v>
      </c>
      <c r="F15" s="531">
        <v>0</v>
      </c>
      <c r="G15" s="532">
        <v>0</v>
      </c>
      <c r="H15" s="539">
        <v>0</v>
      </c>
    </row>
    <row r="16" spans="1:9">
      <c r="A16" s="151">
        <v>9</v>
      </c>
      <c r="B16" s="1" t="s">
        <v>103</v>
      </c>
      <c r="C16" s="531">
        <v>0</v>
      </c>
      <c r="D16" s="531"/>
      <c r="E16" s="531">
        <v>0</v>
      </c>
      <c r="F16" s="531">
        <v>0</v>
      </c>
      <c r="G16" s="532">
        <v>0</v>
      </c>
      <c r="H16" s="539">
        <v>0</v>
      </c>
    </row>
    <row r="17" spans="1:8">
      <c r="A17" s="151">
        <v>10</v>
      </c>
      <c r="B17" s="1" t="s">
        <v>104</v>
      </c>
      <c r="C17" s="531">
        <v>97620234.997077942</v>
      </c>
      <c r="D17" s="531">
        <v>372891.16999995708</v>
      </c>
      <c r="E17" s="531">
        <v>186445.58499997854</v>
      </c>
      <c r="F17" s="531">
        <v>97806680.58207792</v>
      </c>
      <c r="G17" s="532">
        <v>97713720.288992435</v>
      </c>
      <c r="H17" s="539">
        <v>0.99904955067964429</v>
      </c>
    </row>
    <row r="18" spans="1:8">
      <c r="A18" s="151">
        <v>11</v>
      </c>
      <c r="B18" s="1" t="s">
        <v>105</v>
      </c>
      <c r="C18" s="531">
        <v>0</v>
      </c>
      <c r="D18" s="531"/>
      <c r="E18" s="531">
        <v>0</v>
      </c>
      <c r="F18" s="531">
        <v>0</v>
      </c>
      <c r="G18" s="532">
        <v>0</v>
      </c>
      <c r="H18" s="539">
        <v>0</v>
      </c>
    </row>
    <row r="19" spans="1:8">
      <c r="A19" s="151">
        <v>12</v>
      </c>
      <c r="B19" s="1" t="s">
        <v>106</v>
      </c>
      <c r="C19" s="531">
        <v>0</v>
      </c>
      <c r="D19" s="531"/>
      <c r="E19" s="531">
        <v>0</v>
      </c>
      <c r="F19" s="531">
        <v>0</v>
      </c>
      <c r="G19" s="532">
        <v>0</v>
      </c>
      <c r="H19" s="539">
        <v>0</v>
      </c>
    </row>
    <row r="20" spans="1:8">
      <c r="A20" s="151">
        <v>13</v>
      </c>
      <c r="B20" s="1" t="s">
        <v>247</v>
      </c>
      <c r="C20" s="531">
        <v>0</v>
      </c>
      <c r="D20" s="531"/>
      <c r="E20" s="531">
        <v>0</v>
      </c>
      <c r="F20" s="531">
        <v>0</v>
      </c>
      <c r="G20" s="532">
        <v>0</v>
      </c>
      <c r="H20" s="539">
        <v>0</v>
      </c>
    </row>
    <row r="21" spans="1:8">
      <c r="A21" s="151">
        <v>14</v>
      </c>
      <c r="B21" s="1" t="s">
        <v>108</v>
      </c>
      <c r="C21" s="531">
        <v>123275077.18883401</v>
      </c>
      <c r="D21" s="531">
        <v>2616907.5530999964</v>
      </c>
      <c r="E21" s="531">
        <v>1308453.7765499982</v>
      </c>
      <c r="F21" s="531">
        <v>130928636.96538401</v>
      </c>
      <c r="G21" s="532">
        <v>128908497.18625641</v>
      </c>
      <c r="H21" s="539">
        <v>1.0347153928561723</v>
      </c>
    </row>
    <row r="22" spans="1:8" ht="13.5" thickBot="1">
      <c r="A22" s="154"/>
      <c r="B22" s="155" t="s">
        <v>109</v>
      </c>
      <c r="C22" s="256">
        <f>SUM(C8:C21)</f>
        <v>1378727477.0476568</v>
      </c>
      <c r="D22" s="256">
        <f>SUM(D8:D21)</f>
        <v>50001320.288686126</v>
      </c>
      <c r="E22" s="256">
        <f>SUM(E8:E21)</f>
        <v>27063052.536958564</v>
      </c>
      <c r="F22" s="256">
        <f>SUM(F8:F21)</f>
        <v>1252394097.8486154</v>
      </c>
      <c r="G22" s="256">
        <f>SUM(G8:G21)</f>
        <v>1214177191.8747916</v>
      </c>
      <c r="H22" s="257">
        <f>G22/(C22+E22)</f>
        <v>0.86369709165245145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225" bestFit="1" customWidth="1"/>
    <col min="2" max="2" width="104.28515625" style="225" customWidth="1"/>
    <col min="3" max="3" width="12.7109375" style="225" customWidth="1"/>
    <col min="4" max="5" width="13.5703125" style="225" bestFit="1" customWidth="1"/>
    <col min="6" max="11" width="12.7109375" style="225" customWidth="1"/>
    <col min="12" max="16384" width="9.28515625" style="225"/>
  </cols>
  <sheetData>
    <row r="1" spans="1:11">
      <c r="A1" s="225" t="s">
        <v>30</v>
      </c>
      <c r="B1" s="3" t="str">
        <f>'Info '!C2</f>
        <v>JSC CARTU BANK</v>
      </c>
    </row>
    <row r="2" spans="1:11">
      <c r="A2" s="225" t="s">
        <v>31</v>
      </c>
      <c r="B2" s="370">
        <f>'1. key ratios '!B2</f>
        <v>44651</v>
      </c>
    </row>
    <row r="4" spans="1:11" ht="13.5" thickBot="1">
      <c r="A4" s="225" t="s">
        <v>249</v>
      </c>
      <c r="B4" s="291" t="s">
        <v>377</v>
      </c>
    </row>
    <row r="5" spans="1:11" ht="30" customHeight="1">
      <c r="A5" s="680"/>
      <c r="B5" s="681"/>
      <c r="C5" s="682" t="s">
        <v>429</v>
      </c>
      <c r="D5" s="682"/>
      <c r="E5" s="682"/>
      <c r="F5" s="682" t="s">
        <v>430</v>
      </c>
      <c r="G5" s="682"/>
      <c r="H5" s="682"/>
      <c r="I5" s="682" t="s">
        <v>431</v>
      </c>
      <c r="J5" s="682"/>
      <c r="K5" s="683"/>
    </row>
    <row r="6" spans="1:11">
      <c r="A6" s="266"/>
      <c r="B6" s="267"/>
      <c r="C6" s="21" t="s">
        <v>69</v>
      </c>
      <c r="D6" s="21" t="s">
        <v>70</v>
      </c>
      <c r="E6" s="21" t="s">
        <v>71</v>
      </c>
      <c r="F6" s="21" t="s">
        <v>69</v>
      </c>
      <c r="G6" s="21" t="s">
        <v>70</v>
      </c>
      <c r="H6" s="21" t="s">
        <v>71</v>
      </c>
      <c r="I6" s="21" t="s">
        <v>69</v>
      </c>
      <c r="J6" s="21" t="s">
        <v>70</v>
      </c>
      <c r="K6" s="21" t="s">
        <v>71</v>
      </c>
    </row>
    <row r="7" spans="1:11">
      <c r="A7" s="268" t="s">
        <v>380</v>
      </c>
      <c r="B7" s="269"/>
      <c r="C7" s="269"/>
      <c r="D7" s="269"/>
      <c r="E7" s="269"/>
      <c r="F7" s="269"/>
      <c r="G7" s="269"/>
      <c r="H7" s="269"/>
      <c r="I7" s="269"/>
      <c r="J7" s="269"/>
      <c r="K7" s="270"/>
    </row>
    <row r="8" spans="1:11">
      <c r="A8" s="271">
        <v>1</v>
      </c>
      <c r="B8" s="272" t="s">
        <v>378</v>
      </c>
      <c r="C8" s="462"/>
      <c r="D8" s="462"/>
      <c r="E8" s="462"/>
      <c r="F8" s="541">
        <v>47336798.793707885</v>
      </c>
      <c r="G8" s="542">
        <v>325998882.4035731</v>
      </c>
      <c r="H8" s="542">
        <v>373335681.19728094</v>
      </c>
      <c r="I8" s="542">
        <v>42964235.889325835</v>
      </c>
      <c r="J8" s="542">
        <v>203536734.69705608</v>
      </c>
      <c r="K8" s="543">
        <v>246500970.58638197</v>
      </c>
    </row>
    <row r="9" spans="1:11">
      <c r="A9" s="268" t="s">
        <v>381</v>
      </c>
      <c r="B9" s="269"/>
      <c r="C9" s="544"/>
      <c r="D9" s="544"/>
      <c r="E9" s="544"/>
      <c r="F9" s="544"/>
      <c r="G9" s="544"/>
      <c r="H9" s="544"/>
      <c r="I9" s="544"/>
      <c r="J9" s="544"/>
      <c r="K9" s="270"/>
    </row>
    <row r="10" spans="1:11">
      <c r="A10" s="273">
        <v>2</v>
      </c>
      <c r="B10" s="274" t="s">
        <v>389</v>
      </c>
      <c r="C10" s="541">
        <v>17710514.307114676</v>
      </c>
      <c r="D10" s="542">
        <v>323230574.05179662</v>
      </c>
      <c r="E10" s="542">
        <v>340941088.35891122</v>
      </c>
      <c r="F10" s="541">
        <v>3017721.4374117008</v>
      </c>
      <c r="G10" s="542">
        <v>38621452.412437558</v>
      </c>
      <c r="H10" s="542">
        <v>41639173.849849254</v>
      </c>
      <c r="I10" s="541">
        <v>653827.42404786893</v>
      </c>
      <c r="J10" s="542">
        <v>4917436.3153748475</v>
      </c>
      <c r="K10" s="543">
        <v>5571263.7394227162</v>
      </c>
    </row>
    <row r="11" spans="1:11">
      <c r="A11" s="273">
        <v>3</v>
      </c>
      <c r="B11" s="274" t="s">
        <v>383</v>
      </c>
      <c r="C11" s="541">
        <v>105399298.51683147</v>
      </c>
      <c r="D11" s="542">
        <v>598474723.69998741</v>
      </c>
      <c r="E11" s="542">
        <v>703874022.21681905</v>
      </c>
      <c r="F11" s="541">
        <v>21053122.219935395</v>
      </c>
      <c r="G11" s="542">
        <v>138909620.22113398</v>
      </c>
      <c r="H11" s="542">
        <v>159962742.44106925</v>
      </c>
      <c r="I11" s="541">
        <v>17160957.298870787</v>
      </c>
      <c r="J11" s="542">
        <v>71575889.318269894</v>
      </c>
      <c r="K11" s="543">
        <v>88736846.617140681</v>
      </c>
    </row>
    <row r="12" spans="1:11">
      <c r="A12" s="273">
        <v>4</v>
      </c>
      <c r="B12" s="274" t="s">
        <v>384</v>
      </c>
      <c r="C12" s="541">
        <v>0</v>
      </c>
      <c r="D12" s="542">
        <v>0</v>
      </c>
      <c r="E12" s="542">
        <v>0</v>
      </c>
      <c r="F12" s="541">
        <v>0</v>
      </c>
      <c r="G12" s="542">
        <v>0</v>
      </c>
      <c r="H12" s="542">
        <v>0</v>
      </c>
      <c r="I12" s="541">
        <v>0</v>
      </c>
      <c r="J12" s="542">
        <v>0</v>
      </c>
      <c r="K12" s="543">
        <v>0</v>
      </c>
    </row>
    <row r="13" spans="1:11">
      <c r="A13" s="273">
        <v>5</v>
      </c>
      <c r="B13" s="274" t="s">
        <v>392</v>
      </c>
      <c r="C13" s="541">
        <v>31978072.238672979</v>
      </c>
      <c r="D13" s="542">
        <v>28308790.326827198</v>
      </c>
      <c r="E13" s="542">
        <v>60286862.565500155</v>
      </c>
      <c r="F13" s="541">
        <v>7148707.5809682449</v>
      </c>
      <c r="G13" s="542">
        <v>6854917.7779237339</v>
      </c>
      <c r="H13" s="542">
        <v>14003625.35889197</v>
      </c>
      <c r="I13" s="541">
        <v>2760304.4757605563</v>
      </c>
      <c r="J13" s="542">
        <v>2236504.693357517</v>
      </c>
      <c r="K13" s="543">
        <v>4996809.1691180728</v>
      </c>
    </row>
    <row r="14" spans="1:11">
      <c r="A14" s="273">
        <v>6</v>
      </c>
      <c r="B14" s="274" t="s">
        <v>424</v>
      </c>
      <c r="C14" s="541"/>
      <c r="D14" s="542"/>
      <c r="E14" s="542"/>
      <c r="F14" s="541"/>
      <c r="G14" s="542"/>
      <c r="H14" s="542"/>
      <c r="I14" s="541"/>
      <c r="J14" s="542"/>
      <c r="K14" s="543"/>
    </row>
    <row r="15" spans="1:11">
      <c r="A15" s="273">
        <v>7</v>
      </c>
      <c r="B15" s="274" t="s">
        <v>425</v>
      </c>
      <c r="C15" s="541">
        <v>16354716.497528089</v>
      </c>
      <c r="D15" s="542">
        <v>27596642.394382026</v>
      </c>
      <c r="E15" s="542">
        <v>43951358.891910113</v>
      </c>
      <c r="F15" s="541">
        <v>4043930.8826584858</v>
      </c>
      <c r="G15" s="542">
        <v>8244851.4688088335</v>
      </c>
      <c r="H15" s="542">
        <v>12288782.351467317</v>
      </c>
      <c r="I15" s="541">
        <v>4043930.8826584858</v>
      </c>
      <c r="J15" s="542">
        <v>8244851.4688088335</v>
      </c>
      <c r="K15" s="543">
        <v>12288782.351467317</v>
      </c>
    </row>
    <row r="16" spans="1:11">
      <c r="A16" s="273">
        <v>8</v>
      </c>
      <c r="B16" s="275" t="s">
        <v>385</v>
      </c>
      <c r="C16" s="545">
        <f>SUM(C10:C15)</f>
        <v>171442601.5601472</v>
      </c>
      <c r="D16" s="545">
        <f t="shared" ref="D16:K16" si="0">SUM(D10:D15)</f>
        <v>977610730.47299325</v>
      </c>
      <c r="E16" s="545">
        <f t="shared" si="0"/>
        <v>1149053332.0331407</v>
      </c>
      <c r="F16" s="545">
        <f t="shared" si="0"/>
        <v>35263482.120973825</v>
      </c>
      <c r="G16" s="545">
        <f t="shared" si="0"/>
        <v>192630841.8803041</v>
      </c>
      <c r="H16" s="545">
        <f t="shared" si="0"/>
        <v>227894324.00127777</v>
      </c>
      <c r="I16" s="545">
        <f t="shared" si="0"/>
        <v>24619020.081337698</v>
      </c>
      <c r="J16" s="545">
        <f t="shared" si="0"/>
        <v>86974681.795811087</v>
      </c>
      <c r="K16" s="546">
        <f t="shared" si="0"/>
        <v>111593701.87714878</v>
      </c>
    </row>
    <row r="17" spans="1:11">
      <c r="A17" s="268" t="s">
        <v>382</v>
      </c>
      <c r="B17" s="269"/>
      <c r="C17" s="541"/>
      <c r="D17" s="542"/>
      <c r="E17" s="542"/>
      <c r="F17" s="541"/>
      <c r="G17" s="542"/>
      <c r="H17" s="542"/>
      <c r="I17" s="541"/>
      <c r="J17" s="542"/>
      <c r="K17" s="543"/>
    </row>
    <row r="18" spans="1:11">
      <c r="A18" s="273">
        <v>9</v>
      </c>
      <c r="B18" s="274" t="s">
        <v>388</v>
      </c>
      <c r="C18" s="541">
        <v>0</v>
      </c>
      <c r="D18" s="542">
        <v>0</v>
      </c>
      <c r="E18" s="542">
        <v>0</v>
      </c>
      <c r="F18" s="541">
        <v>0</v>
      </c>
      <c r="G18" s="542">
        <v>0</v>
      </c>
      <c r="H18" s="542">
        <v>0</v>
      </c>
      <c r="I18" s="541">
        <v>0</v>
      </c>
      <c r="J18" s="542">
        <v>0</v>
      </c>
      <c r="K18" s="543">
        <v>0</v>
      </c>
    </row>
    <row r="19" spans="1:11">
      <c r="A19" s="273">
        <v>10</v>
      </c>
      <c r="B19" s="274" t="s">
        <v>426</v>
      </c>
      <c r="C19" s="541">
        <v>227991416.77253032</v>
      </c>
      <c r="D19" s="542">
        <v>493378541.86301929</v>
      </c>
      <c r="E19" s="542">
        <v>721369958.63554966</v>
      </c>
      <c r="F19" s="541">
        <v>3545504.5967934667</v>
      </c>
      <c r="G19" s="542">
        <v>5203614.611460737</v>
      </c>
      <c r="H19" s="542">
        <v>8749119.2082542032</v>
      </c>
      <c r="I19" s="541">
        <v>7918346.0103889704</v>
      </c>
      <c r="J19" s="542">
        <v>128543344.49033712</v>
      </c>
      <c r="K19" s="543">
        <v>136461690.50072607</v>
      </c>
    </row>
    <row r="20" spans="1:11">
      <c r="A20" s="273">
        <v>11</v>
      </c>
      <c r="B20" s="274" t="s">
        <v>387</v>
      </c>
      <c r="C20" s="541">
        <v>3356124.8715590909</v>
      </c>
      <c r="D20" s="542">
        <v>26740583.911488768</v>
      </c>
      <c r="E20" s="542">
        <v>30096708.783047859</v>
      </c>
      <c r="F20" s="541">
        <v>268615.86089887639</v>
      </c>
      <c r="G20" s="542">
        <v>7577734.850573035</v>
      </c>
      <c r="H20" s="542">
        <v>7846350.7114719097</v>
      </c>
      <c r="I20" s="541">
        <v>268615.86089887639</v>
      </c>
      <c r="J20" s="542">
        <v>7577734.850573035</v>
      </c>
      <c r="K20" s="543">
        <v>7846350.7114719097</v>
      </c>
    </row>
    <row r="21" spans="1:11" ht="13.5" thickBot="1">
      <c r="A21" s="276">
        <v>12</v>
      </c>
      <c r="B21" s="277" t="s">
        <v>386</v>
      </c>
      <c r="C21" s="547">
        <f>SUM(C18:C20)</f>
        <v>231347541.6440894</v>
      </c>
      <c r="D21" s="547">
        <f t="shared" ref="D21:K21" si="1">SUM(D18:D20)</f>
        <v>520119125.77450806</v>
      </c>
      <c r="E21" s="547">
        <f t="shared" si="1"/>
        <v>751466667.41859758</v>
      </c>
      <c r="F21" s="547">
        <f t="shared" si="1"/>
        <v>3814120.4576923433</v>
      </c>
      <c r="G21" s="547">
        <f t="shared" si="1"/>
        <v>12781349.462033771</v>
      </c>
      <c r="H21" s="547">
        <f t="shared" si="1"/>
        <v>16595469.919726113</v>
      </c>
      <c r="I21" s="547">
        <f t="shared" si="1"/>
        <v>8186961.8712878469</v>
      </c>
      <c r="J21" s="547">
        <f t="shared" si="1"/>
        <v>136121079.34091017</v>
      </c>
      <c r="K21" s="548">
        <f t="shared" si="1"/>
        <v>144308041.21219799</v>
      </c>
    </row>
    <row r="22" spans="1:11" ht="38.25" customHeight="1" thickBot="1">
      <c r="A22" s="278"/>
      <c r="B22" s="279"/>
      <c r="C22" s="279"/>
      <c r="D22" s="279"/>
      <c r="E22" s="279"/>
      <c r="F22" s="684" t="s">
        <v>428</v>
      </c>
      <c r="G22" s="682"/>
      <c r="H22" s="682"/>
      <c r="I22" s="684" t="s">
        <v>393</v>
      </c>
      <c r="J22" s="682"/>
      <c r="K22" s="683"/>
    </row>
    <row r="23" spans="1:11">
      <c r="A23" s="280">
        <v>13</v>
      </c>
      <c r="B23" s="281" t="s">
        <v>378</v>
      </c>
      <c r="C23" s="282"/>
      <c r="D23" s="282"/>
      <c r="E23" s="282"/>
      <c r="F23" s="549">
        <f>F8</f>
        <v>47336798.793707885</v>
      </c>
      <c r="G23" s="549">
        <f t="shared" ref="G23:K23" si="2">G8</f>
        <v>325998882.4035731</v>
      </c>
      <c r="H23" s="549">
        <f t="shared" si="2"/>
        <v>373335681.19728094</v>
      </c>
      <c r="I23" s="549">
        <f t="shared" si="2"/>
        <v>42964235.889325835</v>
      </c>
      <c r="J23" s="549">
        <f t="shared" si="2"/>
        <v>203536734.69705608</v>
      </c>
      <c r="K23" s="550">
        <f t="shared" si="2"/>
        <v>246500970.58638197</v>
      </c>
    </row>
    <row r="24" spans="1:11" ht="13.5" thickBot="1">
      <c r="A24" s="283">
        <v>14</v>
      </c>
      <c r="B24" s="284" t="s">
        <v>390</v>
      </c>
      <c r="C24" s="285"/>
      <c r="D24" s="286"/>
      <c r="E24" s="287"/>
      <c r="F24" s="551">
        <f>MAX(F16-F21,F16*0.25)</f>
        <v>31449361.663281482</v>
      </c>
      <c r="G24" s="551">
        <f t="shared" ref="G24:K24" si="3">MAX(G16-G21,G16*0.25)</f>
        <v>179849492.41827032</v>
      </c>
      <c r="H24" s="551">
        <f t="shared" si="3"/>
        <v>211298854.08155167</v>
      </c>
      <c r="I24" s="551">
        <f t="shared" si="3"/>
        <v>16432058.210049851</v>
      </c>
      <c r="J24" s="551">
        <f t="shared" si="3"/>
        <v>21743670.448952772</v>
      </c>
      <c r="K24" s="552">
        <f t="shared" si="3"/>
        <v>27898425.469287194</v>
      </c>
    </row>
    <row r="25" spans="1:11" ht="13.5" thickBot="1">
      <c r="A25" s="288">
        <v>15</v>
      </c>
      <c r="B25" s="289" t="s">
        <v>391</v>
      </c>
      <c r="C25" s="290"/>
      <c r="D25" s="290"/>
      <c r="E25" s="290"/>
      <c r="F25" s="553">
        <f>F23/F24</f>
        <v>1.5051751860825744</v>
      </c>
      <c r="G25" s="553">
        <f t="shared" ref="G25:K25" si="4">G23/G24</f>
        <v>1.8126205307569494</v>
      </c>
      <c r="H25" s="553">
        <f t="shared" si="4"/>
        <v>1.7668608891423068</v>
      </c>
      <c r="I25" s="553">
        <f t="shared" si="4"/>
        <v>2.614659426111873</v>
      </c>
      <c r="J25" s="553">
        <f t="shared" si="4"/>
        <v>9.3607348940877149</v>
      </c>
      <c r="K25" s="554">
        <f t="shared" si="4"/>
        <v>8.8356588746468816</v>
      </c>
    </row>
    <row r="27" spans="1:11" ht="25.5">
      <c r="B27" s="26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1"/>
  </cols>
  <sheetData>
    <row r="1" spans="1:14">
      <c r="A1" s="4" t="s">
        <v>30</v>
      </c>
      <c r="B1" s="3" t="str">
        <f>'Info '!C2</f>
        <v>JSC CARTU BANK</v>
      </c>
    </row>
    <row r="2" spans="1:14" ht="14.25" customHeight="1">
      <c r="A2" s="4" t="s">
        <v>31</v>
      </c>
      <c r="B2" s="370">
        <f>'1. key ratios '!B2</f>
        <v>44651</v>
      </c>
    </row>
    <row r="3" spans="1:14" ht="14.25" customHeight="1"/>
    <row r="4" spans="1:14" ht="13.5" thickBot="1">
      <c r="A4" s="4" t="s">
        <v>265</v>
      </c>
      <c r="B4" s="219"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264</v>
      </c>
      <c r="D6" s="165" t="s">
        <v>263</v>
      </c>
      <c r="E6" s="166" t="s">
        <v>262</v>
      </c>
      <c r="F6" s="167">
        <v>0</v>
      </c>
      <c r="G6" s="167">
        <v>0.2</v>
      </c>
      <c r="H6" s="167">
        <v>0.35</v>
      </c>
      <c r="I6" s="167">
        <v>0.5</v>
      </c>
      <c r="J6" s="167">
        <v>0.75</v>
      </c>
      <c r="K6" s="167">
        <v>1</v>
      </c>
      <c r="L6" s="167">
        <v>1.5</v>
      </c>
      <c r="M6" s="167">
        <v>2.5</v>
      </c>
      <c r="N6" s="218" t="s">
        <v>276</v>
      </c>
    </row>
    <row r="7" spans="1:14" ht="15">
      <c r="A7" s="168">
        <v>1</v>
      </c>
      <c r="B7" s="169" t="s">
        <v>261</v>
      </c>
      <c r="C7" s="170">
        <f>SUM(C8:C13)</f>
        <v>23763400</v>
      </c>
      <c r="D7" s="163"/>
      <c r="E7" s="171">
        <f t="shared" ref="E7:M7" si="0">SUM(E8:E13)</f>
        <v>475268</v>
      </c>
      <c r="F7" s="172">
        <f>SUM(F8:F13)</f>
        <v>0</v>
      </c>
      <c r="G7" s="172">
        <f t="shared" si="0"/>
        <v>0</v>
      </c>
      <c r="H7" s="172">
        <f t="shared" si="0"/>
        <v>0</v>
      </c>
      <c r="I7" s="172">
        <f t="shared" si="0"/>
        <v>0</v>
      </c>
      <c r="J7" s="172">
        <f t="shared" si="0"/>
        <v>0</v>
      </c>
      <c r="K7" s="172">
        <f t="shared" si="0"/>
        <v>475268</v>
      </c>
      <c r="L7" s="172">
        <f t="shared" si="0"/>
        <v>0</v>
      </c>
      <c r="M7" s="172">
        <f t="shared" si="0"/>
        <v>0</v>
      </c>
      <c r="N7" s="173">
        <f>SUM(N8:N13)</f>
        <v>475268</v>
      </c>
    </row>
    <row r="8" spans="1:14" ht="14.25">
      <c r="A8" s="168">
        <v>1.1000000000000001</v>
      </c>
      <c r="B8" s="174" t="s">
        <v>259</v>
      </c>
      <c r="C8" s="172">
        <v>23763400</v>
      </c>
      <c r="D8" s="175">
        <v>0.02</v>
      </c>
      <c r="E8" s="171">
        <f>C8*D8</f>
        <v>475268</v>
      </c>
      <c r="F8" s="172"/>
      <c r="G8" s="172"/>
      <c r="H8" s="172"/>
      <c r="I8" s="172"/>
      <c r="J8" s="172"/>
      <c r="K8" s="172">
        <v>475268</v>
      </c>
      <c r="L8" s="172"/>
      <c r="M8" s="172"/>
      <c r="N8" s="173">
        <f>SUMPRODUCT($F$6:$M$6,F8:M8)</f>
        <v>475268</v>
      </c>
    </row>
    <row r="9" spans="1:14" ht="14.25">
      <c r="A9" s="168">
        <v>1.2</v>
      </c>
      <c r="B9" s="174" t="s">
        <v>258</v>
      </c>
      <c r="C9" s="172">
        <v>0</v>
      </c>
      <c r="D9" s="175">
        <v>0.05</v>
      </c>
      <c r="E9" s="171">
        <f>C9*D9</f>
        <v>0</v>
      </c>
      <c r="F9" s="172"/>
      <c r="G9" s="172"/>
      <c r="H9" s="172"/>
      <c r="I9" s="172"/>
      <c r="J9" s="172"/>
      <c r="K9" s="172"/>
      <c r="L9" s="172"/>
      <c r="M9" s="172"/>
      <c r="N9" s="173">
        <f t="shared" ref="N9:N12" si="1">SUMPRODUCT($F$6:$M$6,F9:M9)</f>
        <v>0</v>
      </c>
    </row>
    <row r="10" spans="1:14" ht="14.25">
      <c r="A10" s="168">
        <v>1.3</v>
      </c>
      <c r="B10" s="174" t="s">
        <v>257</v>
      </c>
      <c r="C10" s="172">
        <v>0</v>
      </c>
      <c r="D10" s="175">
        <v>0.08</v>
      </c>
      <c r="E10" s="171">
        <f>C10*D10</f>
        <v>0</v>
      </c>
      <c r="F10" s="172"/>
      <c r="G10" s="172"/>
      <c r="H10" s="172"/>
      <c r="I10" s="172"/>
      <c r="J10" s="172"/>
      <c r="K10" s="172"/>
      <c r="L10" s="172"/>
      <c r="M10" s="172"/>
      <c r="N10" s="173">
        <f>SUMPRODUCT($F$6:$M$6,F10:M10)</f>
        <v>0</v>
      </c>
    </row>
    <row r="11" spans="1:14" ht="14.25">
      <c r="A11" s="168">
        <v>1.4</v>
      </c>
      <c r="B11" s="174" t="s">
        <v>256</v>
      </c>
      <c r="C11" s="172">
        <v>0</v>
      </c>
      <c r="D11" s="175">
        <v>0.11</v>
      </c>
      <c r="E11" s="171">
        <f>C11*D11</f>
        <v>0</v>
      </c>
      <c r="F11" s="172"/>
      <c r="G11" s="172"/>
      <c r="H11" s="172"/>
      <c r="I11" s="172"/>
      <c r="J11" s="172"/>
      <c r="K11" s="172"/>
      <c r="L11" s="172"/>
      <c r="M11" s="172"/>
      <c r="N11" s="173">
        <f t="shared" si="1"/>
        <v>0</v>
      </c>
    </row>
    <row r="12" spans="1:14" ht="14.25">
      <c r="A12" s="168">
        <v>1.5</v>
      </c>
      <c r="B12" s="174" t="s">
        <v>255</v>
      </c>
      <c r="C12" s="172">
        <v>0</v>
      </c>
      <c r="D12" s="175">
        <v>0.14000000000000001</v>
      </c>
      <c r="E12" s="171">
        <f>C12*D12</f>
        <v>0</v>
      </c>
      <c r="F12" s="172"/>
      <c r="G12" s="172"/>
      <c r="H12" s="172"/>
      <c r="I12" s="172"/>
      <c r="J12" s="172"/>
      <c r="K12" s="172"/>
      <c r="L12" s="172"/>
      <c r="M12" s="172"/>
      <c r="N12" s="173">
        <f t="shared" si="1"/>
        <v>0</v>
      </c>
    </row>
    <row r="13" spans="1:14" ht="14.25">
      <c r="A13" s="168">
        <v>1.6</v>
      </c>
      <c r="B13" s="176" t="s">
        <v>254</v>
      </c>
      <c r="C13" s="172">
        <v>0</v>
      </c>
      <c r="D13" s="177"/>
      <c r="E13" s="172"/>
      <c r="F13" s="172"/>
      <c r="G13" s="172"/>
      <c r="H13" s="172"/>
      <c r="I13" s="172"/>
      <c r="J13" s="172"/>
      <c r="K13" s="172"/>
      <c r="L13" s="172"/>
      <c r="M13" s="172"/>
      <c r="N13" s="173">
        <f>SUMPRODUCT($F$6:$M$6,F13:M13)</f>
        <v>0</v>
      </c>
    </row>
    <row r="14" spans="1:14" ht="15">
      <c r="A14" s="168">
        <v>2</v>
      </c>
      <c r="B14" s="178" t="s">
        <v>260</v>
      </c>
      <c r="C14" s="170">
        <f>SUM(C15:C20)</f>
        <v>0</v>
      </c>
      <c r="D14" s="163"/>
      <c r="E14" s="171">
        <f t="shared" ref="E14:M14" si="2">SUM(E15:E20)</f>
        <v>0</v>
      </c>
      <c r="F14" s="172">
        <f t="shared" si="2"/>
        <v>0</v>
      </c>
      <c r="G14" s="172">
        <f t="shared" si="2"/>
        <v>0</v>
      </c>
      <c r="H14" s="172">
        <f t="shared" si="2"/>
        <v>0</v>
      </c>
      <c r="I14" s="172">
        <f t="shared" si="2"/>
        <v>0</v>
      </c>
      <c r="J14" s="172">
        <f t="shared" si="2"/>
        <v>0</v>
      </c>
      <c r="K14" s="172">
        <f t="shared" si="2"/>
        <v>0</v>
      </c>
      <c r="L14" s="172">
        <f t="shared" si="2"/>
        <v>0</v>
      </c>
      <c r="M14" s="172">
        <f t="shared" si="2"/>
        <v>0</v>
      </c>
      <c r="N14" s="173">
        <f>SUM(N15:N20)</f>
        <v>0</v>
      </c>
    </row>
    <row r="15" spans="1:14" ht="14.25">
      <c r="A15" s="168">
        <v>2.1</v>
      </c>
      <c r="B15" s="176" t="s">
        <v>259</v>
      </c>
      <c r="C15" s="172"/>
      <c r="D15" s="175">
        <v>5.0000000000000001E-3</v>
      </c>
      <c r="E15" s="171">
        <f>C15*D15</f>
        <v>0</v>
      </c>
      <c r="F15" s="172"/>
      <c r="G15" s="172"/>
      <c r="H15" s="172"/>
      <c r="I15" s="172"/>
      <c r="J15" s="172"/>
      <c r="K15" s="172"/>
      <c r="L15" s="172"/>
      <c r="M15" s="172"/>
      <c r="N15" s="173">
        <f>SUMPRODUCT($F$6:$M$6,F15:M15)</f>
        <v>0</v>
      </c>
    </row>
    <row r="16" spans="1:14" ht="14.25">
      <c r="A16" s="168">
        <v>2.2000000000000002</v>
      </c>
      <c r="B16" s="176" t="s">
        <v>258</v>
      </c>
      <c r="C16" s="172"/>
      <c r="D16" s="175">
        <v>0.01</v>
      </c>
      <c r="E16" s="171">
        <f>C16*D16</f>
        <v>0</v>
      </c>
      <c r="F16" s="172"/>
      <c r="G16" s="172"/>
      <c r="H16" s="172"/>
      <c r="I16" s="172"/>
      <c r="J16" s="172"/>
      <c r="K16" s="172"/>
      <c r="L16" s="172"/>
      <c r="M16" s="172"/>
      <c r="N16" s="173">
        <f t="shared" ref="N16:N20" si="3">SUMPRODUCT($F$6:$M$6,F16:M16)</f>
        <v>0</v>
      </c>
    </row>
    <row r="17" spans="1:14" ht="14.25">
      <c r="A17" s="168">
        <v>2.2999999999999998</v>
      </c>
      <c r="B17" s="176" t="s">
        <v>257</v>
      </c>
      <c r="C17" s="172"/>
      <c r="D17" s="175">
        <v>0.02</v>
      </c>
      <c r="E17" s="171">
        <f>C17*D17</f>
        <v>0</v>
      </c>
      <c r="F17" s="172"/>
      <c r="G17" s="172"/>
      <c r="H17" s="172"/>
      <c r="I17" s="172"/>
      <c r="J17" s="172"/>
      <c r="K17" s="172"/>
      <c r="L17" s="172"/>
      <c r="M17" s="172"/>
      <c r="N17" s="173">
        <f t="shared" si="3"/>
        <v>0</v>
      </c>
    </row>
    <row r="18" spans="1:14" ht="14.25">
      <c r="A18" s="168">
        <v>2.4</v>
      </c>
      <c r="B18" s="176" t="s">
        <v>256</v>
      </c>
      <c r="C18" s="172"/>
      <c r="D18" s="175">
        <v>0.03</v>
      </c>
      <c r="E18" s="171">
        <f>C18*D18</f>
        <v>0</v>
      </c>
      <c r="F18" s="172"/>
      <c r="G18" s="172"/>
      <c r="H18" s="172"/>
      <c r="I18" s="172"/>
      <c r="J18" s="172"/>
      <c r="K18" s="172"/>
      <c r="L18" s="172"/>
      <c r="M18" s="172"/>
      <c r="N18" s="173">
        <f t="shared" si="3"/>
        <v>0</v>
      </c>
    </row>
    <row r="19" spans="1:14" ht="14.25">
      <c r="A19" s="168">
        <v>2.5</v>
      </c>
      <c r="B19" s="176" t="s">
        <v>255</v>
      </c>
      <c r="C19" s="172"/>
      <c r="D19" s="175">
        <v>0.04</v>
      </c>
      <c r="E19" s="171">
        <f>C19*D19</f>
        <v>0</v>
      </c>
      <c r="F19" s="172"/>
      <c r="G19" s="172"/>
      <c r="H19" s="172"/>
      <c r="I19" s="172"/>
      <c r="J19" s="172"/>
      <c r="K19" s="172"/>
      <c r="L19" s="172"/>
      <c r="M19" s="172"/>
      <c r="N19" s="173">
        <f t="shared" si="3"/>
        <v>0</v>
      </c>
    </row>
    <row r="20" spans="1:14" ht="14.25">
      <c r="A20" s="168">
        <v>2.6</v>
      </c>
      <c r="B20" s="176" t="s">
        <v>254</v>
      </c>
      <c r="C20" s="172"/>
      <c r="D20" s="177"/>
      <c r="E20" s="179"/>
      <c r="F20" s="172"/>
      <c r="G20" s="172"/>
      <c r="H20" s="172"/>
      <c r="I20" s="172"/>
      <c r="J20" s="172"/>
      <c r="K20" s="172"/>
      <c r="L20" s="172"/>
      <c r="M20" s="172"/>
      <c r="N20" s="173">
        <f t="shared" si="3"/>
        <v>0</v>
      </c>
    </row>
    <row r="21" spans="1:14" ht="15.75" thickBot="1">
      <c r="A21" s="180"/>
      <c r="B21" s="181" t="s">
        <v>109</v>
      </c>
      <c r="C21" s="156">
        <f>C14+C7</f>
        <v>23763400</v>
      </c>
      <c r="D21" s="182"/>
      <c r="E21" s="183">
        <f>E14+E7</f>
        <v>475268</v>
      </c>
      <c r="F21" s="184">
        <f>F7+F14</f>
        <v>0</v>
      </c>
      <c r="G21" s="184">
        <f t="shared" ref="G21:L21" si="4">G7+G14</f>
        <v>0</v>
      </c>
      <c r="H21" s="184">
        <f t="shared" si="4"/>
        <v>0</v>
      </c>
      <c r="I21" s="184">
        <f t="shared" si="4"/>
        <v>0</v>
      </c>
      <c r="J21" s="184">
        <f t="shared" si="4"/>
        <v>0</v>
      </c>
      <c r="K21" s="184">
        <f t="shared" si="4"/>
        <v>475268</v>
      </c>
      <c r="L21" s="184">
        <f t="shared" si="4"/>
        <v>0</v>
      </c>
      <c r="M21" s="184">
        <f>M7+M14</f>
        <v>0</v>
      </c>
      <c r="N21" s="185">
        <f>N14+N7</f>
        <v>475268</v>
      </c>
    </row>
    <row r="22" spans="1:14">
      <c r="E22" s="186"/>
      <c r="F22" s="186"/>
      <c r="G22" s="186"/>
      <c r="H22" s="186"/>
      <c r="I22" s="186"/>
      <c r="J22" s="186"/>
      <c r="K22" s="186"/>
      <c r="L22" s="186"/>
      <c r="M22" s="18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heetViews>
  <sheetFormatPr defaultRowHeight="15"/>
  <cols>
    <col min="1" max="1" width="11.42578125" customWidth="1"/>
    <col min="2" max="2" width="76.7109375" style="319" customWidth="1"/>
    <col min="3" max="3" width="22.7109375" customWidth="1"/>
  </cols>
  <sheetData>
    <row r="1" spans="1:3">
      <c r="A1" s="2" t="s">
        <v>30</v>
      </c>
      <c r="B1" s="3" t="str">
        <f>'Info '!C2</f>
        <v>JSC CARTU BANK</v>
      </c>
    </row>
    <row r="2" spans="1:3">
      <c r="A2" s="2" t="s">
        <v>31</v>
      </c>
      <c r="B2" s="370">
        <f>'1. key ratios '!B2</f>
        <v>44651</v>
      </c>
    </row>
    <row r="3" spans="1:3">
      <c r="A3" s="4"/>
      <c r="B3"/>
    </row>
    <row r="4" spans="1:3">
      <c r="A4" s="4" t="s">
        <v>432</v>
      </c>
      <c r="B4" t="s">
        <v>433</v>
      </c>
    </row>
    <row r="5" spans="1:3">
      <c r="A5" s="320" t="s">
        <v>434</v>
      </c>
      <c r="B5" s="321"/>
      <c r="C5" s="322"/>
    </row>
    <row r="6" spans="1:3" ht="24">
      <c r="A6" s="323">
        <v>1</v>
      </c>
      <c r="B6" s="324" t="s">
        <v>485</v>
      </c>
      <c r="C6" s="555">
        <v>1382170191.0476568</v>
      </c>
    </row>
    <row r="7" spans="1:3">
      <c r="A7" s="323">
        <v>2</v>
      </c>
      <c r="B7" s="324" t="s">
        <v>435</v>
      </c>
      <c r="C7" s="555">
        <v>-3965614</v>
      </c>
    </row>
    <row r="8" spans="1:3" ht="24">
      <c r="A8" s="326">
        <v>3</v>
      </c>
      <c r="B8" s="327" t="s">
        <v>436</v>
      </c>
      <c r="C8" s="325">
        <f>C6+C7</f>
        <v>1378204577.0476568</v>
      </c>
    </row>
    <row r="9" spans="1:3">
      <c r="A9" s="320" t="s">
        <v>437</v>
      </c>
      <c r="B9" s="321"/>
      <c r="C9" s="328"/>
    </row>
    <row r="10" spans="1:3" ht="24">
      <c r="A10" s="329">
        <v>4</v>
      </c>
      <c r="B10" s="330" t="s">
        <v>438</v>
      </c>
      <c r="C10" s="555"/>
    </row>
    <row r="11" spans="1:3">
      <c r="A11" s="329">
        <v>5</v>
      </c>
      <c r="B11" s="331" t="s">
        <v>439</v>
      </c>
      <c r="C11" s="555"/>
    </row>
    <row r="12" spans="1:3">
      <c r="A12" s="329" t="s">
        <v>440</v>
      </c>
      <c r="B12" s="331" t="s">
        <v>441</v>
      </c>
      <c r="C12" s="556">
        <f>'15. CCR '!E21</f>
        <v>475268</v>
      </c>
    </row>
    <row r="13" spans="1:3" ht="24">
      <c r="A13" s="332">
        <v>6</v>
      </c>
      <c r="B13" s="330" t="s">
        <v>442</v>
      </c>
      <c r="C13" s="555"/>
    </row>
    <row r="14" spans="1:3">
      <c r="A14" s="332">
        <v>7</v>
      </c>
      <c r="B14" s="333" t="s">
        <v>443</v>
      </c>
      <c r="C14" s="555"/>
    </row>
    <row r="15" spans="1:3">
      <c r="A15" s="334">
        <v>8</v>
      </c>
      <c r="B15" s="335" t="s">
        <v>444</v>
      </c>
      <c r="C15" s="555"/>
    </row>
    <row r="16" spans="1:3">
      <c r="A16" s="332">
        <v>9</v>
      </c>
      <c r="B16" s="333" t="s">
        <v>445</v>
      </c>
      <c r="C16" s="555"/>
    </row>
    <row r="17" spans="1:3">
      <c r="A17" s="332">
        <v>10</v>
      </c>
      <c r="B17" s="333" t="s">
        <v>446</v>
      </c>
      <c r="C17" s="555"/>
    </row>
    <row r="18" spans="1:3">
      <c r="A18" s="336">
        <v>11</v>
      </c>
      <c r="B18" s="337" t="s">
        <v>447</v>
      </c>
      <c r="C18" s="556">
        <f>SUM(C10:C17)</f>
        <v>475268</v>
      </c>
    </row>
    <row r="19" spans="1:3">
      <c r="A19" s="338" t="s">
        <v>448</v>
      </c>
      <c r="B19" s="339"/>
      <c r="C19" s="557"/>
    </row>
    <row r="20" spans="1:3" ht="24">
      <c r="A20" s="340">
        <v>12</v>
      </c>
      <c r="B20" s="330" t="s">
        <v>449</v>
      </c>
      <c r="C20" s="555"/>
    </row>
    <row r="21" spans="1:3">
      <c r="A21" s="340">
        <v>13</v>
      </c>
      <c r="B21" s="330" t="s">
        <v>450</v>
      </c>
      <c r="C21" s="555"/>
    </row>
    <row r="22" spans="1:3">
      <c r="A22" s="340">
        <v>14</v>
      </c>
      <c r="B22" s="330" t="s">
        <v>451</v>
      </c>
      <c r="C22" s="555"/>
    </row>
    <row r="23" spans="1:3" ht="24">
      <c r="A23" s="340" t="s">
        <v>452</v>
      </c>
      <c r="B23" s="330" t="s">
        <v>453</v>
      </c>
      <c r="C23" s="555"/>
    </row>
    <row r="24" spans="1:3">
      <c r="A24" s="340">
        <v>15</v>
      </c>
      <c r="B24" s="330" t="s">
        <v>454</v>
      </c>
      <c r="C24" s="555"/>
    </row>
    <row r="25" spans="1:3">
      <c r="A25" s="340" t="s">
        <v>455</v>
      </c>
      <c r="B25" s="330" t="s">
        <v>456</v>
      </c>
      <c r="C25" s="555"/>
    </row>
    <row r="26" spans="1:3">
      <c r="A26" s="341">
        <v>16</v>
      </c>
      <c r="B26" s="342" t="s">
        <v>457</v>
      </c>
      <c r="C26" s="556">
        <v>0</v>
      </c>
    </row>
    <row r="27" spans="1:3">
      <c r="A27" s="320" t="s">
        <v>458</v>
      </c>
      <c r="B27" s="321"/>
      <c r="C27" s="558"/>
    </row>
    <row r="28" spans="1:3">
      <c r="A28" s="343">
        <v>17</v>
      </c>
      <c r="B28" s="331" t="s">
        <v>459</v>
      </c>
      <c r="C28" s="555">
        <v>50001320.288685933</v>
      </c>
    </row>
    <row r="29" spans="1:3">
      <c r="A29" s="343">
        <v>18</v>
      </c>
      <c r="B29" s="331" t="s">
        <v>460</v>
      </c>
      <c r="C29" s="555">
        <v>-22938267.751727469</v>
      </c>
    </row>
    <row r="30" spans="1:3">
      <c r="A30" s="341">
        <v>19</v>
      </c>
      <c r="B30" s="342" t="s">
        <v>461</v>
      </c>
      <c r="C30" s="556">
        <f>C28+C29</f>
        <v>27063052.536958463</v>
      </c>
    </row>
    <row r="31" spans="1:3">
      <c r="A31" s="320" t="s">
        <v>462</v>
      </c>
      <c r="B31" s="321"/>
      <c r="C31" s="558"/>
    </row>
    <row r="32" spans="1:3" ht="24">
      <c r="A32" s="343" t="s">
        <v>463</v>
      </c>
      <c r="B32" s="330" t="s">
        <v>464</v>
      </c>
      <c r="C32" s="559"/>
    </row>
    <row r="33" spans="1:3">
      <c r="A33" s="343" t="s">
        <v>465</v>
      </c>
      <c r="B33" s="331" t="s">
        <v>466</v>
      </c>
      <c r="C33" s="559"/>
    </row>
    <row r="34" spans="1:3">
      <c r="A34" s="320" t="s">
        <v>467</v>
      </c>
      <c r="B34" s="321"/>
      <c r="C34" s="558"/>
    </row>
    <row r="35" spans="1:3">
      <c r="A35" s="345">
        <v>20</v>
      </c>
      <c r="B35" s="346" t="s">
        <v>468</v>
      </c>
      <c r="C35" s="556">
        <f>'1. key ratios '!C9</f>
        <v>275598493</v>
      </c>
    </row>
    <row r="36" spans="1:3">
      <c r="A36" s="341">
        <v>21</v>
      </c>
      <c r="B36" s="342" t="s">
        <v>469</v>
      </c>
      <c r="C36" s="556">
        <f>C8+C18+C26+C30</f>
        <v>1405742897.5846152</v>
      </c>
    </row>
    <row r="37" spans="1:3">
      <c r="A37" s="320" t="s">
        <v>470</v>
      </c>
      <c r="B37" s="321"/>
      <c r="C37" s="558"/>
    </row>
    <row r="38" spans="1:3">
      <c r="A38" s="341">
        <v>22</v>
      </c>
      <c r="B38" s="342" t="s">
        <v>470</v>
      </c>
      <c r="C38" s="560">
        <f>IFERROR(C35/C36,0)</f>
        <v>0.19605184808227782</v>
      </c>
    </row>
    <row r="39" spans="1:3">
      <c r="A39" s="320" t="s">
        <v>471</v>
      </c>
      <c r="B39" s="321"/>
      <c r="C39" s="328"/>
    </row>
    <row r="40" spans="1:3">
      <c r="A40" s="347" t="s">
        <v>472</v>
      </c>
      <c r="B40" s="330" t="s">
        <v>473</v>
      </c>
      <c r="C40" s="344"/>
    </row>
    <row r="41" spans="1:3" ht="24">
      <c r="A41" s="348" t="s">
        <v>474</v>
      </c>
      <c r="B41" s="324" t="s">
        <v>475</v>
      </c>
      <c r="C41" s="344"/>
    </row>
    <row r="43" spans="1:3">
      <c r="B43" s="31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selection pane="bottomLeft"/>
      <selection pane="bottomRight"/>
    </sheetView>
  </sheetViews>
  <sheetFormatPr defaultRowHeight="15"/>
  <cols>
    <col min="1" max="1" width="8.7109375" style="225"/>
    <col min="2" max="2" width="82.7109375" style="232" customWidth="1"/>
    <col min="3" max="7" width="17.5703125" style="225" customWidth="1"/>
  </cols>
  <sheetData>
    <row r="1" spans="1:7">
      <c r="A1" s="225" t="s">
        <v>30</v>
      </c>
      <c r="B1" s="3" t="str">
        <f>'Info '!C2</f>
        <v>JSC CARTU BANK</v>
      </c>
    </row>
    <row r="2" spans="1:7">
      <c r="A2" s="225" t="s">
        <v>31</v>
      </c>
      <c r="B2" s="370">
        <f>'1. key ratios '!B2</f>
        <v>44651</v>
      </c>
    </row>
    <row r="4" spans="1:7" ht="15.75" thickBot="1">
      <c r="A4" s="225" t="s">
        <v>536</v>
      </c>
      <c r="B4" s="377" t="s">
        <v>497</v>
      </c>
    </row>
    <row r="5" spans="1:7">
      <c r="A5" s="378"/>
      <c r="B5" s="379"/>
      <c r="C5" s="685" t="s">
        <v>498</v>
      </c>
      <c r="D5" s="685"/>
      <c r="E5" s="685"/>
      <c r="F5" s="685"/>
      <c r="G5" s="686" t="s">
        <v>499</v>
      </c>
    </row>
    <row r="6" spans="1:7">
      <c r="A6" s="380"/>
      <c r="B6" s="381"/>
      <c r="C6" s="382" t="s">
        <v>500</v>
      </c>
      <c r="D6" s="382" t="s">
        <v>501</v>
      </c>
      <c r="E6" s="382" t="s">
        <v>502</v>
      </c>
      <c r="F6" s="382" t="s">
        <v>503</v>
      </c>
      <c r="G6" s="687"/>
    </row>
    <row r="7" spans="1:7">
      <c r="A7" s="383"/>
      <c r="B7" s="384" t="s">
        <v>504</v>
      </c>
      <c r="C7" s="385"/>
      <c r="D7" s="385"/>
      <c r="E7" s="385"/>
      <c r="F7" s="385"/>
      <c r="G7" s="386"/>
    </row>
    <row r="8" spans="1:7">
      <c r="A8" s="387">
        <v>1</v>
      </c>
      <c r="B8" s="388" t="s">
        <v>505</v>
      </c>
      <c r="C8" s="561">
        <v>77433393</v>
      </c>
      <c r="D8" s="561">
        <v>0</v>
      </c>
      <c r="E8" s="561">
        <v>0</v>
      </c>
      <c r="F8" s="561">
        <v>353153351.91840005</v>
      </c>
      <c r="G8" s="389">
        <v>430586744.91840005</v>
      </c>
    </row>
    <row r="9" spans="1:7">
      <c r="A9" s="387">
        <v>2</v>
      </c>
      <c r="B9" s="390" t="s">
        <v>506</v>
      </c>
      <c r="C9" s="561">
        <v>77433393</v>
      </c>
      <c r="D9" s="561"/>
      <c r="E9" s="561"/>
      <c r="F9" s="561">
        <v>235380700</v>
      </c>
      <c r="G9" s="389">
        <v>312814093</v>
      </c>
    </row>
    <row r="10" spans="1:7">
      <c r="A10" s="387">
        <v>3</v>
      </c>
      <c r="B10" s="390" t="s">
        <v>507</v>
      </c>
      <c r="C10" s="562"/>
      <c r="D10" s="562"/>
      <c r="E10" s="562"/>
      <c r="F10" s="561">
        <v>117772651.91840002</v>
      </c>
      <c r="G10" s="389">
        <v>117772651.91840002</v>
      </c>
    </row>
    <row r="11" spans="1:7" ht="14.65" customHeight="1">
      <c r="A11" s="387">
        <v>4</v>
      </c>
      <c r="B11" s="388" t="s">
        <v>508</v>
      </c>
      <c r="C11" s="561">
        <v>122281143.61269936</v>
      </c>
      <c r="D11" s="561">
        <v>67193907.834600002</v>
      </c>
      <c r="E11" s="561">
        <v>110481333.22189999</v>
      </c>
      <c r="F11" s="561">
        <v>0</v>
      </c>
      <c r="G11" s="389">
        <v>275049300.77458435</v>
      </c>
    </row>
    <row r="12" spans="1:7">
      <c r="A12" s="387">
        <v>5</v>
      </c>
      <c r="B12" s="390" t="s">
        <v>509</v>
      </c>
      <c r="C12" s="561">
        <v>108325522.74699935</v>
      </c>
      <c r="D12" s="563">
        <v>63174586.414400004</v>
      </c>
      <c r="E12" s="561">
        <v>106435687.37189999</v>
      </c>
      <c r="F12" s="561"/>
      <c r="G12" s="389">
        <v>264039006.70663434</v>
      </c>
    </row>
    <row r="13" spans="1:7">
      <c r="A13" s="387">
        <v>6</v>
      </c>
      <c r="B13" s="390" t="s">
        <v>510</v>
      </c>
      <c r="C13" s="561">
        <v>13955620.865699999</v>
      </c>
      <c r="D13" s="563">
        <v>4019321.4202000001</v>
      </c>
      <c r="E13" s="561">
        <v>4045645.85</v>
      </c>
      <c r="F13" s="561"/>
      <c r="G13" s="389">
        <v>11010294.067950001</v>
      </c>
    </row>
    <row r="14" spans="1:7">
      <c r="A14" s="387">
        <v>7</v>
      </c>
      <c r="B14" s="388" t="s">
        <v>511</v>
      </c>
      <c r="C14" s="561">
        <v>195754339.25769994</v>
      </c>
      <c r="D14" s="561">
        <v>352534384.84100002</v>
      </c>
      <c r="E14" s="561">
        <v>65019193.743700005</v>
      </c>
      <c r="F14" s="561">
        <v>0</v>
      </c>
      <c r="G14" s="389">
        <v>289410368.33249998</v>
      </c>
    </row>
    <row r="15" spans="1:7" ht="39">
      <c r="A15" s="387">
        <v>8</v>
      </c>
      <c r="B15" s="390" t="s">
        <v>512</v>
      </c>
      <c r="C15" s="561">
        <v>192325572.73029995</v>
      </c>
      <c r="D15" s="561">
        <v>321475970.19100004</v>
      </c>
      <c r="E15" s="561">
        <v>34149724.313700005</v>
      </c>
      <c r="F15" s="561"/>
      <c r="G15" s="389">
        <v>273975633.61750001</v>
      </c>
    </row>
    <row r="16" spans="1:7" ht="26.25">
      <c r="A16" s="387">
        <v>9</v>
      </c>
      <c r="B16" s="390" t="s">
        <v>513</v>
      </c>
      <c r="C16" s="561">
        <v>3428766.5274</v>
      </c>
      <c r="D16" s="563">
        <v>31058414.649999999</v>
      </c>
      <c r="E16" s="561">
        <v>30869469.43</v>
      </c>
      <c r="F16" s="561"/>
      <c r="G16" s="389">
        <v>15434734.715</v>
      </c>
    </row>
    <row r="17" spans="1:7">
      <c r="A17" s="387">
        <v>10</v>
      </c>
      <c r="B17" s="388" t="s">
        <v>514</v>
      </c>
      <c r="C17" s="561"/>
      <c r="D17" s="563"/>
      <c r="E17" s="561"/>
      <c r="F17" s="561"/>
      <c r="G17" s="389"/>
    </row>
    <row r="18" spans="1:7">
      <c r="A18" s="387">
        <v>11</v>
      </c>
      <c r="B18" s="388" t="s">
        <v>515</v>
      </c>
      <c r="C18" s="561">
        <v>0</v>
      </c>
      <c r="D18" s="563">
        <v>34611402.454000711</v>
      </c>
      <c r="E18" s="561">
        <v>7265121.0344000086</v>
      </c>
      <c r="F18" s="561">
        <v>4801945.0815999806</v>
      </c>
      <c r="G18" s="389">
        <v>0</v>
      </c>
    </row>
    <row r="19" spans="1:7">
      <c r="A19" s="387">
        <v>12</v>
      </c>
      <c r="B19" s="390" t="s">
        <v>516</v>
      </c>
      <c r="C19" s="562"/>
      <c r="D19" s="563">
        <v>23763400</v>
      </c>
      <c r="E19" s="561">
        <v>0</v>
      </c>
      <c r="F19" s="561"/>
      <c r="G19" s="389">
        <v>0</v>
      </c>
    </row>
    <row r="20" spans="1:7">
      <c r="A20" s="387">
        <v>13</v>
      </c>
      <c r="B20" s="390" t="s">
        <v>517</v>
      </c>
      <c r="C20" s="561">
        <v>0</v>
      </c>
      <c r="D20" s="561">
        <v>10848002.454000711</v>
      </c>
      <c r="E20" s="561">
        <v>7265121.0344000086</v>
      </c>
      <c r="F20" s="561">
        <v>4801945.0815999806</v>
      </c>
      <c r="G20" s="389">
        <v>0</v>
      </c>
    </row>
    <row r="21" spans="1:7">
      <c r="A21" s="391">
        <v>14</v>
      </c>
      <c r="B21" s="392" t="s">
        <v>518</v>
      </c>
      <c r="C21" s="562"/>
      <c r="D21" s="562"/>
      <c r="E21" s="562"/>
      <c r="F21" s="562"/>
      <c r="G21" s="393">
        <v>995046414.02548432</v>
      </c>
    </row>
    <row r="22" spans="1:7">
      <c r="A22" s="394"/>
      <c r="B22" s="395" t="s">
        <v>519</v>
      </c>
      <c r="C22" s="396"/>
      <c r="D22" s="397"/>
      <c r="E22" s="396"/>
      <c r="F22" s="396"/>
      <c r="G22" s="398"/>
    </row>
    <row r="23" spans="1:7">
      <c r="A23" s="387">
        <v>15</v>
      </c>
      <c r="B23" s="388" t="s">
        <v>520</v>
      </c>
      <c r="C23" s="564">
        <v>444937207.11000001</v>
      </c>
      <c r="D23" s="541">
        <v>620260</v>
      </c>
      <c r="E23" s="564">
        <v>3000</v>
      </c>
      <c r="F23" s="564"/>
      <c r="G23" s="389">
        <v>10970072.4055</v>
      </c>
    </row>
    <row r="24" spans="1:7">
      <c r="A24" s="387">
        <v>16</v>
      </c>
      <c r="B24" s="388" t="s">
        <v>521</v>
      </c>
      <c r="C24" s="561">
        <v>1152827.22</v>
      </c>
      <c r="D24" s="563">
        <v>211563088.51831198</v>
      </c>
      <c r="E24" s="561">
        <v>56581661.634582251</v>
      </c>
      <c r="F24" s="561">
        <v>308976400.81601971</v>
      </c>
      <c r="G24" s="389">
        <v>396875239.85306382</v>
      </c>
    </row>
    <row r="25" spans="1:7">
      <c r="A25" s="387">
        <v>17</v>
      </c>
      <c r="B25" s="390" t="s">
        <v>522</v>
      </c>
      <c r="C25" s="561"/>
      <c r="D25" s="563">
        <v>0</v>
      </c>
      <c r="E25" s="561"/>
      <c r="F25" s="561"/>
      <c r="G25" s="389"/>
    </row>
    <row r="26" spans="1:7" ht="26.25">
      <c r="A26" s="387">
        <v>18</v>
      </c>
      <c r="B26" s="390" t="s">
        <v>523</v>
      </c>
      <c r="C26" s="561">
        <v>1152827.22</v>
      </c>
      <c r="D26" s="563">
        <v>0</v>
      </c>
      <c r="E26" s="561">
        <v>146522</v>
      </c>
      <c r="F26" s="561">
        <v>0</v>
      </c>
      <c r="G26" s="389">
        <v>246185.08299999998</v>
      </c>
    </row>
    <row r="27" spans="1:7">
      <c r="A27" s="387">
        <v>19</v>
      </c>
      <c r="B27" s="390" t="s">
        <v>524</v>
      </c>
      <c r="C27" s="561"/>
      <c r="D27" s="563">
        <v>202272881.99387971</v>
      </c>
      <c r="E27" s="561">
        <v>46805962.012259759</v>
      </c>
      <c r="F27" s="561">
        <v>284931614.2361719</v>
      </c>
      <c r="G27" s="389">
        <v>366731294.10381579</v>
      </c>
    </row>
    <row r="28" spans="1:7">
      <c r="A28" s="387">
        <v>20</v>
      </c>
      <c r="B28" s="399" t="s">
        <v>525</v>
      </c>
      <c r="C28" s="561"/>
      <c r="D28" s="563"/>
      <c r="E28" s="561"/>
      <c r="F28" s="561"/>
      <c r="G28" s="389"/>
    </row>
    <row r="29" spans="1:7">
      <c r="A29" s="387">
        <v>21</v>
      </c>
      <c r="B29" s="390" t="s">
        <v>526</v>
      </c>
      <c r="C29" s="561"/>
      <c r="D29" s="563">
        <v>8450927.2944322824</v>
      </c>
      <c r="E29" s="561">
        <v>9188177.6223224923</v>
      </c>
      <c r="F29" s="561">
        <v>22642136.579847805</v>
      </c>
      <c r="G29" s="389">
        <v>28065368.551248021</v>
      </c>
    </row>
    <row r="30" spans="1:7">
      <c r="A30" s="387">
        <v>22</v>
      </c>
      <c r="B30" s="399" t="s">
        <v>525</v>
      </c>
      <c r="C30" s="561"/>
      <c r="D30" s="563"/>
      <c r="E30" s="561"/>
      <c r="F30" s="561"/>
      <c r="G30" s="389"/>
    </row>
    <row r="31" spans="1:7">
      <c r="A31" s="387">
        <v>23</v>
      </c>
      <c r="B31" s="390" t="s">
        <v>527</v>
      </c>
      <c r="C31" s="561"/>
      <c r="D31" s="563">
        <v>839279.23</v>
      </c>
      <c r="E31" s="561">
        <v>441000.00000000006</v>
      </c>
      <c r="F31" s="561">
        <v>1402650</v>
      </c>
      <c r="G31" s="389">
        <v>1832392.115</v>
      </c>
    </row>
    <row r="32" spans="1:7">
      <c r="A32" s="387">
        <v>24</v>
      </c>
      <c r="B32" s="388" t="s">
        <v>528</v>
      </c>
      <c r="C32" s="561"/>
      <c r="D32" s="563"/>
      <c r="E32" s="561"/>
      <c r="F32" s="561"/>
      <c r="G32" s="389"/>
    </row>
    <row r="33" spans="1:7">
      <c r="A33" s="387">
        <v>25</v>
      </c>
      <c r="B33" s="388" t="s">
        <v>529</v>
      </c>
      <c r="C33" s="561">
        <v>0</v>
      </c>
      <c r="D33" s="561">
        <v>60712849.436687961</v>
      </c>
      <c r="E33" s="561">
        <v>38652211.605417758</v>
      </c>
      <c r="F33" s="561">
        <v>267145030.64398021</v>
      </c>
      <c r="G33" s="389">
        <v>332913829.78503913</v>
      </c>
    </row>
    <row r="34" spans="1:7">
      <c r="A34" s="387">
        <v>26</v>
      </c>
      <c r="B34" s="390" t="s">
        <v>530</v>
      </c>
      <c r="C34" s="562"/>
      <c r="D34" s="563">
        <v>23316968.984999999</v>
      </c>
      <c r="E34" s="561"/>
      <c r="F34" s="561"/>
      <c r="G34" s="389">
        <v>23316968.984999999</v>
      </c>
    </row>
    <row r="35" spans="1:7">
      <c r="A35" s="387">
        <v>27</v>
      </c>
      <c r="B35" s="390" t="s">
        <v>531</v>
      </c>
      <c r="C35" s="561"/>
      <c r="D35" s="563">
        <v>37395880.451687962</v>
      </c>
      <c r="E35" s="561">
        <v>38652211.605417758</v>
      </c>
      <c r="F35" s="561">
        <v>267145030.64398021</v>
      </c>
      <c r="G35" s="389">
        <v>309596860.80003911</v>
      </c>
    </row>
    <row r="36" spans="1:7">
      <c r="A36" s="387">
        <v>28</v>
      </c>
      <c r="B36" s="388" t="s">
        <v>532</v>
      </c>
      <c r="C36" s="561"/>
      <c r="D36" s="563">
        <v>35374989.899151079</v>
      </c>
      <c r="E36" s="561">
        <v>10527464.838909999</v>
      </c>
      <c r="F36" s="561">
        <v>3667972.4552310002</v>
      </c>
      <c r="G36" s="389">
        <v>4071574.8960544085</v>
      </c>
    </row>
    <row r="37" spans="1:7">
      <c r="A37" s="391">
        <v>29</v>
      </c>
      <c r="B37" s="392" t="s">
        <v>533</v>
      </c>
      <c r="C37" s="562"/>
      <c r="D37" s="562"/>
      <c r="E37" s="562"/>
      <c r="F37" s="562"/>
      <c r="G37" s="393">
        <v>744830716.93965733</v>
      </c>
    </row>
    <row r="38" spans="1:7">
      <c r="A38" s="383"/>
      <c r="B38" s="400"/>
      <c r="C38" s="565"/>
      <c r="D38" s="565"/>
      <c r="E38" s="565"/>
      <c r="F38" s="565"/>
      <c r="G38" s="401"/>
    </row>
    <row r="39" spans="1:7" ht="15.75" thickBot="1">
      <c r="A39" s="402">
        <v>30</v>
      </c>
      <c r="B39" s="403" t="s">
        <v>534</v>
      </c>
      <c r="C39" s="285"/>
      <c r="D39" s="286"/>
      <c r="E39" s="286"/>
      <c r="F39" s="287"/>
      <c r="G39" s="404">
        <f>IFERROR(G21/G37,0)</f>
        <v>1.3359363294171154</v>
      </c>
    </row>
    <row r="42" spans="1:7" ht="39">
      <c r="B42" s="232"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pane="topRight"/>
      <selection pane="bottomLeft"/>
      <selection pane="bottomRight" activeCell="B1" sqref="B1"/>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CARTU BANK</v>
      </c>
    </row>
    <row r="2" spans="1:7">
      <c r="A2" s="2" t="s">
        <v>31</v>
      </c>
      <c r="B2" s="370">
        <v>44651</v>
      </c>
    </row>
    <row r="3" spans="1:7">
      <c r="A3" s="2"/>
    </row>
    <row r="4" spans="1:7" ht="15" thickBot="1">
      <c r="A4" s="6" t="s">
        <v>140</v>
      </c>
      <c r="B4" s="7" t="s">
        <v>139</v>
      </c>
      <c r="C4" s="7"/>
      <c r="D4" s="7"/>
      <c r="E4" s="7"/>
      <c r="F4" s="7"/>
      <c r="G4" s="7"/>
    </row>
    <row r="5" spans="1:7">
      <c r="A5" s="8" t="s">
        <v>6</v>
      </c>
      <c r="B5" s="9"/>
      <c r="C5" s="368" t="str">
        <f>INT((MONTH($B$2))/3)&amp;"Q"&amp;"-"&amp;YEAR($B$2)</f>
        <v>1Q-2022</v>
      </c>
      <c r="D5" s="368" t="str">
        <f>IF(INT(MONTH($B$2))=3, "4"&amp;"Q"&amp;"-"&amp;YEAR($B$2)-1, IF(INT(MONTH($B$2))=6, "1"&amp;"Q"&amp;"-"&amp;YEAR($B$2), IF(INT(MONTH($B$2))=9, "2"&amp;"Q"&amp;"-"&amp;YEAR($B$2),IF(INT(MONTH($B$2))=12, "3"&amp;"Q"&amp;"-"&amp;YEAR($B$2), 0))))</f>
        <v>4Q-2021</v>
      </c>
      <c r="E5" s="368" t="str">
        <f>IF(INT(MONTH($B$2))=3, "3"&amp;"Q"&amp;"-"&amp;YEAR($B$2)-1, IF(INT(MONTH($B$2))=6, "4"&amp;"Q"&amp;"-"&amp;YEAR($B$2)-1, IF(INT(MONTH($B$2))=9, "1"&amp;"Q"&amp;"-"&amp;YEAR($B$2),IF(INT(MONTH($B$2))=12, "2"&amp;"Q"&amp;"-"&amp;YEAR($B$2), 0))))</f>
        <v>3Q-2021</v>
      </c>
      <c r="F5" s="368" t="str">
        <f>IF(INT(MONTH($B$2))=3, "2"&amp;"Q"&amp;"-"&amp;YEAR($B$2)-1, IF(INT(MONTH($B$2))=6, "3"&amp;"Q"&amp;"-"&amp;YEAR($B$2)-1, IF(INT(MONTH($B$2))=9, "4"&amp;"Q"&amp;"-"&amp;YEAR($B$2)-1,IF(INT(MONTH($B$2))=12, "1"&amp;"Q"&amp;"-"&amp;YEAR($B$2), 0))))</f>
        <v>2Q-2021</v>
      </c>
      <c r="G5" s="369" t="str">
        <f>IF(INT(MONTH($B$2))=3, "1"&amp;"Q"&amp;"-"&amp;YEAR($B$2)-1, IF(INT(MONTH($B$2))=6, "2"&amp;"Q"&amp;"-"&amp;YEAR($B$2)-1, IF(INT(MONTH($B$2))=9, "3"&amp;"Q"&amp;"-"&amp;YEAR($B$2)-1,IF(INT(MONTH($B$2))=12, "4"&amp;"Q"&amp;"-"&amp;YEAR($B$2)-1, 0))))</f>
        <v>1Q-2021</v>
      </c>
    </row>
    <row r="6" spans="1:7">
      <c r="B6" s="200" t="s">
        <v>138</v>
      </c>
      <c r="C6" s="372"/>
      <c r="D6" s="372"/>
      <c r="E6" s="372"/>
      <c r="F6" s="372"/>
      <c r="G6" s="373"/>
    </row>
    <row r="7" spans="1:7">
      <c r="A7" s="10"/>
      <c r="B7" s="201" t="s">
        <v>136</v>
      </c>
      <c r="C7" s="372"/>
      <c r="D7" s="372"/>
      <c r="E7" s="372"/>
      <c r="F7" s="372"/>
      <c r="G7" s="373"/>
    </row>
    <row r="8" spans="1:7">
      <c r="A8" s="8">
        <v>1</v>
      </c>
      <c r="B8" s="11" t="s">
        <v>487</v>
      </c>
      <c r="C8" s="460">
        <v>191863393</v>
      </c>
      <c r="D8" s="460">
        <v>189239889</v>
      </c>
      <c r="E8" s="460">
        <v>175613617.65000001</v>
      </c>
      <c r="F8" s="460">
        <v>168291279.65000001</v>
      </c>
      <c r="G8" s="461">
        <v>180388469.65000001</v>
      </c>
    </row>
    <row r="9" spans="1:7">
      <c r="A9" s="8">
        <v>2</v>
      </c>
      <c r="B9" s="11" t="s">
        <v>488</v>
      </c>
      <c r="C9" s="460">
        <v>275598493</v>
      </c>
      <c r="D9" s="460">
        <v>272875089</v>
      </c>
      <c r="E9" s="460">
        <v>259929217.65000001</v>
      </c>
      <c r="F9" s="460">
        <v>253619379.65000001</v>
      </c>
      <c r="G9" s="461">
        <v>238389069.65000001</v>
      </c>
    </row>
    <row r="10" spans="1:7">
      <c r="A10" s="8">
        <v>3</v>
      </c>
      <c r="B10" s="11" t="s">
        <v>245</v>
      </c>
      <c r="C10" s="460">
        <v>324944902</v>
      </c>
      <c r="D10" s="460">
        <v>322397605</v>
      </c>
      <c r="E10" s="460">
        <v>309904913.64999998</v>
      </c>
      <c r="F10" s="460">
        <v>351699748.64999998</v>
      </c>
      <c r="G10" s="461">
        <v>419211592.64999998</v>
      </c>
    </row>
    <row r="11" spans="1:7">
      <c r="A11" s="8">
        <v>4</v>
      </c>
      <c r="B11" s="11" t="s">
        <v>490</v>
      </c>
      <c r="C11" s="460">
        <v>156772134.65544373</v>
      </c>
      <c r="D11" s="460">
        <v>136577495.8508997</v>
      </c>
      <c r="E11" s="460">
        <v>138365879.42782193</v>
      </c>
      <c r="F11" s="460">
        <v>145963792.78535116</v>
      </c>
      <c r="G11" s="461">
        <v>159279293.63442346</v>
      </c>
    </row>
    <row r="12" spans="1:7">
      <c r="A12" s="8">
        <v>5</v>
      </c>
      <c r="B12" s="11" t="s">
        <v>491</v>
      </c>
      <c r="C12" s="460">
        <v>197780823.05211535</v>
      </c>
      <c r="D12" s="460">
        <v>171373251.16610357</v>
      </c>
      <c r="E12" s="460">
        <v>173604853.06885102</v>
      </c>
      <c r="F12" s="460">
        <v>183360504.28682971</v>
      </c>
      <c r="G12" s="461">
        <v>200349795.65585443</v>
      </c>
    </row>
    <row r="13" spans="1:7">
      <c r="A13" s="8">
        <v>6</v>
      </c>
      <c r="B13" s="11" t="s">
        <v>489</v>
      </c>
      <c r="C13" s="460">
        <v>272657637.15705895</v>
      </c>
      <c r="D13" s="460">
        <v>263543735.53833356</v>
      </c>
      <c r="E13" s="460">
        <v>265118839.3574006</v>
      </c>
      <c r="F13" s="460">
        <v>282749317.92180848</v>
      </c>
      <c r="G13" s="461">
        <v>310509572.82126808</v>
      </c>
    </row>
    <row r="14" spans="1:7">
      <c r="A14" s="10"/>
      <c r="B14" s="200" t="s">
        <v>493</v>
      </c>
      <c r="C14" s="462"/>
      <c r="D14" s="462"/>
      <c r="E14" s="462"/>
      <c r="F14" s="462"/>
      <c r="G14" s="463"/>
    </row>
    <row r="15" spans="1:7" ht="15" customHeight="1">
      <c r="A15" s="8">
        <v>7</v>
      </c>
      <c r="B15" s="11" t="s">
        <v>492</v>
      </c>
      <c r="C15" s="460">
        <v>1361151845.6909597</v>
      </c>
      <c r="D15" s="460">
        <v>1299143576.9453716</v>
      </c>
      <c r="E15" s="460">
        <v>1318377848.5747347</v>
      </c>
      <c r="F15" s="460">
        <v>1364203504.3029904</v>
      </c>
      <c r="G15" s="461">
        <v>1458081188.9781187</v>
      </c>
    </row>
    <row r="16" spans="1:7">
      <c r="A16" s="10"/>
      <c r="B16" s="200" t="s">
        <v>494</v>
      </c>
      <c r="C16" s="462"/>
      <c r="D16" s="462"/>
      <c r="E16" s="462"/>
      <c r="F16" s="462"/>
      <c r="G16" s="463"/>
    </row>
    <row r="17" spans="1:7">
      <c r="A17" s="8"/>
      <c r="B17" s="201" t="s">
        <v>478</v>
      </c>
      <c r="C17" s="462"/>
      <c r="D17" s="462"/>
      <c r="E17" s="462"/>
      <c r="F17" s="462"/>
      <c r="G17" s="463"/>
    </row>
    <row r="18" spans="1:7">
      <c r="A18" s="8">
        <v>8</v>
      </c>
      <c r="B18" s="11" t="s">
        <v>487</v>
      </c>
      <c r="C18" s="464">
        <v>0.14095664169092365</v>
      </c>
      <c r="D18" s="464">
        <v>0.14566510765881072</v>
      </c>
      <c r="E18" s="464">
        <v>0.13320431455963214</v>
      </c>
      <c r="F18" s="464">
        <v>0.1233622983075276</v>
      </c>
      <c r="G18" s="465">
        <v>0.1237163410471151</v>
      </c>
    </row>
    <row r="19" spans="1:7" ht="15" customHeight="1">
      <c r="A19" s="8">
        <v>9</v>
      </c>
      <c r="B19" s="11" t="s">
        <v>488</v>
      </c>
      <c r="C19" s="464">
        <v>0.20247446592565749</v>
      </c>
      <c r="D19" s="464">
        <v>0.21004228773666506</v>
      </c>
      <c r="E19" s="464">
        <v>0.19715836240043247</v>
      </c>
      <c r="F19" s="464">
        <v>0.1859102244276826</v>
      </c>
      <c r="G19" s="465">
        <v>0.16349505874708703</v>
      </c>
    </row>
    <row r="20" spans="1:7">
      <c r="A20" s="8">
        <v>10</v>
      </c>
      <c r="B20" s="11" t="s">
        <v>245</v>
      </c>
      <c r="C20" s="464">
        <v>0.23872788552481347</v>
      </c>
      <c r="D20" s="464">
        <v>0.24816164334818297</v>
      </c>
      <c r="E20" s="464">
        <v>0.23506532211917125</v>
      </c>
      <c r="F20" s="464">
        <v>0.25780592671156727</v>
      </c>
      <c r="G20" s="465">
        <v>0.28750908784702184</v>
      </c>
    </row>
    <row r="21" spans="1:7">
      <c r="A21" s="8">
        <v>11</v>
      </c>
      <c r="B21" s="11" t="s">
        <v>490</v>
      </c>
      <c r="C21" s="466">
        <v>0.11517608057597843</v>
      </c>
      <c r="D21" s="466">
        <v>0.1051288697220282</v>
      </c>
      <c r="E21" s="466">
        <v>0.10495161123755668</v>
      </c>
      <c r="F21" s="466">
        <v>0.10699561489539504</v>
      </c>
      <c r="G21" s="467">
        <v>0.10923897437155247</v>
      </c>
    </row>
    <row r="22" spans="1:7">
      <c r="A22" s="8">
        <v>12</v>
      </c>
      <c r="B22" s="11" t="s">
        <v>491</v>
      </c>
      <c r="C22" s="466">
        <v>0.1453040112153807</v>
      </c>
      <c r="D22" s="466">
        <v>0.1319124800424655</v>
      </c>
      <c r="E22" s="466">
        <v>0.13168065077589924</v>
      </c>
      <c r="F22" s="466">
        <v>0.13440846890399516</v>
      </c>
      <c r="G22" s="467">
        <v>0.13740647446132101</v>
      </c>
    </row>
    <row r="23" spans="1:7">
      <c r="A23" s="8">
        <v>13</v>
      </c>
      <c r="B23" s="11" t="s">
        <v>489</v>
      </c>
      <c r="C23" s="466">
        <v>0.20031390180325556</v>
      </c>
      <c r="D23" s="466">
        <v>0.20285959166883943</v>
      </c>
      <c r="E23" s="466">
        <v>0.20109473141103967</v>
      </c>
      <c r="F23" s="466">
        <v>0.20726329834951787</v>
      </c>
      <c r="G23" s="467">
        <v>0.21295767009989722</v>
      </c>
    </row>
    <row r="24" spans="1:7">
      <c r="A24" s="10"/>
      <c r="B24" s="200" t="s">
        <v>135</v>
      </c>
      <c r="C24" s="462"/>
      <c r="D24" s="462"/>
      <c r="E24" s="462"/>
      <c r="F24" s="462"/>
      <c r="G24" s="463"/>
    </row>
    <row r="25" spans="1:7" ht="15" customHeight="1">
      <c r="A25" s="374">
        <v>14</v>
      </c>
      <c r="B25" s="11" t="s">
        <v>134</v>
      </c>
      <c r="C25" s="464">
        <v>5.5217963470513227E-2</v>
      </c>
      <c r="D25" s="464">
        <v>6.2673778124179097E-2</v>
      </c>
      <c r="E25" s="464">
        <v>5.8734843791540745E-2</v>
      </c>
      <c r="F25" s="464">
        <v>5.5542293726259066E-2</v>
      </c>
      <c r="G25" s="468">
        <v>4.9308039280143698E-2</v>
      </c>
    </row>
    <row r="26" spans="1:7" ht="15">
      <c r="A26" s="374">
        <v>15</v>
      </c>
      <c r="B26" s="11" t="s">
        <v>133</v>
      </c>
      <c r="C26" s="464">
        <v>2.3750955387297712E-2</v>
      </c>
      <c r="D26" s="464">
        <v>2.6338428477537989E-2</v>
      </c>
      <c r="E26" s="464">
        <v>2.6580411114409629E-2</v>
      </c>
      <c r="F26" s="464">
        <v>2.6655256322156262E-2</v>
      </c>
      <c r="G26" s="468">
        <v>2.5907335762192122E-2</v>
      </c>
    </row>
    <row r="27" spans="1:7" ht="15">
      <c r="A27" s="374">
        <v>16</v>
      </c>
      <c r="B27" s="11" t="s">
        <v>132</v>
      </c>
      <c r="C27" s="464">
        <v>1.3518240122090078E-2</v>
      </c>
      <c r="D27" s="464">
        <v>2.3620151247014328E-2</v>
      </c>
      <c r="E27" s="464">
        <v>2.4212417832762862E-2</v>
      </c>
      <c r="F27" s="464">
        <v>2.4645138820403801E-2</v>
      </c>
      <c r="G27" s="468">
        <v>2.7599250829665765E-2</v>
      </c>
    </row>
    <row r="28" spans="1:7" ht="15">
      <c r="A28" s="374">
        <v>17</v>
      </c>
      <c r="B28" s="11" t="s">
        <v>131</v>
      </c>
      <c r="C28" s="464">
        <v>3.1467008083215516E-2</v>
      </c>
      <c r="D28" s="464">
        <v>3.6335349646641105E-2</v>
      </c>
      <c r="E28" s="464">
        <v>3.2154432677131126E-2</v>
      </c>
      <c r="F28" s="464">
        <v>2.8887037404102808E-2</v>
      </c>
      <c r="G28" s="468">
        <v>2.3400703517951572E-2</v>
      </c>
    </row>
    <row r="29" spans="1:7" ht="15">
      <c r="A29" s="374">
        <v>18</v>
      </c>
      <c r="B29" s="11" t="s">
        <v>271</v>
      </c>
      <c r="C29" s="464">
        <v>7.971422259524916E-3</v>
      </c>
      <c r="D29" s="464">
        <v>2.524722168252869E-2</v>
      </c>
      <c r="E29" s="464">
        <v>2.2211413514672047E-2</v>
      </c>
      <c r="F29" s="464">
        <v>2.2677858071597234E-2</v>
      </c>
      <c r="G29" s="468">
        <v>2.4210249063772265E-2</v>
      </c>
    </row>
    <row r="30" spans="1:7" ht="15">
      <c r="A30" s="374">
        <v>19</v>
      </c>
      <c r="B30" s="11" t="s">
        <v>272</v>
      </c>
      <c r="C30" s="464">
        <v>5.2637786581932862E-2</v>
      </c>
      <c r="D30" s="464">
        <v>0.1854104744367665</v>
      </c>
      <c r="E30" s="464">
        <v>0.16787117394092582</v>
      </c>
      <c r="F30" s="464">
        <v>0.17453698031898413</v>
      </c>
      <c r="G30" s="468">
        <v>0.18932634371953191</v>
      </c>
    </row>
    <row r="31" spans="1:7">
      <c r="A31" s="10"/>
      <c r="B31" s="200" t="s">
        <v>351</v>
      </c>
      <c r="C31" s="462"/>
      <c r="D31" s="462"/>
      <c r="E31" s="462"/>
      <c r="F31" s="462"/>
      <c r="G31" s="463"/>
    </row>
    <row r="32" spans="1:7" ht="15">
      <c r="A32" s="374">
        <v>20</v>
      </c>
      <c r="B32" s="11" t="s">
        <v>130</v>
      </c>
      <c r="C32" s="464">
        <v>0.33475227028271398</v>
      </c>
      <c r="D32" s="464">
        <v>0.33812745576393999</v>
      </c>
      <c r="E32" s="464">
        <v>0.35630392196599409</v>
      </c>
      <c r="F32" s="464">
        <v>0.35472797783322557</v>
      </c>
      <c r="G32" s="468">
        <v>0.34742919152744028</v>
      </c>
    </row>
    <row r="33" spans="1:7" ht="15" customHeight="1">
      <c r="A33" s="374">
        <v>21</v>
      </c>
      <c r="B33" s="11" t="s">
        <v>129</v>
      </c>
      <c r="C33" s="464">
        <v>0.1678699433937868</v>
      </c>
      <c r="D33" s="464">
        <v>0.16490978842264903</v>
      </c>
      <c r="E33" s="464">
        <v>0.16969773024225895</v>
      </c>
      <c r="F33" s="464">
        <v>0.16766481389724347</v>
      </c>
      <c r="G33" s="468">
        <v>0.16016029623217928</v>
      </c>
    </row>
    <row r="34" spans="1:7" ht="15">
      <c r="A34" s="374">
        <v>22</v>
      </c>
      <c r="B34" s="11" t="s">
        <v>128</v>
      </c>
      <c r="C34" s="464">
        <v>0.64561336562421345</v>
      </c>
      <c r="D34" s="464">
        <v>0.6444377856671768</v>
      </c>
      <c r="E34" s="464">
        <v>0.67609118361544418</v>
      </c>
      <c r="F34" s="464">
        <v>0.67110475618654031</v>
      </c>
      <c r="G34" s="468">
        <v>0.68939866376839776</v>
      </c>
    </row>
    <row r="35" spans="1:7" ht="15" customHeight="1">
      <c r="A35" s="374">
        <v>23</v>
      </c>
      <c r="B35" s="11" t="s">
        <v>127</v>
      </c>
      <c r="C35" s="464">
        <v>0.70853086473567184</v>
      </c>
      <c r="D35" s="464">
        <v>0.65562891198801532</v>
      </c>
      <c r="E35" s="464">
        <v>0.67865249363567326</v>
      </c>
      <c r="F35" s="464">
        <v>0.69225947801502896</v>
      </c>
      <c r="G35" s="468">
        <v>0.70344948211524705</v>
      </c>
    </row>
    <row r="36" spans="1:7" ht="15">
      <c r="A36" s="374">
        <v>24</v>
      </c>
      <c r="B36" s="11" t="s">
        <v>126</v>
      </c>
      <c r="C36" s="464">
        <v>-1.8561518919768538E-5</v>
      </c>
      <c r="D36" s="464">
        <v>-0.11443914848653591</v>
      </c>
      <c r="E36" s="464">
        <v>-9.9150915080462032E-2</v>
      </c>
      <c r="F36" s="464">
        <v>-5.6507426203625366E-2</v>
      </c>
      <c r="G36" s="468">
        <v>2.670841919251421E-2</v>
      </c>
    </row>
    <row r="37" spans="1:7" ht="15" customHeight="1">
      <c r="A37" s="10"/>
      <c r="B37" s="200" t="s">
        <v>352</v>
      </c>
      <c r="C37" s="462"/>
      <c r="D37" s="462"/>
      <c r="E37" s="462"/>
      <c r="F37" s="462"/>
      <c r="G37" s="463"/>
    </row>
    <row r="38" spans="1:7" ht="15" customHeight="1">
      <c r="A38" s="374">
        <v>25</v>
      </c>
      <c r="B38" s="11" t="s">
        <v>125</v>
      </c>
      <c r="C38" s="464">
        <v>0.32548879086164673</v>
      </c>
      <c r="D38" s="464">
        <v>0.25449985241213907</v>
      </c>
      <c r="E38" s="464">
        <v>0.29753365588698838</v>
      </c>
      <c r="F38" s="464">
        <v>0.2919400858310241</v>
      </c>
      <c r="G38" s="468">
        <v>0.28325995888446787</v>
      </c>
    </row>
    <row r="39" spans="1:7" ht="15" customHeight="1">
      <c r="A39" s="374">
        <v>26</v>
      </c>
      <c r="B39" s="11" t="s">
        <v>124</v>
      </c>
      <c r="C39" s="464">
        <v>0.87279238032237949</v>
      </c>
      <c r="D39" s="464">
        <v>0.84522257781254639</v>
      </c>
      <c r="E39" s="464">
        <v>0.85097565903823214</v>
      </c>
      <c r="F39" s="464">
        <v>0.86001489400574915</v>
      </c>
      <c r="G39" s="468">
        <v>0.88554498687629501</v>
      </c>
    </row>
    <row r="40" spans="1:7" ht="15" customHeight="1">
      <c r="A40" s="374">
        <v>27</v>
      </c>
      <c r="B40" s="11" t="s">
        <v>123</v>
      </c>
      <c r="C40" s="464">
        <v>0.38758967558553742</v>
      </c>
      <c r="D40" s="464">
        <v>0.30735457621809875</v>
      </c>
      <c r="E40" s="464">
        <v>0.35146013112548596</v>
      </c>
      <c r="F40" s="464">
        <v>0.30285646200244348</v>
      </c>
      <c r="G40" s="468">
        <v>0.29508951140373502</v>
      </c>
    </row>
    <row r="41" spans="1:7" ht="15" customHeight="1">
      <c r="A41" s="375"/>
      <c r="B41" s="200" t="s">
        <v>395</v>
      </c>
      <c r="C41" s="462"/>
      <c r="D41" s="462"/>
      <c r="E41" s="462"/>
      <c r="F41" s="462"/>
      <c r="G41" s="463"/>
    </row>
    <row r="42" spans="1:7" ht="15">
      <c r="A42" s="374">
        <v>28</v>
      </c>
      <c r="B42" s="11" t="s">
        <v>378</v>
      </c>
      <c r="C42" s="469">
        <v>373335681.19728094</v>
      </c>
      <c r="D42" s="469">
        <v>341714471.76642001</v>
      </c>
      <c r="E42" s="469">
        <v>366706723.50065273</v>
      </c>
      <c r="F42" s="469">
        <v>396583679.82541364</v>
      </c>
      <c r="G42" s="470">
        <v>401929885.62160707</v>
      </c>
    </row>
    <row r="43" spans="1:7" ht="15" customHeight="1">
      <c r="A43" s="374">
        <v>29</v>
      </c>
      <c r="B43" s="11" t="s">
        <v>390</v>
      </c>
      <c r="C43" s="471">
        <v>211298854.08155167</v>
      </c>
      <c r="D43" s="471">
        <v>186391521.88685745</v>
      </c>
      <c r="E43" s="471">
        <v>183443529.42646217</v>
      </c>
      <c r="F43" s="471">
        <v>183554387.7792919</v>
      </c>
      <c r="G43" s="472">
        <v>194922768.10077018</v>
      </c>
    </row>
    <row r="44" spans="1:7" ht="15" customHeight="1" thickBot="1">
      <c r="A44" s="405">
        <v>30</v>
      </c>
      <c r="B44" s="406" t="s">
        <v>379</v>
      </c>
      <c r="C44" s="473">
        <v>1.7668608891423068</v>
      </c>
      <c r="D44" s="473">
        <v>1.8333155301658302</v>
      </c>
      <c r="E44" s="473">
        <v>1.9990169435093434</v>
      </c>
      <c r="F44" s="473">
        <v>2.1605785872156367</v>
      </c>
      <c r="G44" s="474">
        <v>2.0619955766984561</v>
      </c>
    </row>
    <row r="45" spans="1:7" ht="15" customHeight="1">
      <c r="A45" s="405"/>
      <c r="B45" s="200" t="s">
        <v>497</v>
      </c>
      <c r="C45" s="462"/>
      <c r="D45" s="462"/>
      <c r="E45" s="462"/>
      <c r="F45" s="462"/>
      <c r="G45" s="463"/>
    </row>
    <row r="46" spans="1:7" ht="15" customHeight="1">
      <c r="A46" s="405">
        <v>31</v>
      </c>
      <c r="B46" s="406" t="s">
        <v>504</v>
      </c>
      <c r="C46" s="475">
        <v>995046414.02548432</v>
      </c>
      <c r="D46" s="475">
        <v>899894024.43556547</v>
      </c>
      <c r="E46" s="475">
        <v>932795846.52724504</v>
      </c>
      <c r="F46" s="475">
        <v>966294672.35287499</v>
      </c>
      <c r="G46" s="476">
        <v>1060644682.2611049</v>
      </c>
    </row>
    <row r="47" spans="1:7" ht="15" customHeight="1">
      <c r="A47" s="405">
        <v>32</v>
      </c>
      <c r="B47" s="406" t="s">
        <v>519</v>
      </c>
      <c r="C47" s="477">
        <v>744830716.93965733</v>
      </c>
      <c r="D47" s="477">
        <v>727034249.07264376</v>
      </c>
      <c r="E47" s="477">
        <v>738361347.59228504</v>
      </c>
      <c r="F47" s="477">
        <v>759925219.10264087</v>
      </c>
      <c r="G47" s="478">
        <v>808096025.73969662</v>
      </c>
    </row>
    <row r="48" spans="1:7" ht="15.75" thickBot="1">
      <c r="A48" s="376">
        <v>33</v>
      </c>
      <c r="B48" s="202" t="s">
        <v>537</v>
      </c>
      <c r="C48" s="479">
        <v>1.3359363294171154</v>
      </c>
      <c r="D48" s="479">
        <v>1.2377601544678398</v>
      </c>
      <c r="E48" s="479">
        <v>1.2633324449728978</v>
      </c>
      <c r="F48" s="479">
        <v>1.2715654752107397</v>
      </c>
      <c r="G48" s="480">
        <v>1.3125230770566358</v>
      </c>
    </row>
    <row r="49" spans="1:2">
      <c r="A49" s="12"/>
    </row>
    <row r="50" spans="1:2" ht="38.25">
      <c r="B50" s="265" t="s">
        <v>479</v>
      </c>
    </row>
    <row r="51" spans="1:2" ht="51">
      <c r="B51" s="265" t="s">
        <v>394</v>
      </c>
    </row>
    <row r="53" spans="1:2">
      <c r="B53" s="26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15" bestFit="1" customWidth="1"/>
    <col min="2" max="2" width="105.28515625" style="415" bestFit="1" customWidth="1"/>
    <col min="3" max="4" width="15.140625" style="415" bestFit="1" customWidth="1"/>
    <col min="5" max="5" width="17.42578125" style="415" bestFit="1" customWidth="1"/>
    <col min="6" max="6" width="15.140625" style="415" bestFit="1" customWidth="1"/>
    <col min="7" max="7" width="28.7109375" style="415" bestFit="1" customWidth="1"/>
    <col min="8" max="8" width="14.140625" style="415" bestFit="1" customWidth="1"/>
    <col min="9" max="16384" width="9.28515625" style="415"/>
  </cols>
  <sheetData>
    <row r="1" spans="1:8">
      <c r="A1" s="407" t="s">
        <v>30</v>
      </c>
    </row>
    <row r="2" spans="1:8" ht="13.5">
      <c r="A2" s="407" t="s">
        <v>31</v>
      </c>
      <c r="B2" s="371">
        <f>'1. key ratios '!B2</f>
        <v>44651</v>
      </c>
    </row>
    <row r="3" spans="1:8">
      <c r="A3" s="408" t="s">
        <v>544</v>
      </c>
    </row>
    <row r="5" spans="1:8" ht="15" customHeight="1">
      <c r="A5" s="688" t="s">
        <v>545</v>
      </c>
      <c r="B5" s="689"/>
      <c r="C5" s="694" t="s">
        <v>546</v>
      </c>
      <c r="D5" s="695"/>
      <c r="E5" s="695"/>
      <c r="F5" s="695"/>
      <c r="G5" s="695"/>
      <c r="H5" s="696"/>
    </row>
    <row r="6" spans="1:8">
      <c r="A6" s="690"/>
      <c r="B6" s="691"/>
      <c r="C6" s="697"/>
      <c r="D6" s="698"/>
      <c r="E6" s="698"/>
      <c r="F6" s="698"/>
      <c r="G6" s="698"/>
      <c r="H6" s="699"/>
    </row>
    <row r="7" spans="1:8">
      <c r="A7" s="692"/>
      <c r="B7" s="693"/>
      <c r="C7" s="437" t="s">
        <v>547</v>
      </c>
      <c r="D7" s="437" t="s">
        <v>548</v>
      </c>
      <c r="E7" s="437" t="s">
        <v>549</v>
      </c>
      <c r="F7" s="437" t="s">
        <v>550</v>
      </c>
      <c r="G7" s="437" t="s">
        <v>551</v>
      </c>
      <c r="H7" s="437" t="s">
        <v>109</v>
      </c>
    </row>
    <row r="8" spans="1:8">
      <c r="A8" s="410">
        <v>1</v>
      </c>
      <c r="B8" s="409" t="s">
        <v>96</v>
      </c>
      <c r="C8" s="566">
        <v>211334277</v>
      </c>
      <c r="D8" s="566">
        <v>2286747</v>
      </c>
      <c r="E8" s="566">
        <v>7000000</v>
      </c>
      <c r="F8" s="566">
        <v>21053000</v>
      </c>
      <c r="G8" s="566"/>
      <c r="H8" s="567">
        <v>241674024</v>
      </c>
    </row>
    <row r="9" spans="1:8">
      <c r="A9" s="410">
        <v>2</v>
      </c>
      <c r="B9" s="409" t="s">
        <v>97</v>
      </c>
      <c r="C9" s="566"/>
      <c r="D9" s="566"/>
      <c r="E9" s="566"/>
      <c r="F9" s="566"/>
      <c r="G9" s="566"/>
      <c r="H9" s="567">
        <v>0</v>
      </c>
    </row>
    <row r="10" spans="1:8">
      <c r="A10" s="410">
        <v>3</v>
      </c>
      <c r="B10" s="409" t="s">
        <v>269</v>
      </c>
      <c r="C10" s="566"/>
      <c r="D10" s="566"/>
      <c r="E10" s="566"/>
      <c r="F10" s="566"/>
      <c r="G10" s="566"/>
      <c r="H10" s="567">
        <v>0</v>
      </c>
    </row>
    <row r="11" spans="1:8">
      <c r="A11" s="410">
        <v>4</v>
      </c>
      <c r="B11" s="409" t="s">
        <v>98</v>
      </c>
      <c r="C11" s="566"/>
      <c r="D11" s="566"/>
      <c r="E11" s="566"/>
      <c r="F11" s="566"/>
      <c r="G11" s="566"/>
      <c r="H11" s="567">
        <v>0</v>
      </c>
    </row>
    <row r="12" spans="1:8">
      <c r="A12" s="410">
        <v>5</v>
      </c>
      <c r="B12" s="409" t="s">
        <v>99</v>
      </c>
      <c r="C12" s="566"/>
      <c r="D12" s="566"/>
      <c r="E12" s="566"/>
      <c r="F12" s="566"/>
      <c r="G12" s="566"/>
      <c r="H12" s="567">
        <v>0</v>
      </c>
    </row>
    <row r="13" spans="1:8">
      <c r="A13" s="410">
        <v>6</v>
      </c>
      <c r="B13" s="409" t="s">
        <v>100</v>
      </c>
      <c r="C13" s="566">
        <v>103385747.82999998</v>
      </c>
      <c r="D13" s="566">
        <v>86306022</v>
      </c>
      <c r="E13" s="566">
        <v>0</v>
      </c>
      <c r="F13" s="566">
        <v>4948602.33</v>
      </c>
      <c r="G13" s="566"/>
      <c r="H13" s="567">
        <v>194640372.16</v>
      </c>
    </row>
    <row r="14" spans="1:8">
      <c r="A14" s="410">
        <v>7</v>
      </c>
      <c r="B14" s="409" t="s">
        <v>101</v>
      </c>
      <c r="C14" s="566"/>
      <c r="D14" s="566">
        <v>249981986.53110388</v>
      </c>
      <c r="E14" s="566">
        <v>301751545.73742998</v>
      </c>
      <c r="F14" s="566">
        <v>230124538.98393214</v>
      </c>
      <c r="G14" s="566">
        <v>35348951.303422987</v>
      </c>
      <c r="H14" s="567">
        <v>817207022.55588889</v>
      </c>
    </row>
    <row r="15" spans="1:8">
      <c r="A15" s="410">
        <v>8</v>
      </c>
      <c r="B15" s="409" t="s">
        <v>102</v>
      </c>
      <c r="C15" s="566"/>
      <c r="D15" s="566"/>
      <c r="E15" s="566"/>
      <c r="F15" s="566"/>
      <c r="G15" s="566"/>
      <c r="H15" s="567">
        <v>0</v>
      </c>
    </row>
    <row r="16" spans="1:8">
      <c r="A16" s="410">
        <v>9</v>
      </c>
      <c r="B16" s="409" t="s">
        <v>103</v>
      </c>
      <c r="C16" s="566"/>
      <c r="D16" s="566"/>
      <c r="E16" s="566"/>
      <c r="F16" s="566"/>
      <c r="G16" s="566"/>
      <c r="H16" s="567">
        <v>0</v>
      </c>
    </row>
    <row r="17" spans="1:8">
      <c r="A17" s="410">
        <v>10</v>
      </c>
      <c r="B17" s="440" t="s">
        <v>563</v>
      </c>
      <c r="C17" s="566"/>
      <c r="D17" s="566">
        <v>8363360.235107</v>
      </c>
      <c r="E17" s="566">
        <v>26341979.841354012</v>
      </c>
      <c r="F17" s="566">
        <v>28267811.227117997</v>
      </c>
      <c r="G17" s="566">
        <v>34647083.693498991</v>
      </c>
      <c r="H17" s="567">
        <v>97620234.997078001</v>
      </c>
    </row>
    <row r="18" spans="1:8">
      <c r="A18" s="410">
        <v>11</v>
      </c>
      <c r="B18" s="409" t="s">
        <v>105</v>
      </c>
      <c r="C18" s="566"/>
      <c r="D18" s="566"/>
      <c r="E18" s="566"/>
      <c r="F18" s="566"/>
      <c r="G18" s="566"/>
      <c r="H18" s="567">
        <v>0</v>
      </c>
    </row>
    <row r="19" spans="1:8">
      <c r="A19" s="410">
        <v>12</v>
      </c>
      <c r="B19" s="409" t="s">
        <v>106</v>
      </c>
      <c r="C19" s="566"/>
      <c r="D19" s="566"/>
      <c r="E19" s="566"/>
      <c r="F19" s="566"/>
      <c r="G19" s="566"/>
      <c r="H19" s="567">
        <v>0</v>
      </c>
    </row>
    <row r="20" spans="1:8">
      <c r="A20" s="410">
        <v>13</v>
      </c>
      <c r="B20" s="409" t="s">
        <v>247</v>
      </c>
      <c r="C20" s="566"/>
      <c r="D20" s="566"/>
      <c r="E20" s="566"/>
      <c r="F20" s="566"/>
      <c r="G20" s="566"/>
      <c r="H20" s="567">
        <v>0</v>
      </c>
    </row>
    <row r="21" spans="1:8">
      <c r="A21" s="410">
        <v>14</v>
      </c>
      <c r="B21" s="409" t="s">
        <v>108</v>
      </c>
      <c r="C21" s="566">
        <v>14851742</v>
      </c>
      <c r="D21" s="566">
        <v>4680084.2767949998</v>
      </c>
      <c r="E21" s="566">
        <v>3084562.4849709994</v>
      </c>
      <c r="F21" s="566">
        <v>16476293.482459007</v>
      </c>
      <c r="G21" s="566">
        <v>86113376.673545003</v>
      </c>
      <c r="H21" s="567">
        <v>125206058.91777</v>
      </c>
    </row>
    <row r="22" spans="1:8">
      <c r="A22" s="411">
        <v>15</v>
      </c>
      <c r="B22" s="417" t="s">
        <v>109</v>
      </c>
      <c r="C22" s="567">
        <f>+SUM(C8:C16)+SUM(C18:C21)</f>
        <v>329571766.82999998</v>
      </c>
      <c r="D22" s="567">
        <f t="shared" ref="D22:G22" si="0">+SUM(D8:D16)+SUM(D18:D21)</f>
        <v>343254839.80789888</v>
      </c>
      <c r="E22" s="567">
        <f t="shared" si="0"/>
        <v>311836108.22240096</v>
      </c>
      <c r="F22" s="567">
        <f t="shared" si="0"/>
        <v>272602434.79639113</v>
      </c>
      <c r="G22" s="567">
        <f t="shared" si="0"/>
        <v>121462327.97696799</v>
      </c>
      <c r="H22" s="567">
        <f>+SUM(H8:H16)+SUM(H18:H21)</f>
        <v>1378727477.6336589</v>
      </c>
    </row>
    <row r="26" spans="1:8" ht="25.5">
      <c r="B26" s="441"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42" bestFit="1" customWidth="1"/>
    <col min="2" max="2" width="114.7109375" style="415" customWidth="1"/>
    <col min="3" max="3" width="22.42578125" style="415" customWidth="1"/>
    <col min="4" max="4" width="23.5703125" style="415" customWidth="1"/>
    <col min="5" max="8" width="22.28515625" style="415" customWidth="1"/>
    <col min="9" max="9" width="41.42578125" style="415" customWidth="1"/>
    <col min="10" max="16384" width="9.28515625" style="415"/>
  </cols>
  <sheetData>
    <row r="1" spans="1:9" ht="13.5">
      <c r="A1" s="407" t="s">
        <v>30</v>
      </c>
      <c r="B1" s="371" t="str">
        <f>'1. key ratios '!B1</f>
        <v>JSC CARTU BANK</v>
      </c>
    </row>
    <row r="2" spans="1:9" ht="13.5">
      <c r="A2" s="407" t="s">
        <v>31</v>
      </c>
      <c r="B2" s="371">
        <f>'1. key ratios '!B2</f>
        <v>44651</v>
      </c>
    </row>
    <row r="3" spans="1:9">
      <c r="A3" s="408" t="s">
        <v>552</v>
      </c>
    </row>
    <row r="4" spans="1:9">
      <c r="C4" s="443" t="s">
        <v>0</v>
      </c>
      <c r="D4" s="443" t="s">
        <v>1</v>
      </c>
      <c r="E4" s="443" t="s">
        <v>2</v>
      </c>
      <c r="F4" s="443" t="s">
        <v>3</v>
      </c>
      <c r="G4" s="443" t="s">
        <v>4</v>
      </c>
      <c r="H4" s="443" t="s">
        <v>5</v>
      </c>
      <c r="I4" s="443" t="s">
        <v>8</v>
      </c>
    </row>
    <row r="5" spans="1:9" ht="44.25" customHeight="1">
      <c r="A5" s="688" t="s">
        <v>553</v>
      </c>
      <c r="B5" s="689"/>
      <c r="C5" s="702" t="s">
        <v>554</v>
      </c>
      <c r="D5" s="702"/>
      <c r="E5" s="702" t="s">
        <v>555</v>
      </c>
      <c r="F5" s="702" t="s">
        <v>556</v>
      </c>
      <c r="G5" s="700" t="s">
        <v>557</v>
      </c>
      <c r="H5" s="700" t="s">
        <v>558</v>
      </c>
      <c r="I5" s="444" t="s">
        <v>559</v>
      </c>
    </row>
    <row r="6" spans="1:9" ht="60" customHeight="1">
      <c r="A6" s="692"/>
      <c r="B6" s="693"/>
      <c r="C6" s="433" t="s">
        <v>560</v>
      </c>
      <c r="D6" s="433" t="s">
        <v>561</v>
      </c>
      <c r="E6" s="702"/>
      <c r="F6" s="702"/>
      <c r="G6" s="701"/>
      <c r="H6" s="701"/>
      <c r="I6" s="444" t="s">
        <v>562</v>
      </c>
    </row>
    <row r="7" spans="1:9">
      <c r="A7" s="413">
        <v>1</v>
      </c>
      <c r="B7" s="409" t="s">
        <v>96</v>
      </c>
      <c r="C7" s="566"/>
      <c r="D7" s="566">
        <v>241412573</v>
      </c>
      <c r="E7" s="566"/>
      <c r="F7" s="566"/>
      <c r="G7" s="566"/>
      <c r="H7" s="566">
        <v>0</v>
      </c>
      <c r="I7" s="568">
        <f t="shared" ref="I7:I23" si="0">C7+D7-E7-F7-G7</f>
        <v>241412573</v>
      </c>
    </row>
    <row r="8" spans="1:9">
      <c r="A8" s="413">
        <v>2</v>
      </c>
      <c r="B8" s="409" t="s">
        <v>97</v>
      </c>
      <c r="C8" s="566"/>
      <c r="D8" s="566"/>
      <c r="E8" s="566"/>
      <c r="F8" s="566"/>
      <c r="G8" s="566"/>
      <c r="H8" s="566">
        <v>0</v>
      </c>
      <c r="I8" s="568">
        <f t="shared" si="0"/>
        <v>0</v>
      </c>
    </row>
    <row r="9" spans="1:9">
      <c r="A9" s="413">
        <v>3</v>
      </c>
      <c r="B9" s="409" t="s">
        <v>269</v>
      </c>
      <c r="C9" s="566"/>
      <c r="D9" s="566"/>
      <c r="E9" s="566"/>
      <c r="F9" s="566"/>
      <c r="G9" s="566"/>
      <c r="H9" s="566">
        <v>0</v>
      </c>
      <c r="I9" s="568">
        <f t="shared" si="0"/>
        <v>0</v>
      </c>
    </row>
    <row r="10" spans="1:9">
      <c r="A10" s="413">
        <v>4</v>
      </c>
      <c r="B10" s="409" t="s">
        <v>98</v>
      </c>
      <c r="C10" s="566"/>
      <c r="D10" s="566"/>
      <c r="E10" s="566"/>
      <c r="F10" s="566"/>
      <c r="G10" s="566"/>
      <c r="H10" s="566">
        <v>0</v>
      </c>
      <c r="I10" s="568">
        <f t="shared" si="0"/>
        <v>0</v>
      </c>
    </row>
    <row r="11" spans="1:9">
      <c r="A11" s="413">
        <v>5</v>
      </c>
      <c r="B11" s="409" t="s">
        <v>99</v>
      </c>
      <c r="C11" s="566"/>
      <c r="D11" s="566"/>
      <c r="E11" s="566"/>
      <c r="F11" s="566"/>
      <c r="G11" s="566"/>
      <c r="H11" s="566">
        <v>0</v>
      </c>
      <c r="I11" s="568">
        <f t="shared" si="0"/>
        <v>0</v>
      </c>
    </row>
    <row r="12" spans="1:9">
      <c r="A12" s="413">
        <v>6</v>
      </c>
      <c r="B12" s="409" t="s">
        <v>100</v>
      </c>
      <c r="C12" s="566"/>
      <c r="D12" s="566">
        <v>194640372</v>
      </c>
      <c r="E12" s="566"/>
      <c r="F12" s="566"/>
      <c r="G12" s="566"/>
      <c r="H12" s="566">
        <v>0</v>
      </c>
      <c r="I12" s="568">
        <f t="shared" si="0"/>
        <v>194640372</v>
      </c>
    </row>
    <row r="13" spans="1:9">
      <c r="A13" s="413">
        <v>7</v>
      </c>
      <c r="B13" s="409" t="s">
        <v>101</v>
      </c>
      <c r="C13" s="566">
        <v>317281173.16250002</v>
      </c>
      <c r="D13" s="566">
        <v>648182135.54456043</v>
      </c>
      <c r="E13" s="566">
        <v>148256286.0911704</v>
      </c>
      <c r="F13" s="566">
        <v>11331081.508438986</v>
      </c>
      <c r="G13" s="566"/>
      <c r="H13" s="566">
        <v>452902.50000000006</v>
      </c>
      <c r="I13" s="568">
        <f>C13+D13-E13-F13-G13</f>
        <v>805875941.10745108</v>
      </c>
    </row>
    <row r="14" spans="1:9">
      <c r="A14" s="413">
        <v>8</v>
      </c>
      <c r="B14" s="409" t="s">
        <v>102</v>
      </c>
      <c r="C14" s="566"/>
      <c r="D14" s="566"/>
      <c r="E14" s="566"/>
      <c r="F14" s="566"/>
      <c r="G14" s="566"/>
      <c r="H14" s="566">
        <v>0</v>
      </c>
      <c r="I14" s="568">
        <f t="shared" si="0"/>
        <v>0</v>
      </c>
    </row>
    <row r="15" spans="1:9">
      <c r="A15" s="413">
        <v>9</v>
      </c>
      <c r="B15" s="409" t="s">
        <v>103</v>
      </c>
      <c r="C15" s="566"/>
      <c r="D15" s="566"/>
      <c r="E15" s="566"/>
      <c r="F15" s="566"/>
      <c r="G15" s="566"/>
      <c r="H15" s="566">
        <v>0</v>
      </c>
      <c r="I15" s="568">
        <f t="shared" si="0"/>
        <v>0</v>
      </c>
    </row>
    <row r="16" spans="1:9">
      <c r="A16" s="413">
        <v>10</v>
      </c>
      <c r="B16" s="440" t="s">
        <v>563</v>
      </c>
      <c r="C16" s="566">
        <v>189235726.73389998</v>
      </c>
      <c r="D16" s="566">
        <v>83883.186199999938</v>
      </c>
      <c r="E16" s="566">
        <v>91699374.923022017</v>
      </c>
      <c r="F16" s="566">
        <v>1677.6637240000025</v>
      </c>
      <c r="G16" s="566"/>
      <c r="H16" s="566">
        <v>452902.50000000006</v>
      </c>
      <c r="I16" s="568">
        <f t="shared" si="0"/>
        <v>97618557.333353952</v>
      </c>
    </row>
    <row r="17" spans="1:9">
      <c r="A17" s="413">
        <v>11</v>
      </c>
      <c r="B17" s="409" t="s">
        <v>105</v>
      </c>
      <c r="C17" s="566"/>
      <c r="D17" s="566"/>
      <c r="E17" s="566"/>
      <c r="F17" s="566"/>
      <c r="G17" s="566"/>
      <c r="H17" s="566">
        <v>0</v>
      </c>
      <c r="I17" s="568">
        <f t="shared" si="0"/>
        <v>0</v>
      </c>
    </row>
    <row r="18" spans="1:9">
      <c r="A18" s="413">
        <v>12</v>
      </c>
      <c r="B18" s="409" t="s">
        <v>106</v>
      </c>
      <c r="C18" s="566"/>
      <c r="D18" s="566"/>
      <c r="E18" s="566"/>
      <c r="F18" s="566"/>
      <c r="G18" s="566"/>
      <c r="H18" s="566">
        <v>0</v>
      </c>
      <c r="I18" s="568">
        <f t="shared" si="0"/>
        <v>0</v>
      </c>
    </row>
    <row r="19" spans="1:9">
      <c r="A19" s="413">
        <v>13</v>
      </c>
      <c r="B19" s="409" t="s">
        <v>247</v>
      </c>
      <c r="C19" s="566"/>
      <c r="D19" s="566"/>
      <c r="E19" s="566"/>
      <c r="F19" s="566"/>
      <c r="G19" s="566"/>
      <c r="H19" s="566">
        <v>0</v>
      </c>
      <c r="I19" s="568">
        <f t="shared" si="0"/>
        <v>0</v>
      </c>
    </row>
    <row r="20" spans="1:9">
      <c r="A20" s="413">
        <v>14</v>
      </c>
      <c r="B20" s="409" t="s">
        <v>108</v>
      </c>
      <c r="C20" s="566">
        <v>42066064.941399999</v>
      </c>
      <c r="D20" s="566">
        <v>100439102.41910997</v>
      </c>
      <c r="E20" s="566">
        <v>13594938.094349001</v>
      </c>
      <c r="F20" s="566">
        <v>368833.99692600081</v>
      </c>
      <c r="G20" s="566"/>
      <c r="H20" s="566">
        <v>79917.72</v>
      </c>
      <c r="I20" s="568">
        <f t="shared" si="0"/>
        <v>128541395.26923497</v>
      </c>
    </row>
    <row r="21" spans="1:9" s="445" customFormat="1">
      <c r="A21" s="414">
        <v>15</v>
      </c>
      <c r="B21" s="417" t="s">
        <v>109</v>
      </c>
      <c r="C21" s="567">
        <f>SUM(C7:C15)+SUM(C17:C20)</f>
        <v>359347238.10390002</v>
      </c>
      <c r="D21" s="567">
        <f t="shared" ref="D21:H21" si="1">SUM(D7:D15)+SUM(D17:D20)</f>
        <v>1184674182.9636705</v>
      </c>
      <c r="E21" s="567">
        <f t="shared" si="1"/>
        <v>161851224.1855194</v>
      </c>
      <c r="F21" s="567">
        <f t="shared" si="1"/>
        <v>11699915.505364986</v>
      </c>
      <c r="G21" s="567">
        <v>0</v>
      </c>
      <c r="H21" s="567">
        <f t="shared" si="1"/>
        <v>532820.22000000009</v>
      </c>
      <c r="I21" s="568">
        <f t="shared" si="0"/>
        <v>1370470281.3766861</v>
      </c>
    </row>
    <row r="22" spans="1:9">
      <c r="A22" s="446">
        <v>16</v>
      </c>
      <c r="B22" s="447" t="s">
        <v>564</v>
      </c>
      <c r="C22" s="566">
        <v>323150614.10390007</v>
      </c>
      <c r="D22" s="566">
        <v>665992595.13528025</v>
      </c>
      <c r="E22" s="566">
        <v>150381058.18551943</v>
      </c>
      <c r="F22" s="566">
        <v>11638775.50536496</v>
      </c>
      <c r="G22" s="566">
        <v>0</v>
      </c>
      <c r="H22" s="566">
        <v>452902.50000000006</v>
      </c>
      <c r="I22" s="568">
        <f t="shared" si="0"/>
        <v>827123375.54829586</v>
      </c>
    </row>
    <row r="23" spans="1:9">
      <c r="A23" s="446">
        <v>17</v>
      </c>
      <c r="B23" s="447" t="s">
        <v>565</v>
      </c>
      <c r="C23" s="566"/>
      <c r="D23" s="566">
        <v>33164129.710000001</v>
      </c>
      <c r="E23" s="566">
        <v>0</v>
      </c>
      <c r="F23" s="566">
        <v>60000</v>
      </c>
      <c r="G23" s="566">
        <v>0</v>
      </c>
      <c r="H23" s="566">
        <v>0</v>
      </c>
      <c r="I23" s="568">
        <f t="shared" si="0"/>
        <v>33104129.710000001</v>
      </c>
    </row>
    <row r="26" spans="1:9" ht="25.5">
      <c r="B26" s="441"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workbookViewId="0"/>
  </sheetViews>
  <sheetFormatPr defaultColWidth="9.28515625" defaultRowHeight="12.75"/>
  <cols>
    <col min="1" max="1" width="11" style="415" bestFit="1" customWidth="1"/>
    <col min="2" max="2" width="93.42578125" style="415" customWidth="1"/>
    <col min="3" max="8" width="22" style="415" customWidth="1"/>
    <col min="9" max="9" width="42.28515625" style="415" bestFit="1" customWidth="1"/>
    <col min="10" max="16384" width="9.28515625" style="415"/>
  </cols>
  <sheetData>
    <row r="1" spans="1:9">
      <c r="A1" s="407" t="s">
        <v>30</v>
      </c>
      <c r="B1" s="415" t="str">
        <f>'1. key ratios '!B1</f>
        <v>JSC CARTU BANK</v>
      </c>
    </row>
    <row r="2" spans="1:9" ht="13.5">
      <c r="A2" s="407" t="s">
        <v>31</v>
      </c>
      <c r="B2" s="371">
        <f>'1. key ratios '!B2</f>
        <v>44651</v>
      </c>
    </row>
    <row r="3" spans="1:9">
      <c r="A3" s="408" t="s">
        <v>566</v>
      </c>
    </row>
    <row r="4" spans="1:9">
      <c r="C4" s="443" t="s">
        <v>0</v>
      </c>
      <c r="D4" s="443" t="s">
        <v>1</v>
      </c>
      <c r="E4" s="443" t="s">
        <v>2</v>
      </c>
      <c r="F4" s="443" t="s">
        <v>3</v>
      </c>
      <c r="G4" s="443" t="s">
        <v>4</v>
      </c>
      <c r="H4" s="443" t="s">
        <v>5</v>
      </c>
      <c r="I4" s="443" t="s">
        <v>8</v>
      </c>
    </row>
    <row r="5" spans="1:9" ht="46.5" customHeight="1">
      <c r="A5" s="688" t="s">
        <v>707</v>
      </c>
      <c r="B5" s="689"/>
      <c r="C5" s="702" t="s">
        <v>554</v>
      </c>
      <c r="D5" s="702"/>
      <c r="E5" s="702" t="s">
        <v>555</v>
      </c>
      <c r="F5" s="702" t="s">
        <v>556</v>
      </c>
      <c r="G5" s="700" t="s">
        <v>557</v>
      </c>
      <c r="H5" s="700" t="s">
        <v>558</v>
      </c>
      <c r="I5" s="444" t="s">
        <v>559</v>
      </c>
    </row>
    <row r="6" spans="1:9" ht="75" customHeight="1">
      <c r="A6" s="692"/>
      <c r="B6" s="693"/>
      <c r="C6" s="433" t="s">
        <v>560</v>
      </c>
      <c r="D6" s="433" t="s">
        <v>561</v>
      </c>
      <c r="E6" s="702"/>
      <c r="F6" s="702"/>
      <c r="G6" s="701"/>
      <c r="H6" s="701"/>
      <c r="I6" s="444" t="s">
        <v>562</v>
      </c>
    </row>
    <row r="7" spans="1:9">
      <c r="A7" s="412">
        <v>1</v>
      </c>
      <c r="B7" s="416" t="s">
        <v>697</v>
      </c>
      <c r="C7" s="566">
        <v>368912.08999999997</v>
      </c>
      <c r="D7" s="566">
        <v>251398529.945225</v>
      </c>
      <c r="E7" s="566">
        <v>101177.95667299998</v>
      </c>
      <c r="F7" s="566">
        <v>198848.34772299998</v>
      </c>
      <c r="G7" s="566">
        <v>0</v>
      </c>
      <c r="H7" s="566">
        <v>0</v>
      </c>
      <c r="I7" s="568">
        <f t="shared" ref="I7:I34" si="0">C7+D7-E7-F7-G7</f>
        <v>251467415.730829</v>
      </c>
    </row>
    <row r="8" spans="1:9">
      <c r="A8" s="412">
        <v>2</v>
      </c>
      <c r="B8" s="416" t="s">
        <v>567</v>
      </c>
      <c r="C8" s="566">
        <v>333243.87</v>
      </c>
      <c r="D8" s="566">
        <v>203184097.37300199</v>
      </c>
      <c r="E8" s="566">
        <v>112571.96566899998</v>
      </c>
      <c r="F8" s="566">
        <v>167168.53819399991</v>
      </c>
      <c r="G8" s="566">
        <v>0</v>
      </c>
      <c r="H8" s="566">
        <v>0</v>
      </c>
      <c r="I8" s="568">
        <f t="shared" si="0"/>
        <v>203237600.73913899</v>
      </c>
    </row>
    <row r="9" spans="1:9">
      <c r="A9" s="412">
        <v>3</v>
      </c>
      <c r="B9" s="416" t="s">
        <v>568</v>
      </c>
      <c r="C9" s="566">
        <v>0</v>
      </c>
      <c r="D9" s="566">
        <v>0</v>
      </c>
      <c r="E9" s="566">
        <v>0</v>
      </c>
      <c r="F9" s="566">
        <v>0</v>
      </c>
      <c r="G9" s="566">
        <v>0</v>
      </c>
      <c r="H9" s="566">
        <v>0</v>
      </c>
      <c r="I9" s="568">
        <f t="shared" si="0"/>
        <v>0</v>
      </c>
    </row>
    <row r="10" spans="1:9">
      <c r="A10" s="412">
        <v>4</v>
      </c>
      <c r="B10" s="416" t="s">
        <v>698</v>
      </c>
      <c r="C10" s="566">
        <v>44361323.769999996</v>
      </c>
      <c r="D10" s="566">
        <v>40650461.97744</v>
      </c>
      <c r="E10" s="566">
        <v>17197087.881528001</v>
      </c>
      <c r="F10" s="566">
        <v>760612.40820499999</v>
      </c>
      <c r="G10" s="566">
        <v>0</v>
      </c>
      <c r="H10" s="566">
        <v>92625</v>
      </c>
      <c r="I10" s="568">
        <f t="shared" si="0"/>
        <v>67054085.457706988</v>
      </c>
    </row>
    <row r="11" spans="1:9">
      <c r="A11" s="412">
        <v>5</v>
      </c>
      <c r="B11" s="416" t="s">
        <v>569</v>
      </c>
      <c r="C11" s="566">
        <v>29350256.585000001</v>
      </c>
      <c r="D11" s="566">
        <v>55825746.062823988</v>
      </c>
      <c r="E11" s="566">
        <v>13409619.940432001</v>
      </c>
      <c r="F11" s="566">
        <v>999626.05668799998</v>
      </c>
      <c r="G11" s="566">
        <v>0</v>
      </c>
      <c r="H11" s="566">
        <v>0</v>
      </c>
      <c r="I11" s="568">
        <f t="shared" si="0"/>
        <v>70766756.650703996</v>
      </c>
    </row>
    <row r="12" spans="1:9">
      <c r="A12" s="412">
        <v>6</v>
      </c>
      <c r="B12" s="416" t="s">
        <v>570</v>
      </c>
      <c r="C12" s="566">
        <v>6968769.8099999996</v>
      </c>
      <c r="D12" s="566">
        <v>61668682.980021991</v>
      </c>
      <c r="E12" s="566">
        <v>3964349.492997</v>
      </c>
      <c r="F12" s="566">
        <v>1141727.510701</v>
      </c>
      <c r="G12" s="566">
        <v>0</v>
      </c>
      <c r="H12" s="566">
        <v>0</v>
      </c>
      <c r="I12" s="568">
        <f t="shared" si="0"/>
        <v>63531375.786323987</v>
      </c>
    </row>
    <row r="13" spans="1:9">
      <c r="A13" s="412">
        <v>7</v>
      </c>
      <c r="B13" s="416" t="s">
        <v>571</v>
      </c>
      <c r="C13" s="566">
        <v>6593951.7500000028</v>
      </c>
      <c r="D13" s="566">
        <v>6737574.4435679996</v>
      </c>
      <c r="E13" s="566">
        <v>2864997.6350790006</v>
      </c>
      <c r="F13" s="566">
        <v>87851.326937000005</v>
      </c>
      <c r="G13" s="566">
        <v>0</v>
      </c>
      <c r="H13" s="566">
        <v>0</v>
      </c>
      <c r="I13" s="568">
        <f t="shared" si="0"/>
        <v>10378677.231552003</v>
      </c>
    </row>
    <row r="14" spans="1:9">
      <c r="A14" s="412">
        <v>8</v>
      </c>
      <c r="B14" s="416" t="s">
        <v>572</v>
      </c>
      <c r="C14" s="566">
        <v>33716142.562200002</v>
      </c>
      <c r="D14" s="566">
        <v>7458540.5897599999</v>
      </c>
      <c r="E14" s="566">
        <v>16328916.609476997</v>
      </c>
      <c r="F14" s="566">
        <v>148275.93119900001</v>
      </c>
      <c r="G14" s="566">
        <v>0</v>
      </c>
      <c r="H14" s="566">
        <v>0</v>
      </c>
      <c r="I14" s="568">
        <f t="shared" si="0"/>
        <v>24697490.611284003</v>
      </c>
    </row>
    <row r="15" spans="1:9">
      <c r="A15" s="412">
        <v>9</v>
      </c>
      <c r="B15" s="416" t="s">
        <v>573</v>
      </c>
      <c r="C15" s="566">
        <v>64443444.759999998</v>
      </c>
      <c r="D15" s="566">
        <v>90661853.818240002</v>
      </c>
      <c r="E15" s="566">
        <v>34842682.029650018</v>
      </c>
      <c r="F15" s="566">
        <v>1562324.3121120012</v>
      </c>
      <c r="G15" s="566">
        <v>0</v>
      </c>
      <c r="H15" s="566">
        <v>0</v>
      </c>
      <c r="I15" s="568">
        <f t="shared" si="0"/>
        <v>118700292.23647799</v>
      </c>
    </row>
    <row r="16" spans="1:9">
      <c r="A16" s="412">
        <v>10</v>
      </c>
      <c r="B16" s="416" t="s">
        <v>574</v>
      </c>
      <c r="C16" s="566">
        <v>50727.51</v>
      </c>
      <c r="D16" s="566">
        <v>1514477.3029759999</v>
      </c>
      <c r="E16" s="566">
        <v>15218.249670999998</v>
      </c>
      <c r="F16" s="566">
        <v>30168.636188</v>
      </c>
      <c r="G16" s="566">
        <v>0</v>
      </c>
      <c r="H16" s="566">
        <v>0</v>
      </c>
      <c r="I16" s="568">
        <f t="shared" si="0"/>
        <v>1519817.9271169999</v>
      </c>
    </row>
    <row r="17" spans="1:9">
      <c r="A17" s="412">
        <v>11</v>
      </c>
      <c r="B17" s="416" t="s">
        <v>575</v>
      </c>
      <c r="C17" s="566">
        <v>0</v>
      </c>
      <c r="D17" s="566">
        <v>496968.51464000007</v>
      </c>
      <c r="E17" s="566">
        <v>0</v>
      </c>
      <c r="F17" s="566">
        <v>9886.8205799999996</v>
      </c>
      <c r="G17" s="566">
        <v>0</v>
      </c>
      <c r="H17" s="566">
        <v>0</v>
      </c>
      <c r="I17" s="568">
        <f t="shared" si="0"/>
        <v>487081.69406000007</v>
      </c>
    </row>
    <row r="18" spans="1:9">
      <c r="A18" s="412">
        <v>12</v>
      </c>
      <c r="B18" s="416" t="s">
        <v>576</v>
      </c>
      <c r="C18" s="566">
        <v>23372791.559999999</v>
      </c>
      <c r="D18" s="566">
        <v>8130277.2256610002</v>
      </c>
      <c r="E18" s="566">
        <v>7130109.1824470004</v>
      </c>
      <c r="F18" s="566">
        <v>143545.45448299998</v>
      </c>
      <c r="G18" s="566">
        <v>0</v>
      </c>
      <c r="H18" s="566">
        <v>0</v>
      </c>
      <c r="I18" s="568">
        <f t="shared" si="0"/>
        <v>24229414.148730997</v>
      </c>
    </row>
    <row r="19" spans="1:9">
      <c r="A19" s="412">
        <v>13</v>
      </c>
      <c r="B19" s="416" t="s">
        <v>577</v>
      </c>
      <c r="C19" s="566">
        <v>5287983.32</v>
      </c>
      <c r="D19" s="566">
        <v>28049618.709731001</v>
      </c>
      <c r="E19" s="566">
        <v>1966214.3782609999</v>
      </c>
      <c r="F19" s="566">
        <v>554917.107647</v>
      </c>
      <c r="G19" s="566">
        <v>0</v>
      </c>
      <c r="H19" s="566">
        <v>0</v>
      </c>
      <c r="I19" s="568">
        <f t="shared" si="0"/>
        <v>30816470.543823</v>
      </c>
    </row>
    <row r="20" spans="1:9">
      <c r="A20" s="412">
        <v>14</v>
      </c>
      <c r="B20" s="416" t="s">
        <v>578</v>
      </c>
      <c r="C20" s="566">
        <v>36691989.360000007</v>
      </c>
      <c r="D20" s="566">
        <v>27995616.228721004</v>
      </c>
      <c r="E20" s="566">
        <v>15731478.488180002</v>
      </c>
      <c r="F20" s="566">
        <v>468893.23219200008</v>
      </c>
      <c r="G20" s="566">
        <v>0</v>
      </c>
      <c r="H20" s="566">
        <v>0</v>
      </c>
      <c r="I20" s="568">
        <f t="shared" si="0"/>
        <v>48487233.868349001</v>
      </c>
    </row>
    <row r="21" spans="1:9">
      <c r="A21" s="412">
        <v>15</v>
      </c>
      <c r="B21" s="416" t="s">
        <v>579</v>
      </c>
      <c r="C21" s="566">
        <v>717667.73</v>
      </c>
      <c r="D21" s="566">
        <v>39317.997484000007</v>
      </c>
      <c r="E21" s="566">
        <v>215300.32030800002</v>
      </c>
      <c r="F21" s="566">
        <v>784.95329600000002</v>
      </c>
      <c r="G21" s="566">
        <v>0</v>
      </c>
      <c r="H21" s="566">
        <v>360277.5</v>
      </c>
      <c r="I21" s="568">
        <f t="shared" si="0"/>
        <v>540900.45388000004</v>
      </c>
    </row>
    <row r="22" spans="1:9">
      <c r="A22" s="412">
        <v>16</v>
      </c>
      <c r="B22" s="416" t="s">
        <v>580</v>
      </c>
      <c r="C22" s="566">
        <v>73160.44</v>
      </c>
      <c r="D22" s="566">
        <v>51451902.845828995</v>
      </c>
      <c r="E22" s="566">
        <v>36580.221163000002</v>
      </c>
      <c r="F22" s="566">
        <v>996943.20158699993</v>
      </c>
      <c r="G22" s="566">
        <v>0</v>
      </c>
      <c r="H22" s="566">
        <v>0</v>
      </c>
      <c r="I22" s="568">
        <f t="shared" si="0"/>
        <v>50491539.863078997</v>
      </c>
    </row>
    <row r="23" spans="1:9">
      <c r="A23" s="412">
        <v>17</v>
      </c>
      <c r="B23" s="416" t="s">
        <v>701</v>
      </c>
      <c r="C23" s="566">
        <v>137444.96</v>
      </c>
      <c r="D23" s="566">
        <v>24676017.205848999</v>
      </c>
      <c r="E23" s="566">
        <v>973896.39244999993</v>
      </c>
      <c r="F23" s="566">
        <v>304556.61153500003</v>
      </c>
      <c r="G23" s="566">
        <v>0</v>
      </c>
      <c r="H23" s="566">
        <v>0</v>
      </c>
      <c r="I23" s="568">
        <f t="shared" si="0"/>
        <v>23535009.161863998</v>
      </c>
    </row>
    <row r="24" spans="1:9">
      <c r="A24" s="412">
        <v>18</v>
      </c>
      <c r="B24" s="416" t="s">
        <v>581</v>
      </c>
      <c r="C24" s="566">
        <v>2077871</v>
      </c>
      <c r="D24" s="566">
        <v>1549868.4329899999</v>
      </c>
      <c r="E24" s="566">
        <v>1301013.4243760002</v>
      </c>
      <c r="F24" s="566">
        <v>3936.557002</v>
      </c>
      <c r="G24" s="566">
        <v>0</v>
      </c>
      <c r="H24" s="566">
        <v>0</v>
      </c>
      <c r="I24" s="568">
        <f t="shared" si="0"/>
        <v>2322789.4516119994</v>
      </c>
    </row>
    <row r="25" spans="1:9">
      <c r="A25" s="412">
        <v>19</v>
      </c>
      <c r="B25" s="416" t="s">
        <v>582</v>
      </c>
      <c r="C25" s="566">
        <v>29752336.279999997</v>
      </c>
      <c r="D25" s="566">
        <v>1968809.2568659997</v>
      </c>
      <c r="E25" s="566">
        <v>9467892.6968040001</v>
      </c>
      <c r="F25" s="566">
        <v>39194.235959999998</v>
      </c>
      <c r="G25" s="566">
        <v>0</v>
      </c>
      <c r="H25" s="566">
        <v>0</v>
      </c>
      <c r="I25" s="568">
        <f t="shared" si="0"/>
        <v>22214058.604102001</v>
      </c>
    </row>
    <row r="26" spans="1:9">
      <c r="A26" s="412">
        <v>20</v>
      </c>
      <c r="B26" s="416" t="s">
        <v>700</v>
      </c>
      <c r="C26" s="566">
        <v>474316.33</v>
      </c>
      <c r="D26" s="566">
        <v>56235687.509133011</v>
      </c>
      <c r="E26" s="566">
        <v>1533045.0630710002</v>
      </c>
      <c r="F26" s="566">
        <v>830613.5978710003</v>
      </c>
      <c r="G26" s="566">
        <v>0</v>
      </c>
      <c r="H26" s="566">
        <v>0</v>
      </c>
      <c r="I26" s="568">
        <f t="shared" si="0"/>
        <v>54346345.178191014</v>
      </c>
    </row>
    <row r="27" spans="1:9">
      <c r="A27" s="412">
        <v>21</v>
      </c>
      <c r="B27" s="416" t="s">
        <v>583</v>
      </c>
      <c r="C27" s="566">
        <v>0</v>
      </c>
      <c r="D27" s="566">
        <v>3651916.7447139989</v>
      </c>
      <c r="E27" s="566">
        <v>0</v>
      </c>
      <c r="F27" s="566">
        <v>72811.977488999983</v>
      </c>
      <c r="G27" s="566">
        <v>0</v>
      </c>
      <c r="H27" s="566">
        <v>0</v>
      </c>
      <c r="I27" s="568">
        <f t="shared" si="0"/>
        <v>3579104.7672249987</v>
      </c>
    </row>
    <row r="28" spans="1:9">
      <c r="A28" s="412">
        <v>22</v>
      </c>
      <c r="B28" s="416" t="s">
        <v>584</v>
      </c>
      <c r="C28" s="566">
        <v>6947280.96</v>
      </c>
      <c r="D28" s="566">
        <v>35094720.502015993</v>
      </c>
      <c r="E28" s="566">
        <v>6501368.0076200003</v>
      </c>
      <c r="F28" s="566">
        <v>622327.77624599996</v>
      </c>
      <c r="G28" s="566">
        <v>0</v>
      </c>
      <c r="H28" s="566">
        <v>0</v>
      </c>
      <c r="I28" s="568">
        <f t="shared" si="0"/>
        <v>34918305.678149998</v>
      </c>
    </row>
    <row r="29" spans="1:9">
      <c r="A29" s="412">
        <v>23</v>
      </c>
      <c r="B29" s="416" t="s">
        <v>585</v>
      </c>
      <c r="C29" s="566">
        <v>12151851.089999994</v>
      </c>
      <c r="D29" s="566">
        <v>73046024.850636989</v>
      </c>
      <c r="E29" s="566">
        <v>5749737.8205930013</v>
      </c>
      <c r="F29" s="566">
        <v>1446865.3212240005</v>
      </c>
      <c r="G29" s="566">
        <v>0</v>
      </c>
      <c r="H29" s="566">
        <v>0</v>
      </c>
      <c r="I29" s="568">
        <f t="shared" si="0"/>
        <v>78001272.798819974</v>
      </c>
    </row>
    <row r="30" spans="1:9">
      <c r="A30" s="412">
        <v>24</v>
      </c>
      <c r="B30" s="416" t="s">
        <v>699</v>
      </c>
      <c r="C30" s="566">
        <v>14274005.359999998</v>
      </c>
      <c r="D30" s="566">
        <v>37534442.091074012</v>
      </c>
      <c r="E30" s="566">
        <v>8928179.6941289995</v>
      </c>
      <c r="F30" s="566">
        <v>493419.34464600013</v>
      </c>
      <c r="G30" s="566">
        <v>0</v>
      </c>
      <c r="H30" s="566">
        <v>0</v>
      </c>
      <c r="I30" s="568">
        <f t="shared" si="0"/>
        <v>42386848.412299015</v>
      </c>
    </row>
    <row r="31" spans="1:9">
      <c r="A31" s="412">
        <v>25</v>
      </c>
      <c r="B31" s="416" t="s">
        <v>586</v>
      </c>
      <c r="C31" s="566">
        <v>4988589.9467999991</v>
      </c>
      <c r="D31" s="566">
        <v>34521435.740822017</v>
      </c>
      <c r="E31" s="566">
        <v>1998317.3729709995</v>
      </c>
      <c r="F31" s="566">
        <v>588465.78760399995</v>
      </c>
      <c r="G31" s="566">
        <v>0</v>
      </c>
      <c r="H31" s="566">
        <v>0</v>
      </c>
      <c r="I31" s="568">
        <f t="shared" si="0"/>
        <v>36923242.527047023</v>
      </c>
    </row>
    <row r="32" spans="1:9">
      <c r="A32" s="412">
        <v>26</v>
      </c>
      <c r="B32" s="416" t="s">
        <v>696</v>
      </c>
      <c r="C32" s="566">
        <v>16553.059900000004</v>
      </c>
      <c r="D32" s="566">
        <v>1588784.2660540014</v>
      </c>
      <c r="E32" s="566">
        <v>11303.361970000002</v>
      </c>
      <c r="F32" s="566">
        <v>25010.458056000025</v>
      </c>
      <c r="G32" s="566">
        <v>0</v>
      </c>
      <c r="H32" s="566">
        <v>0</v>
      </c>
      <c r="I32" s="568">
        <f t="shared" si="0"/>
        <v>1569023.5059280014</v>
      </c>
    </row>
    <row r="33" spans="1:9">
      <c r="A33" s="412">
        <v>27</v>
      </c>
      <c r="B33" s="412" t="s">
        <v>587</v>
      </c>
      <c r="C33" s="566">
        <v>36196624</v>
      </c>
      <c r="D33" s="566">
        <v>79542810.348391011</v>
      </c>
      <c r="E33" s="566">
        <v>11470166</v>
      </c>
      <c r="F33" s="566">
        <v>1140</v>
      </c>
      <c r="G33" s="566">
        <v>0</v>
      </c>
      <c r="H33" s="566">
        <v>79917.72</v>
      </c>
      <c r="I33" s="568">
        <f t="shared" si="0"/>
        <v>104268128.34839101</v>
      </c>
    </row>
    <row r="34" spans="1:9">
      <c r="A34" s="412">
        <v>28</v>
      </c>
      <c r="B34" s="417" t="s">
        <v>109</v>
      </c>
      <c r="C34" s="567">
        <f>SUM(C7:C33)</f>
        <v>359347238.1038999</v>
      </c>
      <c r="D34" s="567">
        <f t="shared" ref="D34:H34" si="1">SUM(D7:D33)</f>
        <v>1184674182.9636688</v>
      </c>
      <c r="E34" s="567">
        <f t="shared" si="1"/>
        <v>161851224.18551904</v>
      </c>
      <c r="F34" s="567">
        <f t="shared" si="1"/>
        <v>11699915.505365001</v>
      </c>
      <c r="G34" s="567">
        <v>0</v>
      </c>
      <c r="H34" s="567">
        <f t="shared" si="1"/>
        <v>532820.22</v>
      </c>
      <c r="I34" s="568">
        <f t="shared" si="0"/>
        <v>1370470281.3766849</v>
      </c>
    </row>
    <row r="36" spans="1:9">
      <c r="B36" s="448"/>
    </row>
    <row r="42" spans="1:9">
      <c r="A42" s="445"/>
      <c r="B42" s="445"/>
    </row>
    <row r="43" spans="1:9">
      <c r="A43" s="445"/>
      <c r="B43" s="44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15" bestFit="1" customWidth="1"/>
    <col min="2" max="2" width="108" style="415" bestFit="1" customWidth="1"/>
    <col min="3" max="4" width="35.5703125" style="415" customWidth="1"/>
    <col min="5" max="16384" width="9.28515625" style="415"/>
  </cols>
  <sheetData>
    <row r="1" spans="1:4">
      <c r="A1" s="407" t="s">
        <v>30</v>
      </c>
      <c r="B1" s="415" t="str">
        <f>'1. key ratios '!B1</f>
        <v>JSC CARTU BANK</v>
      </c>
    </row>
    <row r="2" spans="1:4" ht="13.5">
      <c r="A2" s="407" t="s">
        <v>31</v>
      </c>
      <c r="B2" s="371">
        <f>'1. key ratios '!B2</f>
        <v>44651</v>
      </c>
    </row>
    <row r="3" spans="1:4">
      <c r="A3" s="408" t="s">
        <v>588</v>
      </c>
    </row>
    <row r="5" spans="1:4" ht="25.5">
      <c r="A5" s="703" t="s">
        <v>589</v>
      </c>
      <c r="B5" s="703"/>
      <c r="C5" s="437" t="s">
        <v>590</v>
      </c>
      <c r="D5" s="437" t="s">
        <v>591</v>
      </c>
    </row>
    <row r="6" spans="1:4">
      <c r="A6" s="418">
        <v>1</v>
      </c>
      <c r="B6" s="419" t="s">
        <v>592</v>
      </c>
      <c r="C6" s="567">
        <v>159165790.93913704</v>
      </c>
      <c r="D6" s="567">
        <v>369760</v>
      </c>
    </row>
    <row r="7" spans="1:4">
      <c r="A7" s="420">
        <v>2</v>
      </c>
      <c r="B7" s="419" t="s">
        <v>593</v>
      </c>
      <c r="C7" s="567">
        <v>11976402.85682404</v>
      </c>
      <c r="D7" s="567">
        <f>SUM(D8:D11)</f>
        <v>0</v>
      </c>
    </row>
    <row r="8" spans="1:4">
      <c r="A8" s="420">
        <v>2.1</v>
      </c>
      <c r="B8" s="421" t="s">
        <v>704</v>
      </c>
      <c r="C8" s="566">
        <v>5085235.1237787316</v>
      </c>
      <c r="D8" s="566"/>
    </row>
    <row r="9" spans="1:4">
      <c r="A9" s="420">
        <v>2.2000000000000002</v>
      </c>
      <c r="B9" s="421" t="s">
        <v>702</v>
      </c>
      <c r="C9" s="566">
        <v>6776195.5284664258</v>
      </c>
      <c r="D9" s="566"/>
    </row>
    <row r="10" spans="1:4">
      <c r="A10" s="420">
        <v>2.2999999999999998</v>
      </c>
      <c r="B10" s="421" t="s">
        <v>594</v>
      </c>
      <c r="C10" s="566">
        <v>114972.20457888376</v>
      </c>
      <c r="D10" s="566"/>
    </row>
    <row r="11" spans="1:4">
      <c r="A11" s="420">
        <v>2.4</v>
      </c>
      <c r="B11" s="421" t="s">
        <v>595</v>
      </c>
      <c r="C11" s="566">
        <v>0</v>
      </c>
      <c r="D11" s="566"/>
    </row>
    <row r="12" spans="1:4">
      <c r="A12" s="418">
        <v>3</v>
      </c>
      <c r="B12" s="419" t="s">
        <v>596</v>
      </c>
      <c r="C12" s="567">
        <f>SUM(C13:C18)</f>
        <v>9122359.4210716896</v>
      </c>
      <c r="D12" s="567">
        <f>SUM(D13:D18)</f>
        <v>309760</v>
      </c>
    </row>
    <row r="13" spans="1:4">
      <c r="A13" s="420">
        <v>3.1</v>
      </c>
      <c r="B13" s="421" t="s">
        <v>597</v>
      </c>
      <c r="C13" s="566">
        <v>449659.78196200007</v>
      </c>
      <c r="D13" s="566"/>
    </row>
    <row r="14" spans="1:4">
      <c r="A14" s="420">
        <v>3.2</v>
      </c>
      <c r="B14" s="421" t="s">
        <v>598</v>
      </c>
      <c r="C14" s="566">
        <v>1461805.8563600006</v>
      </c>
      <c r="D14" s="566">
        <v>309760</v>
      </c>
    </row>
    <row r="15" spans="1:4">
      <c r="A15" s="420">
        <v>3.3</v>
      </c>
      <c r="B15" s="421" t="s">
        <v>693</v>
      </c>
      <c r="C15" s="566">
        <v>5056855.5393516524</v>
      </c>
      <c r="D15" s="566"/>
    </row>
    <row r="16" spans="1:4">
      <c r="A16" s="420">
        <v>3.4</v>
      </c>
      <c r="B16" s="421" t="s">
        <v>703</v>
      </c>
      <c r="C16" s="566">
        <v>2119954.8733128584</v>
      </c>
      <c r="D16" s="566"/>
    </row>
    <row r="17" spans="1:4">
      <c r="A17" s="420">
        <v>3.5</v>
      </c>
      <c r="B17" s="421" t="s">
        <v>599</v>
      </c>
      <c r="C17" s="566">
        <v>34083.370085177936</v>
      </c>
      <c r="D17" s="566">
        <v>0</v>
      </c>
    </row>
    <row r="18" spans="1:4">
      <c r="A18" s="420">
        <v>3.6</v>
      </c>
      <c r="B18" s="421" t="s">
        <v>600</v>
      </c>
      <c r="C18" s="566">
        <v>0</v>
      </c>
      <c r="D18" s="566"/>
    </row>
    <row r="19" spans="1:4">
      <c r="A19" s="422">
        <v>4</v>
      </c>
      <c r="B19" s="419" t="s">
        <v>601</v>
      </c>
      <c r="C19" s="567">
        <f>C6+C7-C12</f>
        <v>162019834.3748894</v>
      </c>
      <c r="D19" s="567">
        <f>D6+D7-D12</f>
        <v>60000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15" bestFit="1" customWidth="1"/>
    <col min="2" max="2" width="124.7109375" style="415" customWidth="1"/>
    <col min="3" max="3" width="31.5703125" style="415" customWidth="1"/>
    <col min="4" max="4" width="39.28515625" style="415" customWidth="1"/>
    <col min="5" max="16384" width="9.28515625" style="415"/>
  </cols>
  <sheetData>
    <row r="1" spans="1:4">
      <c r="A1" s="407" t="s">
        <v>30</v>
      </c>
      <c r="B1" s="415" t="str">
        <f>'1. key ratios '!B1</f>
        <v>JSC CARTU BANK</v>
      </c>
    </row>
    <row r="2" spans="1:4" ht="13.5">
      <c r="A2" s="407" t="s">
        <v>31</v>
      </c>
      <c r="B2" s="371">
        <f>'1. key ratios '!B2</f>
        <v>44651</v>
      </c>
    </row>
    <row r="3" spans="1:4">
      <c r="A3" s="408" t="s">
        <v>602</v>
      </c>
    </row>
    <row r="4" spans="1:4">
      <c r="A4" s="408"/>
    </row>
    <row r="5" spans="1:4" ht="15" customHeight="1">
      <c r="A5" s="704" t="s">
        <v>705</v>
      </c>
      <c r="B5" s="705"/>
      <c r="C5" s="694" t="s">
        <v>603</v>
      </c>
      <c r="D5" s="708" t="s">
        <v>604</v>
      </c>
    </row>
    <row r="6" spans="1:4">
      <c r="A6" s="706"/>
      <c r="B6" s="707"/>
      <c r="C6" s="697"/>
      <c r="D6" s="708"/>
    </row>
    <row r="7" spans="1:4">
      <c r="A7" s="417">
        <v>1</v>
      </c>
      <c r="B7" s="417" t="s">
        <v>592</v>
      </c>
      <c r="C7" s="567">
        <v>326350092.14239997</v>
      </c>
      <c r="D7" s="569"/>
    </row>
    <row r="8" spans="1:4">
      <c r="A8" s="412">
        <v>2</v>
      </c>
      <c r="B8" s="412" t="s">
        <v>605</v>
      </c>
      <c r="C8" s="566">
        <v>18346977.251426931</v>
      </c>
      <c r="D8" s="569"/>
    </row>
    <row r="9" spans="1:4">
      <c r="A9" s="412">
        <v>3</v>
      </c>
      <c r="B9" s="423" t="s">
        <v>606</v>
      </c>
      <c r="C9" s="566">
        <v>245220.08906399581</v>
      </c>
      <c r="D9" s="569"/>
    </row>
    <row r="10" spans="1:4">
      <c r="A10" s="412">
        <v>4</v>
      </c>
      <c r="B10" s="412" t="s">
        <v>607</v>
      </c>
      <c r="C10" s="566">
        <f>SUM(C11:C18)</f>
        <v>21855819.508990925</v>
      </c>
      <c r="D10" s="569"/>
    </row>
    <row r="11" spans="1:4">
      <c r="A11" s="412">
        <v>5</v>
      </c>
      <c r="B11" s="424" t="s">
        <v>608</v>
      </c>
      <c r="C11" s="566">
        <v>5000</v>
      </c>
      <c r="D11" s="569"/>
    </row>
    <row r="12" spans="1:4">
      <c r="A12" s="412">
        <v>6</v>
      </c>
      <c r="B12" s="424" t="s">
        <v>609</v>
      </c>
      <c r="C12" s="566">
        <v>0</v>
      </c>
      <c r="D12" s="569"/>
    </row>
    <row r="13" spans="1:4">
      <c r="A13" s="412">
        <v>7</v>
      </c>
      <c r="B13" s="424" t="s">
        <v>610</v>
      </c>
      <c r="C13" s="566">
        <v>20828258.993998036</v>
      </c>
      <c r="D13" s="569"/>
    </row>
    <row r="14" spans="1:4">
      <c r="A14" s="412">
        <v>8</v>
      </c>
      <c r="B14" s="424" t="s">
        <v>611</v>
      </c>
      <c r="C14" s="566">
        <v>518457.96672000008</v>
      </c>
      <c r="D14" s="566">
        <v>579615.87</v>
      </c>
    </row>
    <row r="15" spans="1:4">
      <c r="A15" s="412">
        <v>9</v>
      </c>
      <c r="B15" s="424" t="s">
        <v>612</v>
      </c>
      <c r="C15" s="566">
        <v>0</v>
      </c>
      <c r="D15" s="566"/>
    </row>
    <row r="16" spans="1:4">
      <c r="A16" s="412">
        <v>10</v>
      </c>
      <c r="B16" s="424" t="s">
        <v>613</v>
      </c>
      <c r="C16" s="566">
        <v>449659.78196200007</v>
      </c>
      <c r="D16" s="569"/>
    </row>
    <row r="17" spans="1:4">
      <c r="A17" s="412">
        <v>11</v>
      </c>
      <c r="B17" s="424" t="s">
        <v>614</v>
      </c>
      <c r="C17" s="566">
        <v>0</v>
      </c>
      <c r="D17" s="566"/>
    </row>
    <row r="18" spans="1:4">
      <c r="A18" s="412">
        <v>12</v>
      </c>
      <c r="B18" s="421" t="s">
        <v>710</v>
      </c>
      <c r="C18" s="566">
        <v>54442.766310887804</v>
      </c>
      <c r="D18" s="569"/>
    </row>
    <row r="19" spans="1:4">
      <c r="A19" s="417">
        <v>13</v>
      </c>
      <c r="B19" s="449" t="s">
        <v>601</v>
      </c>
      <c r="C19" s="567">
        <f>C7+C8+C9-C10</f>
        <v>323086469.97389996</v>
      </c>
      <c r="D19" s="570"/>
    </row>
    <row r="22" spans="1:4">
      <c r="B22" s="407"/>
    </row>
    <row r="23" spans="1:4">
      <c r="B23" s="407"/>
    </row>
    <row r="24" spans="1:4">
      <c r="B24" s="4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workbookViewId="0"/>
  </sheetViews>
  <sheetFormatPr defaultColWidth="9.28515625" defaultRowHeight="12.75"/>
  <cols>
    <col min="1" max="1" width="11.7109375" style="415" bestFit="1" customWidth="1"/>
    <col min="2" max="2" width="80.7109375" style="415" customWidth="1"/>
    <col min="3" max="3" width="15.5703125" style="415" customWidth="1"/>
    <col min="4" max="5" width="22.28515625" style="415" customWidth="1"/>
    <col min="6" max="6" width="23.42578125" style="415" customWidth="1"/>
    <col min="7" max="14" width="22.28515625" style="415" customWidth="1"/>
    <col min="15" max="15" width="23.28515625" style="415" bestFit="1" customWidth="1"/>
    <col min="16" max="16" width="21.7109375" style="415" bestFit="1" customWidth="1"/>
    <col min="17" max="19" width="19" style="415" bestFit="1" customWidth="1"/>
    <col min="20" max="20" width="16.28515625" style="415" customWidth="1"/>
    <col min="21" max="21" width="21" style="415" customWidth="1"/>
    <col min="22" max="22" width="20" style="415" customWidth="1"/>
    <col min="23" max="16384" width="9.28515625" style="415"/>
  </cols>
  <sheetData>
    <row r="1" spans="1:22">
      <c r="A1" s="407" t="s">
        <v>30</v>
      </c>
      <c r="B1" s="415" t="str">
        <f>'1. key ratios '!B1</f>
        <v>JSC CARTU BANK</v>
      </c>
    </row>
    <row r="2" spans="1:22" ht="13.5">
      <c r="A2" s="407" t="s">
        <v>31</v>
      </c>
      <c r="B2" s="371">
        <f>'1. key ratios '!B2</f>
        <v>44651</v>
      </c>
      <c r="C2" s="442"/>
    </row>
    <row r="3" spans="1:22">
      <c r="A3" s="408" t="s">
        <v>615</v>
      </c>
    </row>
    <row r="5" spans="1:22" ht="15" customHeight="1">
      <c r="A5" s="694" t="s">
        <v>540</v>
      </c>
      <c r="B5" s="696"/>
      <c r="C5" s="711" t="s">
        <v>616</v>
      </c>
      <c r="D5" s="712"/>
      <c r="E5" s="712"/>
      <c r="F5" s="712"/>
      <c r="G5" s="712"/>
      <c r="H5" s="712"/>
      <c r="I5" s="712"/>
      <c r="J5" s="712"/>
      <c r="K5" s="712"/>
      <c r="L5" s="712"/>
      <c r="M5" s="712"/>
      <c r="N5" s="712"/>
      <c r="O5" s="712"/>
      <c r="P5" s="712"/>
      <c r="Q5" s="712"/>
      <c r="R5" s="712"/>
      <c r="S5" s="712"/>
      <c r="T5" s="712"/>
      <c r="U5" s="713"/>
      <c r="V5" s="450"/>
    </row>
    <row r="6" spans="1:22">
      <c r="A6" s="709"/>
      <c r="B6" s="710"/>
      <c r="C6" s="714" t="s">
        <v>109</v>
      </c>
      <c r="D6" s="716" t="s">
        <v>617</v>
      </c>
      <c r="E6" s="716"/>
      <c r="F6" s="701"/>
      <c r="G6" s="717" t="s">
        <v>618</v>
      </c>
      <c r="H6" s="718"/>
      <c r="I6" s="718"/>
      <c r="J6" s="718"/>
      <c r="K6" s="719"/>
      <c r="L6" s="439"/>
      <c r="M6" s="720" t="s">
        <v>619</v>
      </c>
      <c r="N6" s="720"/>
      <c r="O6" s="701"/>
      <c r="P6" s="701"/>
      <c r="Q6" s="701"/>
      <c r="R6" s="701"/>
      <c r="S6" s="701"/>
      <c r="T6" s="701"/>
      <c r="U6" s="701"/>
      <c r="V6" s="439"/>
    </row>
    <row r="7" spans="1:22" ht="25.5">
      <c r="A7" s="697"/>
      <c r="B7" s="699"/>
      <c r="C7" s="715"/>
      <c r="D7" s="451"/>
      <c r="E7" s="444" t="s">
        <v>620</v>
      </c>
      <c r="F7" s="444" t="s">
        <v>621</v>
      </c>
      <c r="G7" s="442"/>
      <c r="H7" s="444" t="s">
        <v>620</v>
      </c>
      <c r="I7" s="444" t="s">
        <v>622</v>
      </c>
      <c r="J7" s="444" t="s">
        <v>623</v>
      </c>
      <c r="K7" s="444" t="s">
        <v>624</v>
      </c>
      <c r="L7" s="438"/>
      <c r="M7" s="433" t="s">
        <v>625</v>
      </c>
      <c r="N7" s="444" t="s">
        <v>623</v>
      </c>
      <c r="O7" s="444" t="s">
        <v>626</v>
      </c>
      <c r="P7" s="444" t="s">
        <v>627</v>
      </c>
      <c r="Q7" s="444" t="s">
        <v>628</v>
      </c>
      <c r="R7" s="444" t="s">
        <v>629</v>
      </c>
      <c r="S7" s="444" t="s">
        <v>630</v>
      </c>
      <c r="T7" s="452" t="s">
        <v>631</v>
      </c>
      <c r="U7" s="444" t="s">
        <v>632</v>
      </c>
      <c r="V7" s="450"/>
    </row>
    <row r="8" spans="1:22">
      <c r="A8" s="453">
        <v>1</v>
      </c>
      <c r="B8" s="417" t="s">
        <v>633</v>
      </c>
      <c r="C8" s="567">
        <f>SUM(C9:C14)</f>
        <v>965150943.16720092</v>
      </c>
      <c r="D8" s="567">
        <f t="shared" ref="D8:U8" si="0">SUM(D9:D14)</f>
        <v>583449394.35330081</v>
      </c>
      <c r="E8" s="567">
        <f t="shared" si="0"/>
        <v>1840701.55</v>
      </c>
      <c r="F8" s="567">
        <f t="shared" si="0"/>
        <v>86468.236999999921</v>
      </c>
      <c r="G8" s="567">
        <f t="shared" si="0"/>
        <v>58615078.840000011</v>
      </c>
      <c r="H8" s="567">
        <f t="shared" si="0"/>
        <v>3572596.3100000005</v>
      </c>
      <c r="I8" s="567">
        <f t="shared" si="0"/>
        <v>6337428.0500000007</v>
      </c>
      <c r="J8" s="567">
        <f t="shared" si="0"/>
        <v>3271250.9800000004</v>
      </c>
      <c r="K8" s="567">
        <f t="shared" si="0"/>
        <v>0</v>
      </c>
      <c r="L8" s="567">
        <f t="shared" si="0"/>
        <v>323086469.97390002</v>
      </c>
      <c r="M8" s="567">
        <f t="shared" si="0"/>
        <v>27655150.620000001</v>
      </c>
      <c r="N8" s="567">
        <f t="shared" si="0"/>
        <v>105777.87</v>
      </c>
      <c r="O8" s="567">
        <f t="shared" si="0"/>
        <v>2504972.34</v>
      </c>
      <c r="P8" s="567">
        <f t="shared" si="0"/>
        <v>17435028.899999999</v>
      </c>
      <c r="Q8" s="567">
        <f t="shared" si="0"/>
        <v>35692974.710000001</v>
      </c>
      <c r="R8" s="567">
        <f t="shared" si="0"/>
        <v>86557741.383899972</v>
      </c>
      <c r="S8" s="567">
        <f t="shared" si="0"/>
        <v>13957869.300000001</v>
      </c>
      <c r="T8" s="567">
        <f t="shared" si="0"/>
        <v>25185606.049999993</v>
      </c>
      <c r="U8" s="567">
        <f t="shared" si="0"/>
        <v>75544245.912499964</v>
      </c>
    </row>
    <row r="9" spans="1:22">
      <c r="A9" s="412">
        <v>1.1000000000000001</v>
      </c>
      <c r="B9" s="435" t="s">
        <v>634</v>
      </c>
      <c r="C9" s="571"/>
      <c r="D9" s="566"/>
      <c r="E9" s="566"/>
      <c r="F9" s="566"/>
      <c r="G9" s="566"/>
      <c r="H9" s="566"/>
      <c r="I9" s="566"/>
      <c r="J9" s="566"/>
      <c r="K9" s="566"/>
      <c r="L9" s="566"/>
      <c r="M9" s="566"/>
      <c r="N9" s="566"/>
      <c r="O9" s="566"/>
      <c r="P9" s="566"/>
      <c r="Q9" s="566"/>
      <c r="R9" s="566"/>
      <c r="S9" s="566"/>
      <c r="T9" s="566"/>
      <c r="U9" s="566"/>
    </row>
    <row r="10" spans="1:22">
      <c r="A10" s="412">
        <v>1.2</v>
      </c>
      <c r="B10" s="435" t="s">
        <v>635</v>
      </c>
      <c r="C10" s="571"/>
      <c r="D10" s="566"/>
      <c r="E10" s="566"/>
      <c r="F10" s="566"/>
      <c r="G10" s="566"/>
      <c r="H10" s="566"/>
      <c r="I10" s="566"/>
      <c r="J10" s="566"/>
      <c r="K10" s="566"/>
      <c r="L10" s="566"/>
      <c r="M10" s="566"/>
      <c r="N10" s="566"/>
      <c r="O10" s="566"/>
      <c r="P10" s="566"/>
      <c r="Q10" s="566"/>
      <c r="R10" s="566"/>
      <c r="S10" s="566"/>
      <c r="T10" s="566"/>
      <c r="U10" s="566"/>
    </row>
    <row r="11" spans="1:22">
      <c r="A11" s="412">
        <v>1.3</v>
      </c>
      <c r="B11" s="435" t="s">
        <v>636</v>
      </c>
      <c r="C11" s="571"/>
      <c r="D11" s="566"/>
      <c r="E11" s="566"/>
      <c r="F11" s="566"/>
      <c r="G11" s="566"/>
      <c r="H11" s="566"/>
      <c r="I11" s="566"/>
      <c r="J11" s="566"/>
      <c r="K11" s="566"/>
      <c r="L11" s="566"/>
      <c r="M11" s="566"/>
      <c r="N11" s="566"/>
      <c r="O11" s="566"/>
      <c r="P11" s="566"/>
      <c r="Q11" s="566"/>
      <c r="R11" s="566"/>
      <c r="S11" s="566"/>
      <c r="T11" s="566"/>
      <c r="U11" s="566"/>
    </row>
    <row r="12" spans="1:22">
      <c r="A12" s="412">
        <v>1.4</v>
      </c>
      <c r="B12" s="435" t="s">
        <v>637</v>
      </c>
      <c r="C12" s="571">
        <v>5013500</v>
      </c>
      <c r="D12" s="566">
        <v>5013500</v>
      </c>
      <c r="E12" s="566">
        <v>0</v>
      </c>
      <c r="F12" s="566">
        <v>0</v>
      </c>
      <c r="G12" s="566">
        <v>0</v>
      </c>
      <c r="H12" s="566">
        <v>0</v>
      </c>
      <c r="I12" s="566">
        <v>0</v>
      </c>
      <c r="J12" s="566">
        <v>0</v>
      </c>
      <c r="K12" s="566">
        <v>0</v>
      </c>
      <c r="L12" s="566">
        <v>0</v>
      </c>
      <c r="M12" s="566">
        <v>0</v>
      </c>
      <c r="N12" s="566">
        <v>0</v>
      </c>
      <c r="O12" s="566">
        <v>0</v>
      </c>
      <c r="P12" s="566">
        <v>0</v>
      </c>
      <c r="Q12" s="566">
        <v>0</v>
      </c>
      <c r="R12" s="566">
        <v>0</v>
      </c>
      <c r="S12" s="566">
        <v>0</v>
      </c>
      <c r="T12" s="566">
        <v>0</v>
      </c>
      <c r="U12" s="566">
        <v>0</v>
      </c>
    </row>
    <row r="13" spans="1:22">
      <c r="A13" s="412">
        <v>1.5</v>
      </c>
      <c r="B13" s="435" t="s">
        <v>638</v>
      </c>
      <c r="C13" s="571">
        <v>878267362.16620088</v>
      </c>
      <c r="D13" s="566">
        <v>528844371.1837008</v>
      </c>
      <c r="E13" s="566">
        <v>1840137.72</v>
      </c>
      <c r="F13" s="566">
        <v>15120.09600000002</v>
      </c>
      <c r="G13" s="566">
        <v>52677813.590000011</v>
      </c>
      <c r="H13" s="566">
        <v>2516884.8200000003</v>
      </c>
      <c r="I13" s="566">
        <v>4694798.1500000004</v>
      </c>
      <c r="J13" s="566">
        <v>3271250.9800000004</v>
      </c>
      <c r="K13" s="566">
        <v>0</v>
      </c>
      <c r="L13" s="566">
        <v>296745177.39250004</v>
      </c>
      <c r="M13" s="566">
        <v>27600033.710000001</v>
      </c>
      <c r="N13" s="566">
        <v>105777.87</v>
      </c>
      <c r="O13" s="566">
        <v>1708551.61</v>
      </c>
      <c r="P13" s="566">
        <v>15083429.82</v>
      </c>
      <c r="Q13" s="566">
        <v>31485798.450000003</v>
      </c>
      <c r="R13" s="566">
        <v>84698188.892499968</v>
      </c>
      <c r="S13" s="566">
        <v>8043437.0300000003</v>
      </c>
      <c r="T13" s="566">
        <v>22177743.719999995</v>
      </c>
      <c r="U13" s="566">
        <v>75302650.712499961</v>
      </c>
    </row>
    <row r="14" spans="1:22">
      <c r="A14" s="412">
        <v>1.6</v>
      </c>
      <c r="B14" s="435" t="s">
        <v>639</v>
      </c>
      <c r="C14" s="571">
        <v>81870081.001000091</v>
      </c>
      <c r="D14" s="566">
        <v>49591523.16960004</v>
      </c>
      <c r="E14" s="566">
        <v>563.82999999999993</v>
      </c>
      <c r="F14" s="566">
        <v>71348.140999999901</v>
      </c>
      <c r="G14" s="566">
        <v>5937265.2499999991</v>
      </c>
      <c r="H14" s="566">
        <v>1055711.49</v>
      </c>
      <c r="I14" s="566">
        <v>1642629.9</v>
      </c>
      <c r="J14" s="566">
        <v>0</v>
      </c>
      <c r="K14" s="566">
        <v>0</v>
      </c>
      <c r="L14" s="566">
        <v>26341292.5814</v>
      </c>
      <c r="M14" s="566">
        <v>55116.909999999996</v>
      </c>
      <c r="N14" s="566">
        <v>0</v>
      </c>
      <c r="O14" s="566">
        <v>796420.73</v>
      </c>
      <c r="P14" s="566">
        <v>2351599.08</v>
      </c>
      <c r="Q14" s="566">
        <v>4207176.2600000007</v>
      </c>
      <c r="R14" s="566">
        <v>1859552.4914000002</v>
      </c>
      <c r="S14" s="566">
        <v>5914432.2699999996</v>
      </c>
      <c r="T14" s="566">
        <v>3007862.3299999996</v>
      </c>
      <c r="U14" s="566">
        <v>241595.19999999998</v>
      </c>
    </row>
    <row r="15" spans="1:22">
      <c r="A15" s="453">
        <v>2</v>
      </c>
      <c r="B15" s="417" t="s">
        <v>640</v>
      </c>
      <c r="C15" s="567">
        <f>SUM(C16:C21)</f>
        <v>32405550</v>
      </c>
      <c r="D15" s="567">
        <f t="shared" ref="D15:U15" si="1">SUM(D16:D21)</f>
        <v>32405550</v>
      </c>
      <c r="E15" s="567">
        <f t="shared" si="1"/>
        <v>0</v>
      </c>
      <c r="F15" s="567">
        <f t="shared" si="1"/>
        <v>0</v>
      </c>
      <c r="G15" s="567">
        <f t="shared" si="1"/>
        <v>0</v>
      </c>
      <c r="H15" s="567">
        <f t="shared" si="1"/>
        <v>0</v>
      </c>
      <c r="I15" s="567">
        <f t="shared" si="1"/>
        <v>0</v>
      </c>
      <c r="J15" s="567">
        <f t="shared" si="1"/>
        <v>0</v>
      </c>
      <c r="K15" s="567">
        <f t="shared" si="1"/>
        <v>0</v>
      </c>
      <c r="L15" s="567">
        <f t="shared" si="1"/>
        <v>0</v>
      </c>
      <c r="M15" s="567">
        <f t="shared" si="1"/>
        <v>0</v>
      </c>
      <c r="N15" s="567">
        <f t="shared" si="1"/>
        <v>0</v>
      </c>
      <c r="O15" s="567">
        <f t="shared" si="1"/>
        <v>0</v>
      </c>
      <c r="P15" s="567">
        <f t="shared" si="1"/>
        <v>0</v>
      </c>
      <c r="Q15" s="567">
        <f t="shared" si="1"/>
        <v>0</v>
      </c>
      <c r="R15" s="567">
        <f t="shared" si="1"/>
        <v>0</v>
      </c>
      <c r="S15" s="567">
        <f t="shared" si="1"/>
        <v>0</v>
      </c>
      <c r="T15" s="567">
        <f t="shared" si="1"/>
        <v>0</v>
      </c>
      <c r="U15" s="567">
        <f t="shared" si="1"/>
        <v>0</v>
      </c>
    </row>
    <row r="16" spans="1:22">
      <c r="A16" s="412">
        <v>2.1</v>
      </c>
      <c r="B16" s="435" t="s">
        <v>634</v>
      </c>
      <c r="C16" s="571">
        <v>0</v>
      </c>
      <c r="D16" s="566">
        <v>0</v>
      </c>
      <c r="E16" s="566"/>
      <c r="F16" s="566"/>
      <c r="G16" s="566"/>
      <c r="H16" s="566"/>
      <c r="I16" s="566"/>
      <c r="J16" s="566"/>
      <c r="K16" s="566"/>
      <c r="L16" s="566"/>
      <c r="M16" s="566"/>
      <c r="N16" s="566"/>
      <c r="O16" s="566"/>
      <c r="P16" s="566"/>
      <c r="Q16" s="566"/>
      <c r="R16" s="566"/>
      <c r="S16" s="566"/>
      <c r="T16" s="566"/>
      <c r="U16" s="566"/>
    </row>
    <row r="17" spans="1:21">
      <c r="A17" s="412">
        <v>2.2000000000000002</v>
      </c>
      <c r="B17" s="435" t="s">
        <v>635</v>
      </c>
      <c r="C17" s="571">
        <v>29405550</v>
      </c>
      <c r="D17" s="566">
        <v>29405550</v>
      </c>
      <c r="E17" s="566"/>
      <c r="F17" s="566"/>
      <c r="G17" s="566"/>
      <c r="H17" s="566"/>
      <c r="I17" s="566"/>
      <c r="J17" s="566"/>
      <c r="K17" s="566"/>
      <c r="L17" s="566"/>
      <c r="M17" s="566"/>
      <c r="N17" s="566"/>
      <c r="O17" s="566"/>
      <c r="P17" s="566"/>
      <c r="Q17" s="566"/>
      <c r="R17" s="566"/>
      <c r="S17" s="566"/>
      <c r="T17" s="566"/>
      <c r="U17" s="566"/>
    </row>
    <row r="18" spans="1:21">
      <c r="A18" s="412">
        <v>2.2999999999999998</v>
      </c>
      <c r="B18" s="435" t="s">
        <v>636</v>
      </c>
      <c r="C18" s="571"/>
      <c r="D18" s="566"/>
      <c r="E18" s="566"/>
      <c r="F18" s="566"/>
      <c r="G18" s="566"/>
      <c r="H18" s="566"/>
      <c r="I18" s="566"/>
      <c r="J18" s="566"/>
      <c r="K18" s="566"/>
      <c r="L18" s="566"/>
      <c r="M18" s="566"/>
      <c r="N18" s="566"/>
      <c r="O18" s="566"/>
      <c r="P18" s="566"/>
      <c r="Q18" s="566"/>
      <c r="R18" s="566"/>
      <c r="S18" s="566"/>
      <c r="T18" s="566"/>
      <c r="U18" s="566"/>
    </row>
    <row r="19" spans="1:21">
      <c r="A19" s="412">
        <v>2.4</v>
      </c>
      <c r="B19" s="435" t="s">
        <v>637</v>
      </c>
      <c r="C19" s="571"/>
      <c r="D19" s="566"/>
      <c r="E19" s="566"/>
      <c r="F19" s="566"/>
      <c r="G19" s="566"/>
      <c r="H19" s="566"/>
      <c r="I19" s="566"/>
      <c r="J19" s="566"/>
      <c r="K19" s="566"/>
      <c r="L19" s="566"/>
      <c r="M19" s="566"/>
      <c r="N19" s="566"/>
      <c r="O19" s="566"/>
      <c r="P19" s="566"/>
      <c r="Q19" s="566"/>
      <c r="R19" s="566"/>
      <c r="S19" s="566"/>
      <c r="T19" s="566"/>
      <c r="U19" s="566"/>
    </row>
    <row r="20" spans="1:21">
      <c r="A20" s="412">
        <v>2.5</v>
      </c>
      <c r="B20" s="435" t="s">
        <v>638</v>
      </c>
      <c r="C20" s="571">
        <v>3000000</v>
      </c>
      <c r="D20" s="566">
        <v>3000000</v>
      </c>
      <c r="E20" s="566">
        <v>0</v>
      </c>
      <c r="F20" s="566">
        <v>0</v>
      </c>
      <c r="G20" s="566">
        <v>0</v>
      </c>
      <c r="H20" s="566">
        <v>0</v>
      </c>
      <c r="I20" s="566">
        <v>0</v>
      </c>
      <c r="J20" s="566">
        <v>0</v>
      </c>
      <c r="K20" s="566">
        <v>0</v>
      </c>
      <c r="L20" s="566">
        <v>0</v>
      </c>
      <c r="M20" s="566">
        <v>0</v>
      </c>
      <c r="N20" s="566">
        <v>0</v>
      </c>
      <c r="O20" s="566">
        <v>0</v>
      </c>
      <c r="P20" s="566">
        <v>0</v>
      </c>
      <c r="Q20" s="566">
        <v>0</v>
      </c>
      <c r="R20" s="566">
        <v>0</v>
      </c>
      <c r="S20" s="566">
        <v>0</v>
      </c>
      <c r="T20" s="566">
        <v>0</v>
      </c>
      <c r="U20" s="566">
        <v>0</v>
      </c>
    </row>
    <row r="21" spans="1:21">
      <c r="A21" s="412">
        <v>2.6</v>
      </c>
      <c r="B21" s="435" t="s">
        <v>639</v>
      </c>
      <c r="C21" s="571"/>
      <c r="D21" s="566"/>
      <c r="E21" s="566"/>
      <c r="F21" s="566"/>
      <c r="G21" s="566"/>
      <c r="H21" s="566"/>
      <c r="I21" s="566"/>
      <c r="J21" s="566"/>
      <c r="K21" s="566"/>
      <c r="L21" s="566"/>
      <c r="M21" s="566"/>
      <c r="N21" s="566"/>
      <c r="O21" s="566"/>
      <c r="P21" s="566"/>
      <c r="Q21" s="566"/>
      <c r="R21" s="566"/>
      <c r="S21" s="566"/>
      <c r="T21" s="566"/>
      <c r="U21" s="566"/>
    </row>
    <row r="22" spans="1:21">
      <c r="A22" s="453">
        <v>3</v>
      </c>
      <c r="B22" s="417" t="s">
        <v>695</v>
      </c>
      <c r="C22" s="567">
        <f>SUM(C23:C28)</f>
        <v>51269816.723100007</v>
      </c>
      <c r="D22" s="567">
        <f t="shared" ref="D22:U22" si="2">SUM(D23:D28)</f>
        <v>25447499.979999997</v>
      </c>
      <c r="E22" s="639">
        <f t="shared" si="2"/>
        <v>0</v>
      </c>
      <c r="F22" s="639"/>
      <c r="G22" s="567">
        <f t="shared" si="2"/>
        <v>325000</v>
      </c>
      <c r="H22" s="572"/>
      <c r="I22" s="572"/>
      <c r="J22" s="572"/>
      <c r="K22" s="572"/>
      <c r="L22" s="567">
        <f t="shared" si="2"/>
        <v>4119988.0300000003</v>
      </c>
      <c r="M22" s="572"/>
      <c r="N22" s="572"/>
      <c r="O22" s="572"/>
      <c r="P22" s="572"/>
      <c r="Q22" s="572"/>
      <c r="R22" s="572"/>
      <c r="S22" s="572"/>
      <c r="T22" s="572"/>
      <c r="U22" s="566">
        <f t="shared" si="2"/>
        <v>0</v>
      </c>
    </row>
    <row r="23" spans="1:21">
      <c r="A23" s="412">
        <v>3.1</v>
      </c>
      <c r="B23" s="435" t="s">
        <v>634</v>
      </c>
      <c r="C23" s="571"/>
      <c r="D23" s="566"/>
      <c r="E23" s="572"/>
      <c r="F23" s="572"/>
      <c r="G23" s="566"/>
      <c r="H23" s="572"/>
      <c r="I23" s="572"/>
      <c r="J23" s="572"/>
      <c r="K23" s="572"/>
      <c r="L23" s="566"/>
      <c r="M23" s="572"/>
      <c r="N23" s="572"/>
      <c r="O23" s="572"/>
      <c r="P23" s="572"/>
      <c r="Q23" s="572"/>
      <c r="R23" s="572"/>
      <c r="S23" s="572"/>
      <c r="T23" s="572"/>
      <c r="U23" s="566"/>
    </row>
    <row r="24" spans="1:21">
      <c r="A24" s="412">
        <v>3.2</v>
      </c>
      <c r="B24" s="435" t="s">
        <v>635</v>
      </c>
      <c r="C24" s="571"/>
      <c r="D24" s="566"/>
      <c r="E24" s="572"/>
      <c r="F24" s="572"/>
      <c r="G24" s="566"/>
      <c r="H24" s="572"/>
      <c r="I24" s="572"/>
      <c r="J24" s="572"/>
      <c r="K24" s="572"/>
      <c r="L24" s="566"/>
      <c r="M24" s="572"/>
      <c r="N24" s="572"/>
      <c r="O24" s="572"/>
      <c r="P24" s="572"/>
      <c r="Q24" s="572"/>
      <c r="R24" s="572"/>
      <c r="S24" s="572"/>
      <c r="T24" s="572"/>
      <c r="U24" s="566"/>
    </row>
    <row r="25" spans="1:21">
      <c r="A25" s="412">
        <v>3.3</v>
      </c>
      <c r="B25" s="435" t="s">
        <v>636</v>
      </c>
      <c r="C25" s="571"/>
      <c r="D25" s="566"/>
      <c r="E25" s="572"/>
      <c r="F25" s="572"/>
      <c r="G25" s="566"/>
      <c r="H25" s="572"/>
      <c r="I25" s="572"/>
      <c r="J25" s="572"/>
      <c r="K25" s="572"/>
      <c r="L25" s="566"/>
      <c r="M25" s="572"/>
      <c r="N25" s="572"/>
      <c r="O25" s="572"/>
      <c r="P25" s="572"/>
      <c r="Q25" s="572"/>
      <c r="R25" s="572"/>
      <c r="S25" s="572"/>
      <c r="T25" s="572"/>
      <c r="U25" s="566"/>
    </row>
    <row r="26" spans="1:21">
      <c r="A26" s="412">
        <v>3.4</v>
      </c>
      <c r="B26" s="435" t="s">
        <v>637</v>
      </c>
      <c r="C26" s="571">
        <v>621410.67000000004</v>
      </c>
      <c r="D26" s="566">
        <v>524910.67000000004</v>
      </c>
      <c r="E26" s="572"/>
      <c r="F26" s="572"/>
      <c r="G26" s="566">
        <v>0</v>
      </c>
      <c r="H26" s="572"/>
      <c r="I26" s="572"/>
      <c r="J26" s="572"/>
      <c r="K26" s="572"/>
      <c r="L26" s="566">
        <v>0</v>
      </c>
      <c r="M26" s="572"/>
      <c r="N26" s="572"/>
      <c r="O26" s="572"/>
      <c r="P26" s="572"/>
      <c r="Q26" s="572"/>
      <c r="R26" s="572"/>
      <c r="S26" s="572"/>
      <c r="T26" s="572"/>
      <c r="U26" s="566">
        <v>0</v>
      </c>
    </row>
    <row r="27" spans="1:21">
      <c r="A27" s="412">
        <v>3.5</v>
      </c>
      <c r="B27" s="435" t="s">
        <v>638</v>
      </c>
      <c r="C27" s="571">
        <v>48031498.500000007</v>
      </c>
      <c r="D27" s="566">
        <v>24918189.309999995</v>
      </c>
      <c r="E27" s="572"/>
      <c r="F27" s="572"/>
      <c r="G27" s="566">
        <v>325000</v>
      </c>
      <c r="H27" s="572"/>
      <c r="I27" s="572"/>
      <c r="J27" s="572"/>
      <c r="K27" s="572"/>
      <c r="L27" s="566">
        <v>4119988.0300000003</v>
      </c>
      <c r="M27" s="572"/>
      <c r="N27" s="572"/>
      <c r="O27" s="572"/>
      <c r="P27" s="572"/>
      <c r="Q27" s="572"/>
      <c r="R27" s="572"/>
      <c r="S27" s="572"/>
      <c r="T27" s="572"/>
      <c r="U27" s="566">
        <v>0</v>
      </c>
    </row>
    <row r="28" spans="1:21">
      <c r="A28" s="412">
        <v>3.6</v>
      </c>
      <c r="B28" s="435" t="s">
        <v>639</v>
      </c>
      <c r="C28" s="571">
        <v>2616907.5531000011</v>
      </c>
      <c r="D28" s="566">
        <v>4400</v>
      </c>
      <c r="E28" s="572"/>
      <c r="F28" s="572"/>
      <c r="G28" s="566">
        <v>0</v>
      </c>
      <c r="H28" s="572"/>
      <c r="I28" s="572"/>
      <c r="J28" s="572"/>
      <c r="K28" s="572"/>
      <c r="L28" s="566">
        <v>0</v>
      </c>
      <c r="M28" s="572"/>
      <c r="N28" s="572"/>
      <c r="O28" s="572"/>
      <c r="P28" s="572"/>
      <c r="Q28" s="572"/>
      <c r="R28" s="572"/>
      <c r="S28" s="572"/>
      <c r="T28" s="572"/>
      <c r="U28" s="566">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heetViews>
  <sheetFormatPr defaultColWidth="9.28515625" defaultRowHeight="12.75"/>
  <cols>
    <col min="1" max="1" width="11.7109375" style="415" bestFit="1" customWidth="1"/>
    <col min="2" max="2" width="90.28515625" style="415" bestFit="1" customWidth="1"/>
    <col min="3" max="3" width="19.7109375" style="415" customWidth="1"/>
    <col min="4" max="4" width="21.140625" style="415" customWidth="1"/>
    <col min="5" max="5" width="17.140625" style="415" customWidth="1"/>
    <col min="6" max="6" width="22.28515625" style="415" customWidth="1"/>
    <col min="7" max="7" width="19.28515625" style="415" customWidth="1"/>
    <col min="8" max="8" width="17.140625" style="415" customWidth="1"/>
    <col min="9" max="14" width="22.28515625" style="415" customWidth="1"/>
    <col min="15" max="15" width="23" style="415" customWidth="1"/>
    <col min="16" max="16" width="21.7109375" style="415" bestFit="1" customWidth="1"/>
    <col min="17" max="19" width="19" style="415" bestFit="1" customWidth="1"/>
    <col min="20" max="20" width="14.7109375" style="415" customWidth="1"/>
    <col min="21" max="21" width="20" style="415" customWidth="1"/>
    <col min="22" max="16384" width="9.28515625" style="415"/>
  </cols>
  <sheetData>
    <row r="1" spans="1:21">
      <c r="A1" s="407" t="s">
        <v>30</v>
      </c>
      <c r="B1" s="415" t="str">
        <f>'1. key ratios '!B1</f>
        <v>JSC CARTU BANK</v>
      </c>
    </row>
    <row r="2" spans="1:21" ht="13.5">
      <c r="A2" s="407" t="s">
        <v>31</v>
      </c>
      <c r="B2" s="371">
        <f>'1. key ratios '!B2</f>
        <v>44651</v>
      </c>
      <c r="C2" s="371"/>
    </row>
    <row r="3" spans="1:21">
      <c r="A3" s="408" t="s">
        <v>642</v>
      </c>
    </row>
    <row r="5" spans="1:21" ht="13.5" customHeight="1">
      <c r="A5" s="721" t="s">
        <v>643</v>
      </c>
      <c r="B5" s="722"/>
      <c r="C5" s="730" t="s">
        <v>644</v>
      </c>
      <c r="D5" s="731"/>
      <c r="E5" s="731"/>
      <c r="F5" s="731"/>
      <c r="G5" s="731"/>
      <c r="H5" s="731"/>
      <c r="I5" s="731"/>
      <c r="J5" s="731"/>
      <c r="K5" s="731"/>
      <c r="L5" s="731"/>
      <c r="M5" s="731"/>
      <c r="N5" s="731"/>
      <c r="O5" s="731"/>
      <c r="P5" s="731"/>
      <c r="Q5" s="731"/>
      <c r="R5" s="731"/>
      <c r="S5" s="731"/>
      <c r="T5" s="732"/>
      <c r="U5" s="450"/>
    </row>
    <row r="6" spans="1:21">
      <c r="A6" s="723"/>
      <c r="B6" s="724"/>
      <c r="C6" s="714" t="s">
        <v>109</v>
      </c>
      <c r="D6" s="727" t="s">
        <v>645</v>
      </c>
      <c r="E6" s="727"/>
      <c r="F6" s="728"/>
      <c r="G6" s="729" t="s">
        <v>646</v>
      </c>
      <c r="H6" s="727"/>
      <c r="I6" s="727"/>
      <c r="J6" s="727"/>
      <c r="K6" s="728"/>
      <c r="L6" s="717" t="s">
        <v>647</v>
      </c>
      <c r="M6" s="718"/>
      <c r="N6" s="718"/>
      <c r="O6" s="718"/>
      <c r="P6" s="718"/>
      <c r="Q6" s="718"/>
      <c r="R6" s="718"/>
      <c r="S6" s="718"/>
      <c r="T6" s="719"/>
      <c r="U6" s="439"/>
    </row>
    <row r="7" spans="1:21">
      <c r="A7" s="725"/>
      <c r="B7" s="726"/>
      <c r="C7" s="715"/>
      <c r="E7" s="433" t="s">
        <v>620</v>
      </c>
      <c r="F7" s="444" t="s">
        <v>621</v>
      </c>
      <c r="H7" s="433" t="s">
        <v>620</v>
      </c>
      <c r="I7" s="444" t="s">
        <v>622</v>
      </c>
      <c r="J7" s="444" t="s">
        <v>623</v>
      </c>
      <c r="K7" s="444" t="s">
        <v>624</v>
      </c>
      <c r="L7" s="454"/>
      <c r="M7" s="433" t="s">
        <v>625</v>
      </c>
      <c r="N7" s="444" t="s">
        <v>623</v>
      </c>
      <c r="O7" s="444" t="s">
        <v>626</v>
      </c>
      <c r="P7" s="444" t="s">
        <v>627</v>
      </c>
      <c r="Q7" s="444" t="s">
        <v>628</v>
      </c>
      <c r="R7" s="444" t="s">
        <v>629</v>
      </c>
      <c r="S7" s="444" t="s">
        <v>630</v>
      </c>
      <c r="T7" s="452" t="s">
        <v>631</v>
      </c>
      <c r="U7" s="450"/>
    </row>
    <row r="8" spans="1:21">
      <c r="A8" s="454">
        <v>1</v>
      </c>
      <c r="B8" s="449" t="s">
        <v>633</v>
      </c>
      <c r="C8" s="573">
        <v>965150943.16720235</v>
      </c>
      <c r="D8" s="566">
        <v>583449394.35330105</v>
      </c>
      <c r="E8" s="566">
        <v>1840701.5499999998</v>
      </c>
      <c r="F8" s="566">
        <v>86468.23699999995</v>
      </c>
      <c r="G8" s="566">
        <v>58615078.840000018</v>
      </c>
      <c r="H8" s="566">
        <v>3572596.31</v>
      </c>
      <c r="I8" s="566">
        <v>6337428.0499999998</v>
      </c>
      <c r="J8" s="566">
        <v>3271250.9800000004</v>
      </c>
      <c r="K8" s="566">
        <v>0</v>
      </c>
      <c r="L8" s="566">
        <v>323086469.97390008</v>
      </c>
      <c r="M8" s="566">
        <v>27655150.620000001</v>
      </c>
      <c r="N8" s="566">
        <v>105777.87</v>
      </c>
      <c r="O8" s="566">
        <v>2504972.3400000003</v>
      </c>
      <c r="P8" s="566">
        <v>17435028.899999999</v>
      </c>
      <c r="Q8" s="566">
        <v>35692974.709999993</v>
      </c>
      <c r="R8" s="566">
        <v>86557741.383899972</v>
      </c>
      <c r="S8" s="566">
        <v>13957869.300000001</v>
      </c>
      <c r="T8" s="566">
        <v>25185606.049999993</v>
      </c>
    </row>
    <row r="9" spans="1:21">
      <c r="A9" s="435">
        <v>1.1000000000000001</v>
      </c>
      <c r="B9" s="435" t="s">
        <v>648</v>
      </c>
      <c r="C9" s="571">
        <v>924334565.06590021</v>
      </c>
      <c r="D9" s="566">
        <v>542686165.06590104</v>
      </c>
      <c r="E9" s="566">
        <v>1840137.72</v>
      </c>
      <c r="F9" s="566">
        <v>0</v>
      </c>
      <c r="G9" s="566">
        <v>58591459.38000001</v>
      </c>
      <c r="H9" s="566">
        <v>3572596.31</v>
      </c>
      <c r="I9" s="566">
        <v>6337428.0499999998</v>
      </c>
      <c r="J9" s="566">
        <v>3271250.9800000004</v>
      </c>
      <c r="K9" s="566">
        <v>0</v>
      </c>
      <c r="L9" s="566">
        <v>323056940.62000006</v>
      </c>
      <c r="M9" s="566">
        <v>27654802.920000002</v>
      </c>
      <c r="N9" s="566">
        <v>105777.87</v>
      </c>
      <c r="O9" s="566">
        <v>2503366.7600000002</v>
      </c>
      <c r="P9" s="566">
        <v>17430928.899999999</v>
      </c>
      <c r="Q9" s="566">
        <v>35685058.809999995</v>
      </c>
      <c r="R9" s="566">
        <v>86555750.379999965</v>
      </c>
      <c r="S9" s="566">
        <v>13957869.300000001</v>
      </c>
      <c r="T9" s="566">
        <v>25185606.049999993</v>
      </c>
    </row>
    <row r="10" spans="1:21">
      <c r="A10" s="455" t="s">
        <v>14</v>
      </c>
      <c r="B10" s="455" t="s">
        <v>649</v>
      </c>
      <c r="C10" s="574">
        <v>874468687.91589999</v>
      </c>
      <c r="D10" s="566">
        <v>502273529.3359006</v>
      </c>
      <c r="E10" s="566">
        <v>1840137.72</v>
      </c>
      <c r="F10" s="566">
        <v>0</v>
      </c>
      <c r="G10" s="566">
        <v>58584441.470000014</v>
      </c>
      <c r="H10" s="566">
        <v>3572596.31</v>
      </c>
      <c r="I10" s="566">
        <v>6337428.0499999998</v>
      </c>
      <c r="J10" s="566">
        <v>3271250.9800000004</v>
      </c>
      <c r="K10" s="566">
        <v>0</v>
      </c>
      <c r="L10" s="566">
        <v>313610717.10999995</v>
      </c>
      <c r="M10" s="566">
        <v>27615402.920000002</v>
      </c>
      <c r="N10" s="566">
        <v>105777.87</v>
      </c>
      <c r="O10" s="566">
        <v>2503366.7600000002</v>
      </c>
      <c r="P10" s="566">
        <v>17204151.300000001</v>
      </c>
      <c r="Q10" s="566">
        <v>35685058.809999995</v>
      </c>
      <c r="R10" s="566">
        <v>84256057.49999997</v>
      </c>
      <c r="S10" s="566">
        <v>13909248.77</v>
      </c>
      <c r="T10" s="566">
        <v>25112445.609999992</v>
      </c>
    </row>
    <row r="11" spans="1:21">
      <c r="A11" s="425" t="s">
        <v>650</v>
      </c>
      <c r="B11" s="425" t="s">
        <v>651</v>
      </c>
      <c r="C11" s="575">
        <v>534805395.55000037</v>
      </c>
      <c r="D11" s="566">
        <v>365144908.53000009</v>
      </c>
      <c r="E11" s="566">
        <v>1129940.02</v>
      </c>
      <c r="F11" s="566">
        <v>0</v>
      </c>
      <c r="G11" s="566">
        <v>57726937.570000008</v>
      </c>
      <c r="H11" s="566">
        <v>3572596.31</v>
      </c>
      <c r="I11" s="566">
        <v>6182507.8499999996</v>
      </c>
      <c r="J11" s="566">
        <v>3271250.9800000004</v>
      </c>
      <c r="K11" s="566">
        <v>0</v>
      </c>
      <c r="L11" s="566">
        <v>111933549.44999994</v>
      </c>
      <c r="M11" s="566">
        <v>940236.19</v>
      </c>
      <c r="N11" s="566">
        <v>0</v>
      </c>
      <c r="O11" s="566">
        <v>2503366.7600000002</v>
      </c>
      <c r="P11" s="566">
        <v>7023723.4399999995</v>
      </c>
      <c r="Q11" s="566">
        <v>10683838.34</v>
      </c>
      <c r="R11" s="566">
        <v>43651635.979999997</v>
      </c>
      <c r="S11" s="566">
        <v>5664392.3800000008</v>
      </c>
      <c r="T11" s="566">
        <v>20911679.119999994</v>
      </c>
    </row>
    <row r="12" spans="1:21">
      <c r="A12" s="425" t="s">
        <v>652</v>
      </c>
      <c r="B12" s="425" t="s">
        <v>653</v>
      </c>
      <c r="C12" s="575">
        <v>102817486.78999998</v>
      </c>
      <c r="D12" s="566">
        <v>40260923.780000001</v>
      </c>
      <c r="E12" s="566">
        <v>0</v>
      </c>
      <c r="F12" s="566">
        <v>0</v>
      </c>
      <c r="G12" s="566">
        <v>686685.72</v>
      </c>
      <c r="H12" s="566">
        <v>0</v>
      </c>
      <c r="I12" s="566">
        <v>0</v>
      </c>
      <c r="J12" s="566">
        <v>0</v>
      </c>
      <c r="K12" s="566">
        <v>0</v>
      </c>
      <c r="L12" s="566">
        <v>61869877.290000014</v>
      </c>
      <c r="M12" s="566">
        <v>7303170.5199999996</v>
      </c>
      <c r="N12" s="566">
        <v>0</v>
      </c>
      <c r="O12" s="566">
        <v>0</v>
      </c>
      <c r="P12" s="566">
        <v>0</v>
      </c>
      <c r="Q12" s="566">
        <v>0</v>
      </c>
      <c r="R12" s="566">
        <v>15897054.26</v>
      </c>
      <c r="S12" s="566">
        <v>0</v>
      </c>
      <c r="T12" s="566">
        <v>0</v>
      </c>
    </row>
    <row r="13" spans="1:21">
      <c r="A13" s="425" t="s">
        <v>654</v>
      </c>
      <c r="B13" s="425" t="s">
        <v>655</v>
      </c>
      <c r="C13" s="575">
        <v>57166655.630000018</v>
      </c>
      <c r="D13" s="566">
        <v>27729681.509999998</v>
      </c>
      <c r="E13" s="566">
        <v>0</v>
      </c>
      <c r="F13" s="566">
        <v>0</v>
      </c>
      <c r="G13" s="566">
        <v>155789.62000000002</v>
      </c>
      <c r="H13" s="566">
        <v>0</v>
      </c>
      <c r="I13" s="566">
        <v>154920.20000000001</v>
      </c>
      <c r="J13" s="566">
        <v>0</v>
      </c>
      <c r="K13" s="566">
        <v>0</v>
      </c>
      <c r="L13" s="566">
        <v>29281184.499999996</v>
      </c>
      <c r="M13" s="566">
        <v>0</v>
      </c>
      <c r="N13" s="566">
        <v>0</v>
      </c>
      <c r="O13" s="566">
        <v>0</v>
      </c>
      <c r="P13" s="566">
        <v>0</v>
      </c>
      <c r="Q13" s="566">
        <v>503892.37</v>
      </c>
      <c r="R13" s="566">
        <v>1116468</v>
      </c>
      <c r="S13" s="566">
        <v>2214526.7499999995</v>
      </c>
      <c r="T13" s="566">
        <v>2934701.8899999997</v>
      </c>
    </row>
    <row r="14" spans="1:21">
      <c r="A14" s="425" t="s">
        <v>656</v>
      </c>
      <c r="B14" s="425" t="s">
        <v>657</v>
      </c>
      <c r="C14" s="575">
        <v>179679149.94589999</v>
      </c>
      <c r="D14" s="566">
        <v>69138015.515900031</v>
      </c>
      <c r="E14" s="566">
        <v>710197.7</v>
      </c>
      <c r="F14" s="566">
        <v>0</v>
      </c>
      <c r="G14" s="566">
        <v>15028.56</v>
      </c>
      <c r="H14" s="566">
        <v>0</v>
      </c>
      <c r="I14" s="566">
        <v>0</v>
      </c>
      <c r="J14" s="566">
        <v>0</v>
      </c>
      <c r="K14" s="566">
        <v>0</v>
      </c>
      <c r="L14" s="566">
        <v>110526105.87000002</v>
      </c>
      <c r="M14" s="566">
        <v>19371996.210000001</v>
      </c>
      <c r="N14" s="566">
        <v>105777.87</v>
      </c>
      <c r="O14" s="566">
        <v>0</v>
      </c>
      <c r="P14" s="566">
        <v>10180427.859999999</v>
      </c>
      <c r="Q14" s="566">
        <v>24497328.100000001</v>
      </c>
      <c r="R14" s="566">
        <v>23590899.259999998</v>
      </c>
      <c r="S14" s="566">
        <v>6030329.6399999997</v>
      </c>
      <c r="T14" s="566">
        <v>1266064.6000000001</v>
      </c>
    </row>
    <row r="15" spans="1:21">
      <c r="A15" s="426">
        <v>1.2</v>
      </c>
      <c r="B15" s="426" t="s">
        <v>658</v>
      </c>
      <c r="C15" s="571">
        <v>161196365.69343206</v>
      </c>
      <c r="D15" s="566">
        <v>10836722.570379993</v>
      </c>
      <c r="E15" s="566">
        <v>36802.754323999994</v>
      </c>
      <c r="F15" s="566">
        <v>0</v>
      </c>
      <c r="G15" s="566">
        <v>5859145.9398229998</v>
      </c>
      <c r="H15" s="566">
        <v>357259.631154</v>
      </c>
      <c r="I15" s="566">
        <v>633742.80532400007</v>
      </c>
      <c r="J15" s="566">
        <v>327125.09831000003</v>
      </c>
      <c r="K15" s="566">
        <v>0</v>
      </c>
      <c r="L15" s="566">
        <v>144500497.18322918</v>
      </c>
      <c r="M15" s="566">
        <v>11958585.144929001</v>
      </c>
      <c r="N15" s="566">
        <v>31733.361000000001</v>
      </c>
      <c r="O15" s="566">
        <v>751010.0287749999</v>
      </c>
      <c r="P15" s="566">
        <v>9759950.7867109962</v>
      </c>
      <c r="Q15" s="566">
        <v>15082278.499768</v>
      </c>
      <c r="R15" s="566">
        <v>43718674.870626017</v>
      </c>
      <c r="S15" s="566">
        <v>7526619.6500409991</v>
      </c>
      <c r="T15" s="566">
        <v>12455657.977437001</v>
      </c>
    </row>
    <row r="16" spans="1:21">
      <c r="A16" s="435">
        <v>1.3</v>
      </c>
      <c r="B16" s="426" t="s">
        <v>706</v>
      </c>
      <c r="C16" s="576"/>
      <c r="D16" s="576"/>
      <c r="E16" s="576"/>
      <c r="F16" s="576"/>
      <c r="G16" s="576"/>
      <c r="H16" s="576"/>
      <c r="I16" s="576"/>
      <c r="J16" s="576"/>
      <c r="K16" s="576"/>
      <c r="L16" s="576"/>
      <c r="M16" s="576"/>
      <c r="N16" s="576"/>
      <c r="O16" s="576"/>
      <c r="P16" s="576"/>
      <c r="Q16" s="576"/>
      <c r="R16" s="576"/>
      <c r="S16" s="576"/>
      <c r="T16" s="576"/>
    </row>
    <row r="17" spans="1:20">
      <c r="A17" s="429" t="s">
        <v>659</v>
      </c>
      <c r="B17" s="427" t="s">
        <v>660</v>
      </c>
      <c r="C17" s="577">
        <v>848791753.30437624</v>
      </c>
      <c r="D17" s="566">
        <v>494870300.29630774</v>
      </c>
      <c r="E17" s="566">
        <v>1657350.6247606927</v>
      </c>
      <c r="F17" s="566">
        <v>0</v>
      </c>
      <c r="G17" s="566">
        <v>58591459.38000001</v>
      </c>
      <c r="H17" s="566">
        <v>3572596.31</v>
      </c>
      <c r="I17" s="566">
        <v>6337428.0499999998</v>
      </c>
      <c r="J17" s="566">
        <v>3271250.9800000004</v>
      </c>
      <c r="K17" s="566">
        <v>0</v>
      </c>
      <c r="L17" s="566">
        <v>295329993.62806904</v>
      </c>
      <c r="M17" s="566">
        <v>27361894.281643741</v>
      </c>
      <c r="N17" s="566">
        <v>64682.375793873965</v>
      </c>
      <c r="O17" s="566">
        <v>2503366.7600000002</v>
      </c>
      <c r="P17" s="566">
        <v>15598376.917890269</v>
      </c>
      <c r="Q17" s="566">
        <v>29972449.815796696</v>
      </c>
      <c r="R17" s="566">
        <v>81747176.103991613</v>
      </c>
      <c r="S17" s="566">
        <v>7927539.6910130009</v>
      </c>
      <c r="T17" s="566">
        <v>24699518.399999991</v>
      </c>
    </row>
    <row r="18" spans="1:20">
      <c r="A18" s="428" t="s">
        <v>661</v>
      </c>
      <c r="B18" s="428" t="s">
        <v>662</v>
      </c>
      <c r="C18" s="578">
        <v>748599909.95664668</v>
      </c>
      <c r="D18" s="566">
        <v>422772118.66854852</v>
      </c>
      <c r="E18" s="566">
        <v>1307117.3209493307</v>
      </c>
      <c r="F18" s="566">
        <v>0</v>
      </c>
      <c r="G18" s="566">
        <v>58584441.470000014</v>
      </c>
      <c r="H18" s="566">
        <v>3572596.31</v>
      </c>
      <c r="I18" s="566">
        <v>6337428.0499999998</v>
      </c>
      <c r="J18" s="566">
        <v>3271250.9800000004</v>
      </c>
      <c r="K18" s="566">
        <v>0</v>
      </c>
      <c r="L18" s="566">
        <v>267243349.81809819</v>
      </c>
      <c r="M18" s="566">
        <v>25496586.184829846</v>
      </c>
      <c r="N18" s="566">
        <v>64682.375793873965</v>
      </c>
      <c r="O18" s="566">
        <v>2503366.7600000002</v>
      </c>
      <c r="P18" s="566">
        <v>10882003.242745519</v>
      </c>
      <c r="Q18" s="566">
        <v>26766480.777523994</v>
      </c>
      <c r="R18" s="566">
        <v>69906601.9991007</v>
      </c>
      <c r="S18" s="566">
        <v>7878919.1610130006</v>
      </c>
      <c r="T18" s="566">
        <v>24277461.70999999</v>
      </c>
    </row>
    <row r="19" spans="1:20">
      <c r="A19" s="429" t="s">
        <v>663</v>
      </c>
      <c r="B19" s="429" t="s">
        <v>664</v>
      </c>
      <c r="C19" s="579">
        <v>1204540860.7773435</v>
      </c>
      <c r="D19" s="566">
        <v>878277825.82491946</v>
      </c>
      <c r="E19" s="566">
        <v>1562438.0267321074</v>
      </c>
      <c r="F19" s="566">
        <v>0</v>
      </c>
      <c r="G19" s="566">
        <v>99395980.431469038</v>
      </c>
      <c r="H19" s="566">
        <v>3087375.1724033002</v>
      </c>
      <c r="I19" s="566">
        <v>4640404.6317293579</v>
      </c>
      <c r="J19" s="566">
        <v>5580807.4280000003</v>
      </c>
      <c r="K19" s="566">
        <v>0</v>
      </c>
      <c r="L19" s="566">
        <v>226867054.52095124</v>
      </c>
      <c r="M19" s="566">
        <v>19990911.421150096</v>
      </c>
      <c r="N19" s="566">
        <v>31600.765461118142</v>
      </c>
      <c r="O19" s="566">
        <v>4346958.0096966177</v>
      </c>
      <c r="P19" s="566">
        <v>9694563.2429387625</v>
      </c>
      <c r="Q19" s="566">
        <v>17462943.538669378</v>
      </c>
      <c r="R19" s="566">
        <v>65264844.428136505</v>
      </c>
      <c r="S19" s="566">
        <v>9361056.1561686713</v>
      </c>
      <c r="T19" s="566">
        <v>29429337.983673435</v>
      </c>
    </row>
    <row r="20" spans="1:20">
      <c r="A20" s="428" t="s">
        <v>665</v>
      </c>
      <c r="B20" s="428" t="s">
        <v>662</v>
      </c>
      <c r="C20" s="578">
        <v>800182702.11183298</v>
      </c>
      <c r="D20" s="566">
        <v>533300761.3181231</v>
      </c>
      <c r="E20" s="566">
        <v>1166009.6452957462</v>
      </c>
      <c r="F20" s="566">
        <v>0</v>
      </c>
      <c r="G20" s="566">
        <v>69640767.476867646</v>
      </c>
      <c r="H20" s="566">
        <v>1269865.2798880194</v>
      </c>
      <c r="I20" s="566">
        <v>796213.25352898357</v>
      </c>
      <c r="J20" s="566">
        <v>2445685.44</v>
      </c>
      <c r="K20" s="566">
        <v>0</v>
      </c>
      <c r="L20" s="566">
        <v>197241173.316843</v>
      </c>
      <c r="M20" s="566">
        <v>18301668.250857525</v>
      </c>
      <c r="N20" s="566">
        <v>30096.454657197042</v>
      </c>
      <c r="O20" s="566">
        <v>4073666.1620765384</v>
      </c>
      <c r="P20" s="566">
        <v>7480153.0480368063</v>
      </c>
      <c r="Q20" s="566">
        <v>16750361.026222723</v>
      </c>
      <c r="R20" s="566">
        <v>54655805.113322191</v>
      </c>
      <c r="S20" s="566">
        <v>8953491.7316116877</v>
      </c>
      <c r="T20" s="566">
        <v>27248071.564910851</v>
      </c>
    </row>
    <row r="21" spans="1:20">
      <c r="A21" s="430">
        <v>1.4</v>
      </c>
      <c r="B21" s="431" t="s">
        <v>666</v>
      </c>
      <c r="C21" s="580">
        <v>11460395.299288001</v>
      </c>
      <c r="D21" s="566">
        <v>6308467.1949999994</v>
      </c>
      <c r="E21" s="566">
        <v>0</v>
      </c>
      <c r="F21" s="566">
        <v>0</v>
      </c>
      <c r="G21" s="566">
        <v>1558844.1786880002</v>
      </c>
      <c r="H21" s="566">
        <v>0</v>
      </c>
      <c r="I21" s="566">
        <v>0</v>
      </c>
      <c r="J21" s="566">
        <v>403681.54999999993</v>
      </c>
      <c r="K21" s="566">
        <v>0</v>
      </c>
      <c r="L21" s="566">
        <v>3593083.9256000002</v>
      </c>
      <c r="M21" s="566">
        <v>0</v>
      </c>
      <c r="N21" s="566">
        <v>0</v>
      </c>
      <c r="O21" s="566">
        <v>0</v>
      </c>
      <c r="P21" s="566">
        <v>0</v>
      </c>
      <c r="Q21" s="566">
        <v>0</v>
      </c>
      <c r="R21" s="566">
        <v>982141.39309999999</v>
      </c>
      <c r="S21" s="566">
        <v>2478639.9175</v>
      </c>
      <c r="T21" s="566">
        <v>0</v>
      </c>
    </row>
    <row r="22" spans="1:20">
      <c r="A22" s="430">
        <v>1.5</v>
      </c>
      <c r="B22" s="431" t="s">
        <v>667</v>
      </c>
      <c r="C22" s="580">
        <v>0</v>
      </c>
      <c r="D22" s="566">
        <v>0</v>
      </c>
      <c r="E22" s="566">
        <v>0</v>
      </c>
      <c r="F22" s="566">
        <v>0</v>
      </c>
      <c r="G22" s="566">
        <v>0</v>
      </c>
      <c r="H22" s="566">
        <v>0</v>
      </c>
      <c r="I22" s="566">
        <v>0</v>
      </c>
      <c r="J22" s="566">
        <v>0</v>
      </c>
      <c r="K22" s="566">
        <v>0</v>
      </c>
      <c r="L22" s="566">
        <v>0</v>
      </c>
      <c r="M22" s="566">
        <v>0</v>
      </c>
      <c r="N22" s="566">
        <v>0</v>
      </c>
      <c r="O22" s="566">
        <v>0</v>
      </c>
      <c r="P22" s="566">
        <v>0</v>
      </c>
      <c r="Q22" s="566">
        <v>0</v>
      </c>
      <c r="R22" s="566">
        <v>0</v>
      </c>
      <c r="S22" s="566">
        <v>0</v>
      </c>
      <c r="T22" s="566">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115" zoomScaleNormal="115" workbookViewId="0"/>
  </sheetViews>
  <sheetFormatPr defaultColWidth="9.28515625" defaultRowHeight="12.75"/>
  <cols>
    <col min="1" max="1" width="11.7109375" style="415" bestFit="1" customWidth="1"/>
    <col min="2" max="2" width="93.42578125" style="415" customWidth="1"/>
    <col min="3" max="3" width="14.7109375" style="415" customWidth="1"/>
    <col min="4" max="5" width="11.42578125" style="415" customWidth="1"/>
    <col min="6" max="7" width="11.42578125" style="450" customWidth="1"/>
    <col min="8" max="9" width="11.42578125" style="415" customWidth="1"/>
    <col min="10" max="14" width="11.42578125" style="450" customWidth="1"/>
    <col min="15" max="15" width="18.7109375" style="415" bestFit="1" customWidth="1"/>
    <col min="16" max="16384" width="9.28515625" style="415"/>
  </cols>
  <sheetData>
    <row r="1" spans="1:15">
      <c r="A1" s="407" t="s">
        <v>30</v>
      </c>
      <c r="B1" s="415" t="str">
        <f>'1. key ratios '!B1</f>
        <v>JSC CARTU BANK</v>
      </c>
      <c r="F1" s="415"/>
      <c r="G1" s="415"/>
      <c r="J1" s="415"/>
      <c r="K1" s="415"/>
      <c r="L1" s="415"/>
      <c r="M1" s="415"/>
      <c r="N1" s="415"/>
    </row>
    <row r="2" spans="1:15" ht="13.5">
      <c r="A2" s="407" t="s">
        <v>31</v>
      </c>
      <c r="B2" s="371">
        <f>'1. key ratios '!B2</f>
        <v>44651</v>
      </c>
      <c r="F2" s="415"/>
      <c r="G2" s="415"/>
      <c r="J2" s="415"/>
      <c r="K2" s="415"/>
      <c r="L2" s="415"/>
      <c r="M2" s="415"/>
      <c r="N2" s="415"/>
    </row>
    <row r="3" spans="1:15">
      <c r="A3" s="408" t="s">
        <v>668</v>
      </c>
      <c r="F3" s="415"/>
      <c r="G3" s="415"/>
      <c r="J3" s="415"/>
      <c r="K3" s="415"/>
      <c r="L3" s="415"/>
      <c r="M3" s="415"/>
      <c r="N3" s="415"/>
    </row>
    <row r="4" spans="1:15">
      <c r="F4" s="415"/>
      <c r="G4" s="415"/>
      <c r="J4" s="415"/>
      <c r="K4" s="415"/>
      <c r="L4" s="415"/>
      <c r="M4" s="415"/>
      <c r="N4" s="415"/>
    </row>
    <row r="5" spans="1:15" ht="46.5" customHeight="1">
      <c r="A5" s="688" t="s">
        <v>694</v>
      </c>
      <c r="B5" s="689"/>
      <c r="C5" s="733" t="s">
        <v>669</v>
      </c>
      <c r="D5" s="734"/>
      <c r="E5" s="734"/>
      <c r="F5" s="734"/>
      <c r="G5" s="734"/>
      <c r="H5" s="735"/>
      <c r="I5" s="733" t="s">
        <v>670</v>
      </c>
      <c r="J5" s="736"/>
      <c r="K5" s="736"/>
      <c r="L5" s="736"/>
      <c r="M5" s="736"/>
      <c r="N5" s="737"/>
      <c r="O5" s="738" t="s">
        <v>671</v>
      </c>
    </row>
    <row r="6" spans="1:15" ht="75" customHeight="1">
      <c r="A6" s="692"/>
      <c r="B6" s="693"/>
      <c r="C6" s="432"/>
      <c r="D6" s="433" t="s">
        <v>672</v>
      </c>
      <c r="E6" s="433" t="s">
        <v>673</v>
      </c>
      <c r="F6" s="433" t="s">
        <v>674</v>
      </c>
      <c r="G6" s="433" t="s">
        <v>675</v>
      </c>
      <c r="H6" s="433" t="s">
        <v>676</v>
      </c>
      <c r="I6" s="438"/>
      <c r="J6" s="433" t="s">
        <v>672</v>
      </c>
      <c r="K6" s="433" t="s">
        <v>673</v>
      </c>
      <c r="L6" s="433" t="s">
        <v>674</v>
      </c>
      <c r="M6" s="433" t="s">
        <v>675</v>
      </c>
      <c r="N6" s="433" t="s">
        <v>676</v>
      </c>
      <c r="O6" s="739"/>
    </row>
    <row r="7" spans="1:15">
      <c r="A7" s="412">
        <v>1</v>
      </c>
      <c r="B7" s="416" t="s">
        <v>697</v>
      </c>
      <c r="C7" s="581">
        <v>10289892.59</v>
      </c>
      <c r="D7" s="566">
        <v>9942417.3899999969</v>
      </c>
      <c r="E7" s="566">
        <v>18276.349999999999</v>
      </c>
      <c r="F7" s="582">
        <v>328355.04000000004</v>
      </c>
      <c r="G7" s="582">
        <v>0</v>
      </c>
      <c r="H7" s="566">
        <v>843.81</v>
      </c>
      <c r="I7" s="566">
        <v>300026.30439599999</v>
      </c>
      <c r="J7" s="582">
        <v>198848.34772299998</v>
      </c>
      <c r="K7" s="582">
        <v>1827.6350000000002</v>
      </c>
      <c r="L7" s="582">
        <v>98506.511672999986</v>
      </c>
      <c r="M7" s="582">
        <v>0</v>
      </c>
      <c r="N7" s="582">
        <v>843.81</v>
      </c>
      <c r="O7" s="566">
        <v>0</v>
      </c>
    </row>
    <row r="8" spans="1:15">
      <c r="A8" s="412">
        <v>2</v>
      </c>
      <c r="B8" s="416" t="s">
        <v>567</v>
      </c>
      <c r="C8" s="581">
        <v>8819968.1750999968</v>
      </c>
      <c r="D8" s="566">
        <v>8360732.2650999986</v>
      </c>
      <c r="E8" s="566">
        <v>125994.04</v>
      </c>
      <c r="F8" s="582">
        <v>333241.87</v>
      </c>
      <c r="G8" s="582">
        <v>0</v>
      </c>
      <c r="H8" s="566">
        <v>0</v>
      </c>
      <c r="I8" s="566">
        <v>279740.50386299996</v>
      </c>
      <c r="J8" s="582">
        <v>167168.53819400008</v>
      </c>
      <c r="K8" s="582">
        <v>12599.403566000001</v>
      </c>
      <c r="L8" s="582">
        <v>99972.562102999989</v>
      </c>
      <c r="M8" s="582">
        <v>0</v>
      </c>
      <c r="N8" s="582">
        <v>0</v>
      </c>
      <c r="O8" s="566">
        <v>0</v>
      </c>
    </row>
    <row r="9" spans="1:15">
      <c r="A9" s="412">
        <v>3</v>
      </c>
      <c r="B9" s="416" t="s">
        <v>568</v>
      </c>
      <c r="C9" s="581">
        <v>0</v>
      </c>
      <c r="D9" s="566">
        <v>0</v>
      </c>
      <c r="E9" s="566">
        <v>0</v>
      </c>
      <c r="F9" s="583">
        <v>0</v>
      </c>
      <c r="G9" s="583">
        <v>0</v>
      </c>
      <c r="H9" s="566">
        <v>0</v>
      </c>
      <c r="I9" s="566">
        <v>0</v>
      </c>
      <c r="J9" s="583">
        <v>0</v>
      </c>
      <c r="K9" s="583">
        <v>0</v>
      </c>
      <c r="L9" s="583">
        <v>0</v>
      </c>
      <c r="M9" s="583">
        <v>0</v>
      </c>
      <c r="N9" s="583">
        <v>0</v>
      </c>
      <c r="O9" s="566">
        <v>0</v>
      </c>
    </row>
    <row r="10" spans="1:15">
      <c r="A10" s="412">
        <v>4</v>
      </c>
      <c r="B10" s="416" t="s">
        <v>698</v>
      </c>
      <c r="C10" s="581">
        <v>83616756.980000019</v>
      </c>
      <c r="D10" s="566">
        <v>38030620.400000021</v>
      </c>
      <c r="E10" s="566">
        <v>1225702.24</v>
      </c>
      <c r="F10" s="583">
        <v>25003674.879999995</v>
      </c>
      <c r="G10" s="583">
        <v>19356759.459999997</v>
      </c>
      <c r="H10" s="566">
        <v>0</v>
      </c>
      <c r="I10" s="566">
        <v>17957700.289733004</v>
      </c>
      <c r="J10" s="583">
        <v>760612.40820499999</v>
      </c>
      <c r="K10" s="583">
        <v>122570.224</v>
      </c>
      <c r="L10" s="583">
        <v>7501102.464373</v>
      </c>
      <c r="M10" s="583">
        <v>9573415.193155</v>
      </c>
      <c r="N10" s="583">
        <v>0</v>
      </c>
      <c r="O10" s="566">
        <v>0</v>
      </c>
    </row>
    <row r="11" spans="1:15">
      <c r="A11" s="412">
        <v>5</v>
      </c>
      <c r="B11" s="416" t="s">
        <v>569</v>
      </c>
      <c r="C11" s="581">
        <v>81870325.874999985</v>
      </c>
      <c r="D11" s="566">
        <v>49981302.829999998</v>
      </c>
      <c r="E11" s="566">
        <v>2538766.46</v>
      </c>
      <c r="F11" s="583">
        <v>14891702.68</v>
      </c>
      <c r="G11" s="583">
        <v>34465.120000000003</v>
      </c>
      <c r="H11" s="566">
        <v>14424088.784999998</v>
      </c>
      <c r="I11" s="566">
        <v>14409245.99712</v>
      </c>
      <c r="J11" s="583">
        <v>999626.05668799998</v>
      </c>
      <c r="K11" s="583">
        <v>253876.64507199998</v>
      </c>
      <c r="L11" s="583">
        <v>4467510.8025699994</v>
      </c>
      <c r="M11" s="583">
        <v>17232.560000000001</v>
      </c>
      <c r="N11" s="583">
        <v>8670999.9327900019</v>
      </c>
      <c r="O11" s="566">
        <v>0</v>
      </c>
    </row>
    <row r="12" spans="1:15">
      <c r="A12" s="412">
        <v>6</v>
      </c>
      <c r="B12" s="416" t="s">
        <v>570</v>
      </c>
      <c r="C12" s="581">
        <v>64055145.340000004</v>
      </c>
      <c r="D12" s="566">
        <v>57086375.530000001</v>
      </c>
      <c r="E12" s="566">
        <v>0</v>
      </c>
      <c r="F12" s="583">
        <v>2710318.55</v>
      </c>
      <c r="G12" s="583">
        <v>0</v>
      </c>
      <c r="H12" s="566">
        <v>4258451.26</v>
      </c>
      <c r="I12" s="566">
        <v>5106077.0036980007</v>
      </c>
      <c r="J12" s="583">
        <v>1141727.510701</v>
      </c>
      <c r="K12" s="583">
        <v>0</v>
      </c>
      <c r="L12" s="583">
        <v>813095.56522999995</v>
      </c>
      <c r="M12" s="583">
        <v>0</v>
      </c>
      <c r="N12" s="583">
        <v>3151253.9277670002</v>
      </c>
      <c r="O12" s="566">
        <v>0</v>
      </c>
    </row>
    <row r="13" spans="1:15">
      <c r="A13" s="412">
        <v>7</v>
      </c>
      <c r="B13" s="416" t="s">
        <v>571</v>
      </c>
      <c r="C13" s="581">
        <v>13306451.499999996</v>
      </c>
      <c r="D13" s="566">
        <v>4392566.3500000006</v>
      </c>
      <c r="E13" s="566">
        <v>2322517.58</v>
      </c>
      <c r="F13" s="583">
        <v>740075.20000000007</v>
      </c>
      <c r="G13" s="583">
        <v>5851292.370000002</v>
      </c>
      <c r="H13" s="566">
        <v>0</v>
      </c>
      <c r="I13" s="566">
        <v>2952848.9620160004</v>
      </c>
      <c r="J13" s="583">
        <v>87851.326937000005</v>
      </c>
      <c r="K13" s="583">
        <v>232251.758</v>
      </c>
      <c r="L13" s="583">
        <v>222022.56141700002</v>
      </c>
      <c r="M13" s="583">
        <v>2410723.3156619999</v>
      </c>
      <c r="N13" s="583">
        <v>0</v>
      </c>
      <c r="O13" s="566">
        <v>0</v>
      </c>
    </row>
    <row r="14" spans="1:15">
      <c r="A14" s="412">
        <v>8</v>
      </c>
      <c r="B14" s="416" t="s">
        <v>572</v>
      </c>
      <c r="C14" s="581">
        <v>41129939.112199999</v>
      </c>
      <c r="D14" s="566">
        <v>7413796.5500000007</v>
      </c>
      <c r="E14" s="566">
        <v>0</v>
      </c>
      <c r="F14" s="583">
        <v>9901263.0800000001</v>
      </c>
      <c r="G14" s="583">
        <v>9303900</v>
      </c>
      <c r="H14" s="566">
        <v>14510979.4822</v>
      </c>
      <c r="I14" s="566">
        <v>16477192.540675992</v>
      </c>
      <c r="J14" s="583">
        <v>148275.93119900001</v>
      </c>
      <c r="K14" s="583">
        <v>0</v>
      </c>
      <c r="L14" s="583">
        <v>2970378.9213279998</v>
      </c>
      <c r="M14" s="583">
        <v>4651950</v>
      </c>
      <c r="N14" s="583">
        <v>8706587.6881489996</v>
      </c>
      <c r="O14" s="566">
        <v>0</v>
      </c>
    </row>
    <row r="15" spans="1:15">
      <c r="A15" s="412">
        <v>9</v>
      </c>
      <c r="B15" s="416" t="s">
        <v>573</v>
      </c>
      <c r="C15" s="581">
        <v>150861045.33999997</v>
      </c>
      <c r="D15" s="566">
        <v>75116215.599999994</v>
      </c>
      <c r="E15" s="566">
        <v>11301384.98</v>
      </c>
      <c r="F15" s="583">
        <v>8475831.0100000016</v>
      </c>
      <c r="G15" s="583">
        <v>39697881.789999999</v>
      </c>
      <c r="H15" s="566">
        <v>16269731.959999997</v>
      </c>
      <c r="I15" s="566">
        <v>36345006.341761991</v>
      </c>
      <c r="J15" s="583">
        <v>1502324.3121120012</v>
      </c>
      <c r="K15" s="583">
        <v>1130138.4983960001</v>
      </c>
      <c r="L15" s="583">
        <v>2542749.30223</v>
      </c>
      <c r="M15" s="583">
        <v>18984027.102944002</v>
      </c>
      <c r="N15" s="583">
        <v>12185767.126079999</v>
      </c>
      <c r="O15" s="566">
        <v>0</v>
      </c>
    </row>
    <row r="16" spans="1:15">
      <c r="A16" s="412">
        <v>10</v>
      </c>
      <c r="B16" s="416" t="s">
        <v>574</v>
      </c>
      <c r="C16" s="581">
        <v>1559159.3300000003</v>
      </c>
      <c r="D16" s="566">
        <v>1508431.82</v>
      </c>
      <c r="E16" s="566">
        <v>0</v>
      </c>
      <c r="F16" s="583">
        <v>50727.51</v>
      </c>
      <c r="G16" s="583">
        <v>0</v>
      </c>
      <c r="H16" s="566">
        <v>0</v>
      </c>
      <c r="I16" s="566">
        <v>45386.885858999987</v>
      </c>
      <c r="J16" s="583">
        <v>30168.636188</v>
      </c>
      <c r="K16" s="583">
        <v>0</v>
      </c>
      <c r="L16" s="583">
        <v>15218.249670999998</v>
      </c>
      <c r="M16" s="583">
        <v>0</v>
      </c>
      <c r="N16" s="583">
        <v>0</v>
      </c>
      <c r="O16" s="566">
        <v>0</v>
      </c>
    </row>
    <row r="17" spans="1:15">
      <c r="A17" s="412">
        <v>11</v>
      </c>
      <c r="B17" s="416" t="s">
        <v>575</v>
      </c>
      <c r="C17" s="581">
        <v>494341.03</v>
      </c>
      <c r="D17" s="566">
        <v>494341.03</v>
      </c>
      <c r="E17" s="566">
        <v>0</v>
      </c>
      <c r="F17" s="583">
        <v>0</v>
      </c>
      <c r="G17" s="583">
        <v>0</v>
      </c>
      <c r="H17" s="566">
        <v>0</v>
      </c>
      <c r="I17" s="566">
        <v>9886.8205799999996</v>
      </c>
      <c r="J17" s="583">
        <v>9886.8205799999996</v>
      </c>
      <c r="K17" s="583">
        <v>0</v>
      </c>
      <c r="L17" s="583">
        <v>0</v>
      </c>
      <c r="M17" s="583">
        <v>0</v>
      </c>
      <c r="N17" s="583">
        <v>0</v>
      </c>
      <c r="O17" s="566">
        <v>0</v>
      </c>
    </row>
    <row r="18" spans="1:15">
      <c r="A18" s="412">
        <v>12</v>
      </c>
      <c r="B18" s="416" t="s">
        <v>576</v>
      </c>
      <c r="C18" s="581">
        <v>30548918.297499996</v>
      </c>
      <c r="D18" s="566">
        <v>7177272.7274999991</v>
      </c>
      <c r="E18" s="566">
        <v>0</v>
      </c>
      <c r="F18" s="583">
        <v>22778568.030000001</v>
      </c>
      <c r="G18" s="583">
        <v>593077.54</v>
      </c>
      <c r="H18" s="566">
        <v>0</v>
      </c>
      <c r="I18" s="566">
        <v>7273654.636930001</v>
      </c>
      <c r="J18" s="583">
        <v>143545.45448299998</v>
      </c>
      <c r="K18" s="583">
        <v>0</v>
      </c>
      <c r="L18" s="583">
        <v>6833570.412606</v>
      </c>
      <c r="M18" s="583">
        <v>296538.76984099997</v>
      </c>
      <c r="N18" s="583">
        <v>0</v>
      </c>
      <c r="O18" s="566">
        <v>0</v>
      </c>
    </row>
    <row r="19" spans="1:15">
      <c r="A19" s="412">
        <v>13</v>
      </c>
      <c r="B19" s="416" t="s">
        <v>577</v>
      </c>
      <c r="C19" s="581">
        <v>33082123.580000009</v>
      </c>
      <c r="D19" s="566">
        <v>27794140.260000005</v>
      </c>
      <c r="E19" s="566">
        <v>0</v>
      </c>
      <c r="F19" s="583">
        <v>4021918.72</v>
      </c>
      <c r="G19" s="583">
        <v>0</v>
      </c>
      <c r="H19" s="566">
        <v>1266064.6000000001</v>
      </c>
      <c r="I19" s="566">
        <v>2521131.4859079998</v>
      </c>
      <c r="J19" s="583">
        <v>554917.107647</v>
      </c>
      <c r="K19" s="583">
        <v>0</v>
      </c>
      <c r="L19" s="583">
        <v>1206575.617204</v>
      </c>
      <c r="M19" s="583">
        <v>0</v>
      </c>
      <c r="N19" s="583">
        <v>759638.76105700003</v>
      </c>
      <c r="O19" s="566">
        <v>0</v>
      </c>
    </row>
    <row r="20" spans="1:15">
      <c r="A20" s="412">
        <v>14</v>
      </c>
      <c r="B20" s="416" t="s">
        <v>578</v>
      </c>
      <c r="C20" s="581">
        <v>63911780.229999997</v>
      </c>
      <c r="D20" s="566">
        <v>23444661.600000013</v>
      </c>
      <c r="E20" s="566">
        <v>3777522.0999999996</v>
      </c>
      <c r="F20" s="583">
        <v>13264408.440000001</v>
      </c>
      <c r="G20" s="583">
        <v>22184427.929999996</v>
      </c>
      <c r="H20" s="566">
        <v>1240760.1599999999</v>
      </c>
      <c r="I20" s="566">
        <v>16200371.720372001</v>
      </c>
      <c r="J20" s="583">
        <v>468893.23219200008</v>
      </c>
      <c r="K20" s="583">
        <v>377752.20990800002</v>
      </c>
      <c r="L20" s="583">
        <v>3979322.5248569991</v>
      </c>
      <c r="M20" s="583">
        <v>10629947.654611999</v>
      </c>
      <c r="N20" s="583">
        <v>744456.09880299994</v>
      </c>
      <c r="O20" s="566">
        <v>0</v>
      </c>
    </row>
    <row r="21" spans="1:15">
      <c r="A21" s="412">
        <v>15</v>
      </c>
      <c r="B21" s="416" t="s">
        <v>579</v>
      </c>
      <c r="C21" s="581">
        <v>756915.3899999999</v>
      </c>
      <c r="D21" s="566">
        <v>39247.660000000003</v>
      </c>
      <c r="E21" s="566">
        <v>0</v>
      </c>
      <c r="F21" s="583">
        <v>717667.73</v>
      </c>
      <c r="G21" s="583">
        <v>0</v>
      </c>
      <c r="H21" s="566">
        <v>0</v>
      </c>
      <c r="I21" s="566">
        <v>216085.27360400002</v>
      </c>
      <c r="J21" s="583">
        <v>784.95329600000002</v>
      </c>
      <c r="K21" s="583">
        <v>0</v>
      </c>
      <c r="L21" s="583">
        <v>215300.32030800002</v>
      </c>
      <c r="M21" s="583">
        <v>0</v>
      </c>
      <c r="N21" s="583">
        <v>0</v>
      </c>
      <c r="O21" s="566">
        <v>0</v>
      </c>
    </row>
    <row r="22" spans="1:15">
      <c r="A22" s="412">
        <v>16</v>
      </c>
      <c r="B22" s="416" t="s">
        <v>580</v>
      </c>
      <c r="C22" s="581">
        <v>49920320.519999996</v>
      </c>
      <c r="D22" s="566">
        <v>49847160.079999998</v>
      </c>
      <c r="E22" s="566">
        <v>0</v>
      </c>
      <c r="F22" s="583">
        <v>0</v>
      </c>
      <c r="G22" s="583">
        <v>73160.44</v>
      </c>
      <c r="H22" s="566">
        <v>0</v>
      </c>
      <c r="I22" s="566">
        <v>1033523.4227499999</v>
      </c>
      <c r="J22" s="583">
        <v>996943.20158699993</v>
      </c>
      <c r="K22" s="583">
        <v>0</v>
      </c>
      <c r="L22" s="583">
        <v>0</v>
      </c>
      <c r="M22" s="583">
        <v>36580.221163000002</v>
      </c>
      <c r="N22" s="583">
        <v>0</v>
      </c>
      <c r="O22" s="566">
        <v>0</v>
      </c>
    </row>
    <row r="23" spans="1:15">
      <c r="A23" s="412">
        <v>17</v>
      </c>
      <c r="B23" s="416" t="s">
        <v>701</v>
      </c>
      <c r="C23" s="581">
        <v>24691904.559999999</v>
      </c>
      <c r="D23" s="566">
        <v>15227830.570000002</v>
      </c>
      <c r="E23" s="566">
        <v>9326629.0299999993</v>
      </c>
      <c r="F23" s="583">
        <v>137444.96</v>
      </c>
      <c r="G23" s="583">
        <v>0</v>
      </c>
      <c r="H23" s="566">
        <v>0</v>
      </c>
      <c r="I23" s="566">
        <v>1278453.0039849998</v>
      </c>
      <c r="J23" s="583">
        <v>304556.61153500003</v>
      </c>
      <c r="K23" s="583">
        <v>932662.90323499998</v>
      </c>
      <c r="L23" s="583">
        <v>41233.489215000001</v>
      </c>
      <c r="M23" s="583">
        <v>0</v>
      </c>
      <c r="N23" s="583">
        <v>0</v>
      </c>
      <c r="O23" s="566">
        <v>0</v>
      </c>
    </row>
    <row r="24" spans="1:15">
      <c r="A24" s="412">
        <v>18</v>
      </c>
      <c r="B24" s="416" t="s">
        <v>581</v>
      </c>
      <c r="C24" s="581">
        <v>3619358.79</v>
      </c>
      <c r="D24" s="566">
        <v>998579.54999999993</v>
      </c>
      <c r="E24" s="566">
        <v>542908.24</v>
      </c>
      <c r="F24" s="583">
        <v>0</v>
      </c>
      <c r="G24" s="583">
        <v>0</v>
      </c>
      <c r="H24" s="566">
        <v>2077871</v>
      </c>
      <c r="I24" s="566">
        <v>1304949.9813780002</v>
      </c>
      <c r="J24" s="583">
        <v>3936.557002</v>
      </c>
      <c r="K24" s="583">
        <v>54290.824375999997</v>
      </c>
      <c r="L24" s="583">
        <v>0</v>
      </c>
      <c r="M24" s="583">
        <v>0</v>
      </c>
      <c r="N24" s="583">
        <v>1246722.6000000001</v>
      </c>
      <c r="O24" s="566">
        <v>0</v>
      </c>
    </row>
    <row r="25" spans="1:15">
      <c r="A25" s="412">
        <v>19</v>
      </c>
      <c r="B25" s="416" t="s">
        <v>582</v>
      </c>
      <c r="C25" s="581">
        <v>31712048.079999998</v>
      </c>
      <c r="D25" s="566">
        <v>1959711.7999999998</v>
      </c>
      <c r="E25" s="566">
        <v>0</v>
      </c>
      <c r="F25" s="583">
        <v>27041377.219999999</v>
      </c>
      <c r="G25" s="583">
        <v>2710959.06</v>
      </c>
      <c r="H25" s="566">
        <v>0</v>
      </c>
      <c r="I25" s="566">
        <v>9507086.9327639993</v>
      </c>
      <c r="J25" s="583">
        <v>39194.235959999998</v>
      </c>
      <c r="K25" s="583">
        <v>0</v>
      </c>
      <c r="L25" s="583">
        <v>8112413.1656759996</v>
      </c>
      <c r="M25" s="583">
        <v>1355479.531128</v>
      </c>
      <c r="N25" s="583">
        <v>0</v>
      </c>
      <c r="O25" s="566">
        <v>0</v>
      </c>
    </row>
    <row r="26" spans="1:15">
      <c r="A26" s="412">
        <v>20</v>
      </c>
      <c r="B26" s="416" t="s">
        <v>700</v>
      </c>
      <c r="C26" s="581">
        <v>55912497.870000005</v>
      </c>
      <c r="D26" s="566">
        <v>41530679.889999993</v>
      </c>
      <c r="E26" s="566">
        <v>13907501.65</v>
      </c>
      <c r="F26" s="583">
        <v>474316.33</v>
      </c>
      <c r="G26" s="583">
        <v>0</v>
      </c>
      <c r="H26" s="566">
        <v>0</v>
      </c>
      <c r="I26" s="566">
        <v>2363658.6609420003</v>
      </c>
      <c r="J26" s="583">
        <v>830613.5978710003</v>
      </c>
      <c r="K26" s="583">
        <v>1390750.1651300001</v>
      </c>
      <c r="L26" s="583">
        <v>142294.897941</v>
      </c>
      <c r="M26" s="583">
        <v>0</v>
      </c>
      <c r="N26" s="583">
        <v>0</v>
      </c>
      <c r="O26" s="566">
        <v>0</v>
      </c>
    </row>
    <row r="27" spans="1:15">
      <c r="A27" s="412">
        <v>21</v>
      </c>
      <c r="B27" s="416" t="s">
        <v>583</v>
      </c>
      <c r="C27" s="581">
        <v>3640598.8643000009</v>
      </c>
      <c r="D27" s="566">
        <v>3640598.8643000009</v>
      </c>
      <c r="E27" s="566">
        <v>0</v>
      </c>
      <c r="F27" s="583">
        <v>0</v>
      </c>
      <c r="G27" s="583">
        <v>0</v>
      </c>
      <c r="H27" s="566">
        <v>0</v>
      </c>
      <c r="I27" s="566">
        <v>72811.977488999983</v>
      </c>
      <c r="J27" s="583">
        <v>72811.977488999983</v>
      </c>
      <c r="K27" s="583">
        <v>0</v>
      </c>
      <c r="L27" s="583">
        <v>0</v>
      </c>
      <c r="M27" s="583">
        <v>0</v>
      </c>
      <c r="N27" s="583">
        <v>0</v>
      </c>
      <c r="O27" s="566">
        <v>0</v>
      </c>
    </row>
    <row r="28" spans="1:15">
      <c r="A28" s="412">
        <v>22</v>
      </c>
      <c r="B28" s="416" t="s">
        <v>584</v>
      </c>
      <c r="C28" s="581">
        <v>38063669.769999996</v>
      </c>
      <c r="D28" s="566">
        <v>31116388.809999999</v>
      </c>
      <c r="E28" s="566">
        <v>0</v>
      </c>
      <c r="F28" s="583">
        <v>503892.37</v>
      </c>
      <c r="G28" s="583">
        <v>186376.59</v>
      </c>
      <c r="H28" s="566">
        <v>6257012</v>
      </c>
      <c r="I28" s="566">
        <v>7123695.7838660013</v>
      </c>
      <c r="J28" s="583">
        <v>622327.77624599996</v>
      </c>
      <c r="K28" s="583">
        <v>0</v>
      </c>
      <c r="L28" s="583">
        <v>151167.71103800001</v>
      </c>
      <c r="M28" s="583">
        <v>93188.296581999995</v>
      </c>
      <c r="N28" s="583">
        <v>6257012</v>
      </c>
      <c r="O28" s="566">
        <v>0</v>
      </c>
    </row>
    <row r="29" spans="1:15">
      <c r="A29" s="412">
        <v>23</v>
      </c>
      <c r="B29" s="416" t="s">
        <v>585</v>
      </c>
      <c r="C29" s="581">
        <v>84583066.970000014</v>
      </c>
      <c r="D29" s="566">
        <v>72343266.069999993</v>
      </c>
      <c r="E29" s="566">
        <v>88505.36</v>
      </c>
      <c r="F29" s="583">
        <v>4796468.1899999995</v>
      </c>
      <c r="G29" s="583">
        <v>1109495.8399999999</v>
      </c>
      <c r="H29" s="566">
        <v>6245331.5099999998</v>
      </c>
      <c r="I29" s="566">
        <v>7196603.1418170007</v>
      </c>
      <c r="J29" s="583">
        <v>1446865.3212240005</v>
      </c>
      <c r="K29" s="583">
        <v>8850.535573000001</v>
      </c>
      <c r="L29" s="583">
        <v>1438940.457218</v>
      </c>
      <c r="M29" s="583">
        <v>554747.92171000002</v>
      </c>
      <c r="N29" s="583">
        <v>3747198.9060920002</v>
      </c>
      <c r="O29" s="566">
        <v>0</v>
      </c>
    </row>
    <row r="30" spans="1:15">
      <c r="A30" s="412">
        <v>24</v>
      </c>
      <c r="B30" s="416" t="s">
        <v>699</v>
      </c>
      <c r="C30" s="581">
        <v>51592186.830000035</v>
      </c>
      <c r="D30" s="566">
        <v>24670967.230000008</v>
      </c>
      <c r="E30" s="566">
        <v>12655533.119999997</v>
      </c>
      <c r="F30" s="583">
        <v>4788619.709999999</v>
      </c>
      <c r="G30" s="583">
        <v>632325.58000000007</v>
      </c>
      <c r="H30" s="566">
        <v>8844741.1899999976</v>
      </c>
      <c r="I30" s="566">
        <v>9421599.038774997</v>
      </c>
      <c r="J30" s="583">
        <v>493419.34464600013</v>
      </c>
      <c r="K30" s="583">
        <v>1265553.3125820009</v>
      </c>
      <c r="L30" s="583">
        <v>1436585.9173049997</v>
      </c>
      <c r="M30" s="583">
        <v>316162.78831899998</v>
      </c>
      <c r="N30" s="583">
        <v>5909877.6759230001</v>
      </c>
      <c r="O30" s="566">
        <v>0</v>
      </c>
    </row>
    <row r="31" spans="1:15">
      <c r="A31" s="412">
        <v>25</v>
      </c>
      <c r="B31" s="416" t="s">
        <v>586</v>
      </c>
      <c r="C31" s="581">
        <v>35848876.030399926</v>
      </c>
      <c r="D31" s="566">
        <v>30081566.573600024</v>
      </c>
      <c r="E31" s="566">
        <v>782079.43</v>
      </c>
      <c r="F31" s="583">
        <v>3205669.9615000002</v>
      </c>
      <c r="G31" s="583">
        <v>1642208.23</v>
      </c>
      <c r="H31" s="566">
        <v>137351.83530000001</v>
      </c>
      <c r="I31" s="566">
        <v>2586783.1605750034</v>
      </c>
      <c r="J31" s="583">
        <v>588465.78760400007</v>
      </c>
      <c r="K31" s="583">
        <v>78207.944532000009</v>
      </c>
      <c r="L31" s="583">
        <v>961700.98583500006</v>
      </c>
      <c r="M31" s="583">
        <v>821104.11340300005</v>
      </c>
      <c r="N31" s="583">
        <v>137304.32920099999</v>
      </c>
      <c r="O31" s="566">
        <v>0</v>
      </c>
    </row>
    <row r="32" spans="1:15">
      <c r="A32" s="412">
        <v>26</v>
      </c>
      <c r="B32" s="416" t="s">
        <v>696</v>
      </c>
      <c r="C32" s="581">
        <v>1263652.112700003</v>
      </c>
      <c r="D32" s="566">
        <v>1250522.9028000026</v>
      </c>
      <c r="E32" s="566">
        <v>1758.26</v>
      </c>
      <c r="F32" s="583">
        <v>333.69990000000001</v>
      </c>
      <c r="G32" s="583">
        <v>18.93</v>
      </c>
      <c r="H32" s="566">
        <v>11018.320000000002</v>
      </c>
      <c r="I32" s="566">
        <v>36313.820025999987</v>
      </c>
      <c r="J32" s="583">
        <v>25010.458056000025</v>
      </c>
      <c r="K32" s="583">
        <v>175.82600000000002</v>
      </c>
      <c r="L32" s="583">
        <v>100.10997</v>
      </c>
      <c r="M32" s="583">
        <v>9.1059999999999999</v>
      </c>
      <c r="N32" s="583">
        <v>11018.320000000002</v>
      </c>
      <c r="O32" s="566">
        <v>0</v>
      </c>
    </row>
    <row r="33" spans="1:15">
      <c r="A33" s="412">
        <v>27</v>
      </c>
      <c r="B33" s="434" t="s">
        <v>109</v>
      </c>
      <c r="C33" s="584">
        <f>SUM(C7:C32)</f>
        <v>965150943.16719985</v>
      </c>
      <c r="D33" s="566">
        <f t="shared" ref="D33:N33" si="0">SUM(D7:D32)</f>
        <v>583449394.35330009</v>
      </c>
      <c r="E33" s="566">
        <f t="shared" si="0"/>
        <v>58615078.839999996</v>
      </c>
      <c r="F33" s="583">
        <f t="shared" si="0"/>
        <v>144165875.1814</v>
      </c>
      <c r="G33" s="583">
        <f t="shared" si="0"/>
        <v>103376348.88000003</v>
      </c>
      <c r="H33" s="566">
        <f t="shared" si="0"/>
        <v>75544245.912499979</v>
      </c>
      <c r="I33" s="566">
        <f t="shared" si="0"/>
        <v>162019833.69088399</v>
      </c>
      <c r="J33" s="583">
        <f t="shared" si="0"/>
        <v>11638775.505365001</v>
      </c>
      <c r="K33" s="583">
        <f t="shared" si="0"/>
        <v>5861507.8853700031</v>
      </c>
      <c r="L33" s="583">
        <f t="shared" si="0"/>
        <v>43249762.549768008</v>
      </c>
      <c r="M33" s="583">
        <f t="shared" si="0"/>
        <v>49741106.574518993</v>
      </c>
      <c r="N33" s="583">
        <f t="shared" si="0"/>
        <v>51528681.175862007</v>
      </c>
      <c r="O33" s="566">
        <v>0</v>
      </c>
    </row>
    <row r="35" spans="1:15">
      <c r="B35" s="448"/>
      <c r="C35" s="448"/>
    </row>
    <row r="41" spans="1:15">
      <c r="A41" s="445"/>
      <c r="B41" s="445"/>
      <c r="C41" s="445"/>
    </row>
    <row r="42" spans="1:15">
      <c r="A42" s="445"/>
      <c r="B42" s="445"/>
      <c r="C42" s="44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56" bestFit="1" customWidth="1"/>
    <col min="2" max="2" width="80.28515625" style="456" customWidth="1"/>
    <col min="3" max="3" width="17.28515625" style="456" bestFit="1" customWidth="1"/>
    <col min="4" max="5" width="22.28515625" style="456" bestFit="1" customWidth="1"/>
    <col min="6" max="6" width="20.28515625" style="456" bestFit="1" customWidth="1"/>
    <col min="7" max="7" width="20.85546875" style="456" bestFit="1" customWidth="1"/>
    <col min="8" max="8" width="23.28515625" style="456" bestFit="1" customWidth="1"/>
    <col min="9" max="9" width="22.28515625" style="456" customWidth="1"/>
    <col min="10" max="10" width="19.28515625" style="456" bestFit="1" customWidth="1"/>
    <col min="11" max="11" width="17.7109375" style="456" bestFit="1" customWidth="1"/>
    <col min="12" max="16384" width="8.7109375" style="456"/>
  </cols>
  <sheetData>
    <row r="1" spans="1:11" s="415" customFormat="1" ht="12.75">
      <c r="A1" s="407" t="s">
        <v>30</v>
      </c>
      <c r="B1" s="415" t="str">
        <f>'1. key ratios '!B1</f>
        <v>JSC CARTU BANK</v>
      </c>
    </row>
    <row r="2" spans="1:11" s="415" customFormat="1" ht="13.5">
      <c r="A2" s="407" t="s">
        <v>31</v>
      </c>
      <c r="B2" s="371">
        <f>'1. key ratios '!B2</f>
        <v>44651</v>
      </c>
    </row>
    <row r="3" spans="1:11" s="415" customFormat="1" ht="12.75">
      <c r="A3" s="408" t="s">
        <v>677</v>
      </c>
    </row>
    <row r="4" spans="1:11">
      <c r="C4" s="457" t="s">
        <v>0</v>
      </c>
      <c r="D4" s="457" t="s">
        <v>1</v>
      </c>
      <c r="E4" s="457" t="s">
        <v>2</v>
      </c>
      <c r="F4" s="457" t="s">
        <v>3</v>
      </c>
      <c r="G4" s="457" t="s">
        <v>4</v>
      </c>
      <c r="H4" s="457" t="s">
        <v>5</v>
      </c>
      <c r="I4" s="457" t="s">
        <v>8</v>
      </c>
      <c r="J4" s="457" t="s">
        <v>9</v>
      </c>
      <c r="K4" s="457" t="s">
        <v>10</v>
      </c>
    </row>
    <row r="5" spans="1:11" ht="105" customHeight="1">
      <c r="A5" s="740" t="s">
        <v>678</v>
      </c>
      <c r="B5" s="741"/>
      <c r="C5" s="437" t="s">
        <v>679</v>
      </c>
      <c r="D5" s="437" t="s">
        <v>680</v>
      </c>
      <c r="E5" s="437" t="s">
        <v>681</v>
      </c>
      <c r="F5" s="458" t="s">
        <v>682</v>
      </c>
      <c r="G5" s="437" t="s">
        <v>683</v>
      </c>
      <c r="H5" s="437" t="s">
        <v>684</v>
      </c>
      <c r="I5" s="437" t="s">
        <v>685</v>
      </c>
      <c r="J5" s="437" t="s">
        <v>686</v>
      </c>
      <c r="K5" s="437" t="s">
        <v>687</v>
      </c>
    </row>
    <row r="6" spans="1:11" ht="12.75">
      <c r="A6" s="412">
        <v>1</v>
      </c>
      <c r="B6" s="412" t="s">
        <v>633</v>
      </c>
      <c r="C6" s="566">
        <v>44999177.44632791</v>
      </c>
      <c r="D6" s="566">
        <v>11246197.873883996</v>
      </c>
      <c r="E6" s="566">
        <v>0</v>
      </c>
      <c r="F6" s="566">
        <v>0</v>
      </c>
      <c r="G6" s="566">
        <v>736689328.02387345</v>
      </c>
      <c r="H6" s="566">
        <v>8176841.8308985131</v>
      </c>
      <c r="I6" s="566">
        <v>103916525.11966531</v>
      </c>
      <c r="J6" s="566">
        <v>17429402.980312537</v>
      </c>
      <c r="K6" s="566">
        <v>42693469.892238989</v>
      </c>
    </row>
    <row r="7" spans="1:11" ht="12.75">
      <c r="A7" s="412">
        <v>2</v>
      </c>
      <c r="B7" s="412" t="s">
        <v>688</v>
      </c>
      <c r="C7" s="566">
        <v>0</v>
      </c>
      <c r="D7" s="566">
        <v>0</v>
      </c>
      <c r="E7" s="566">
        <v>0</v>
      </c>
      <c r="F7" s="566">
        <v>0</v>
      </c>
      <c r="G7" s="566">
        <v>0</v>
      </c>
      <c r="H7" s="566">
        <v>0</v>
      </c>
      <c r="I7" s="566">
        <v>0</v>
      </c>
      <c r="J7" s="566">
        <v>0</v>
      </c>
      <c r="K7" s="566">
        <v>3000000</v>
      </c>
    </row>
    <row r="8" spans="1:11" ht="12.75">
      <c r="A8" s="412">
        <v>3</v>
      </c>
      <c r="B8" s="412" t="s">
        <v>641</v>
      </c>
      <c r="C8" s="566">
        <v>4260276.5937130973</v>
      </c>
      <c r="D8" s="566">
        <v>0</v>
      </c>
      <c r="E8" s="566">
        <v>0</v>
      </c>
      <c r="F8" s="566">
        <v>0</v>
      </c>
      <c r="G8" s="566">
        <v>35492929.770529352</v>
      </c>
      <c r="H8" s="566">
        <v>630839.74464394618</v>
      </c>
      <c r="I8" s="566">
        <v>6689554.4164738227</v>
      </c>
      <c r="J8" s="566">
        <v>2936650.733970793</v>
      </c>
      <c r="K8" s="566">
        <v>1259565.4637689998</v>
      </c>
    </row>
    <row r="9" spans="1:11" ht="12.75">
      <c r="A9" s="412">
        <v>4</v>
      </c>
      <c r="B9" s="435" t="s">
        <v>689</v>
      </c>
      <c r="C9" s="566">
        <v>6555615.4483664334</v>
      </c>
      <c r="D9" s="566">
        <v>3593083.9256000002</v>
      </c>
      <c r="E9" s="566">
        <v>0</v>
      </c>
      <c r="F9" s="566">
        <v>0</v>
      </c>
      <c r="G9" s="566">
        <v>265570828.17926395</v>
      </c>
      <c r="H9" s="566">
        <v>1244534.1672334829</v>
      </c>
      <c r="I9" s="566">
        <v>27950973.617111854</v>
      </c>
      <c r="J9" s="566">
        <v>5282319.212782138</v>
      </c>
      <c r="K9" s="566">
        <v>12889115.423542125</v>
      </c>
    </row>
    <row r="10" spans="1:11" ht="12.75">
      <c r="A10" s="412">
        <v>5</v>
      </c>
      <c r="B10" s="435" t="s">
        <v>690</v>
      </c>
      <c r="C10" s="566">
        <v>0</v>
      </c>
      <c r="D10" s="566">
        <v>0</v>
      </c>
      <c r="E10" s="566">
        <v>0</v>
      </c>
      <c r="F10" s="566">
        <v>0</v>
      </c>
      <c r="G10" s="566">
        <v>0</v>
      </c>
      <c r="H10" s="566">
        <v>0</v>
      </c>
      <c r="I10" s="566">
        <v>0</v>
      </c>
      <c r="J10" s="566">
        <v>0</v>
      </c>
      <c r="K10" s="566">
        <v>0</v>
      </c>
    </row>
    <row r="11" spans="1:11" ht="12.75">
      <c r="A11" s="412">
        <v>6</v>
      </c>
      <c r="B11" s="435" t="s">
        <v>691</v>
      </c>
      <c r="C11" s="566">
        <v>0</v>
      </c>
      <c r="D11" s="566">
        <v>0</v>
      </c>
      <c r="E11" s="566">
        <v>0</v>
      </c>
      <c r="F11" s="566">
        <v>0</v>
      </c>
      <c r="G11" s="566">
        <v>4119988.0300000003</v>
      </c>
      <c r="H11" s="566">
        <v>0</v>
      </c>
      <c r="I11" s="566">
        <v>0</v>
      </c>
      <c r="J11" s="566">
        <v>0</v>
      </c>
      <c r="K11" s="56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407" t="s">
        <v>30</v>
      </c>
      <c r="B1" s="415" t="str">
        <f>'1. key ratios '!B1</f>
        <v>JSC CARTU BANK</v>
      </c>
    </row>
    <row r="2" spans="1:19">
      <c r="A2" s="407" t="s">
        <v>31</v>
      </c>
      <c r="B2" s="371">
        <f>'1. key ratios '!B2</f>
        <v>44651</v>
      </c>
    </row>
    <row r="3" spans="1:19">
      <c r="A3" s="408" t="s">
        <v>753</v>
      </c>
      <c r="B3" s="415"/>
    </row>
    <row r="4" spans="1:19">
      <c r="A4" s="408"/>
      <c r="B4" s="415"/>
    </row>
    <row r="5" spans="1:19">
      <c r="A5" s="743" t="s">
        <v>754</v>
      </c>
      <c r="B5" s="743"/>
      <c r="C5" s="745" t="s">
        <v>755</v>
      </c>
      <c r="D5" s="745"/>
      <c r="E5" s="745"/>
      <c r="F5" s="745"/>
      <c r="G5" s="745"/>
      <c r="H5" s="745"/>
      <c r="I5" s="745" t="s">
        <v>756</v>
      </c>
      <c r="J5" s="745"/>
      <c r="K5" s="745"/>
      <c r="L5" s="745"/>
      <c r="M5" s="745"/>
      <c r="N5" s="746"/>
      <c r="O5" s="742" t="s">
        <v>757</v>
      </c>
      <c r="P5" s="742" t="s">
        <v>758</v>
      </c>
      <c r="Q5" s="742" t="s">
        <v>759</v>
      </c>
      <c r="R5" s="742" t="s">
        <v>760</v>
      </c>
      <c r="S5" s="742" t="s">
        <v>761</v>
      </c>
    </row>
    <row r="6" spans="1:19" ht="24" customHeight="1">
      <c r="A6" s="744"/>
      <c r="B6" s="744"/>
      <c r="C6" s="585"/>
      <c r="D6" s="586" t="s">
        <v>672</v>
      </c>
      <c r="E6" s="586" t="s">
        <v>673</v>
      </c>
      <c r="F6" s="586" t="s">
        <v>674</v>
      </c>
      <c r="G6" s="586" t="s">
        <v>675</v>
      </c>
      <c r="H6" s="586" t="s">
        <v>676</v>
      </c>
      <c r="I6" s="585"/>
      <c r="J6" s="586" t="s">
        <v>672</v>
      </c>
      <c r="K6" s="586" t="s">
        <v>673</v>
      </c>
      <c r="L6" s="586" t="s">
        <v>674</v>
      </c>
      <c r="M6" s="586" t="s">
        <v>675</v>
      </c>
      <c r="N6" s="587" t="s">
        <v>676</v>
      </c>
      <c r="O6" s="742"/>
      <c r="P6" s="742"/>
      <c r="Q6" s="742"/>
      <c r="R6" s="742"/>
      <c r="S6" s="742"/>
    </row>
    <row r="7" spans="1:19">
      <c r="A7" s="588">
        <v>1</v>
      </c>
      <c r="B7" s="589" t="s">
        <v>762</v>
      </c>
      <c r="C7" s="629">
        <v>280164.17000000004</v>
      </c>
      <c r="D7" s="629">
        <v>219906.43</v>
      </c>
      <c r="E7" s="629">
        <v>0</v>
      </c>
      <c r="F7" s="629">
        <v>59413.93</v>
      </c>
      <c r="G7" s="629">
        <v>0</v>
      </c>
      <c r="H7" s="629">
        <v>843.81</v>
      </c>
      <c r="I7" s="629">
        <v>23066.117581000002</v>
      </c>
      <c r="J7" s="629">
        <v>4398.1285809999999</v>
      </c>
      <c r="K7" s="629">
        <v>0</v>
      </c>
      <c r="L7" s="629">
        <v>17824.179</v>
      </c>
      <c r="M7" s="629">
        <v>0</v>
      </c>
      <c r="N7" s="629">
        <v>843.81</v>
      </c>
      <c r="O7" s="590">
        <v>16</v>
      </c>
      <c r="P7" s="630">
        <v>0.17499999999999999</v>
      </c>
      <c r="Q7" s="630">
        <v>0.18974170645863997</v>
      </c>
      <c r="R7" s="630">
        <v>0.13350205411705574</v>
      </c>
      <c r="S7" s="631">
        <v>57.718189377399383</v>
      </c>
    </row>
    <row r="8" spans="1:19">
      <c r="A8" s="588">
        <v>2</v>
      </c>
      <c r="B8" s="591" t="s">
        <v>763</v>
      </c>
      <c r="C8" s="629">
        <v>7869874.209999999</v>
      </c>
      <c r="D8" s="629">
        <v>5508824.4099999983</v>
      </c>
      <c r="E8" s="629">
        <v>267612.82000000007</v>
      </c>
      <c r="F8" s="629">
        <v>1366301.57</v>
      </c>
      <c r="G8" s="629">
        <v>723742.57</v>
      </c>
      <c r="H8" s="629">
        <v>3392.84</v>
      </c>
      <c r="I8" s="629">
        <v>900686.6402359996</v>
      </c>
      <c r="J8" s="629">
        <v>98770.769455999995</v>
      </c>
      <c r="K8" s="629">
        <v>26761.280626000007</v>
      </c>
      <c r="L8" s="629">
        <v>409890.46914000006</v>
      </c>
      <c r="M8" s="629">
        <v>361871.28101400001</v>
      </c>
      <c r="N8" s="629">
        <v>3392.84</v>
      </c>
      <c r="O8" s="590">
        <v>140</v>
      </c>
      <c r="P8" s="630">
        <v>8.043247375447761E-2</v>
      </c>
      <c r="Q8" s="630">
        <v>8.3584476015743064E-2</v>
      </c>
      <c r="R8" s="630">
        <v>9.0363831671713621E-2</v>
      </c>
      <c r="S8" s="631">
        <v>55.472405920106667</v>
      </c>
    </row>
    <row r="9" spans="1:19">
      <c r="A9" s="588">
        <v>3</v>
      </c>
      <c r="B9" s="591" t="s">
        <v>764</v>
      </c>
      <c r="C9" s="629">
        <v>0</v>
      </c>
      <c r="D9" s="629">
        <v>0</v>
      </c>
      <c r="E9" s="629">
        <v>0</v>
      </c>
      <c r="F9" s="629">
        <v>0</v>
      </c>
      <c r="G9" s="629">
        <v>0</v>
      </c>
      <c r="H9" s="629">
        <v>0</v>
      </c>
      <c r="I9" s="629">
        <v>0</v>
      </c>
      <c r="J9" s="629">
        <v>0</v>
      </c>
      <c r="K9" s="629">
        <v>0</v>
      </c>
      <c r="L9" s="629">
        <v>0</v>
      </c>
      <c r="M9" s="629">
        <v>0</v>
      </c>
      <c r="N9" s="629">
        <v>0</v>
      </c>
      <c r="O9" s="590">
        <v>0</v>
      </c>
      <c r="P9" s="630">
        <v>0</v>
      </c>
      <c r="Q9" s="630">
        <v>0</v>
      </c>
      <c r="R9" s="630">
        <v>0</v>
      </c>
      <c r="S9" s="631">
        <v>0</v>
      </c>
    </row>
    <row r="10" spans="1:19">
      <c r="A10" s="588">
        <v>4</v>
      </c>
      <c r="B10" s="591" t="s">
        <v>765</v>
      </c>
      <c r="C10" s="629">
        <v>0</v>
      </c>
      <c r="D10" s="629">
        <v>0</v>
      </c>
      <c r="E10" s="629">
        <v>0</v>
      </c>
      <c r="F10" s="629">
        <v>0</v>
      </c>
      <c r="G10" s="629">
        <v>0</v>
      </c>
      <c r="H10" s="629">
        <v>0</v>
      </c>
      <c r="I10" s="629">
        <v>0</v>
      </c>
      <c r="J10" s="629">
        <v>0</v>
      </c>
      <c r="K10" s="629">
        <v>0</v>
      </c>
      <c r="L10" s="629">
        <v>0</v>
      </c>
      <c r="M10" s="629">
        <v>0</v>
      </c>
      <c r="N10" s="629">
        <v>0</v>
      </c>
      <c r="O10" s="590">
        <v>0</v>
      </c>
      <c r="P10" s="630">
        <v>0</v>
      </c>
      <c r="Q10" s="630">
        <v>0</v>
      </c>
      <c r="R10" s="630">
        <v>0</v>
      </c>
      <c r="S10" s="631">
        <v>0</v>
      </c>
    </row>
    <row r="11" spans="1:19">
      <c r="A11" s="588">
        <v>5</v>
      </c>
      <c r="B11" s="591" t="s">
        <v>766</v>
      </c>
      <c r="C11" s="629">
        <v>1980341.6270999999</v>
      </c>
      <c r="D11" s="629">
        <v>1845947.4770999996</v>
      </c>
      <c r="E11" s="629">
        <v>10144.83</v>
      </c>
      <c r="F11" s="629">
        <v>113584.78</v>
      </c>
      <c r="G11" s="629">
        <v>0</v>
      </c>
      <c r="H11" s="629">
        <v>10664.54</v>
      </c>
      <c r="I11" s="629">
        <v>82673.406541999968</v>
      </c>
      <c r="J11" s="629">
        <v>36918.949542000068</v>
      </c>
      <c r="K11" s="629">
        <v>1014.4830000000002</v>
      </c>
      <c r="L11" s="629">
        <v>34075.433999999994</v>
      </c>
      <c r="M11" s="629">
        <v>0</v>
      </c>
      <c r="N11" s="629">
        <v>10664.54</v>
      </c>
      <c r="O11" s="590">
        <v>247</v>
      </c>
      <c r="P11" s="630">
        <v>0.15534011885542093</v>
      </c>
      <c r="Q11" s="630">
        <v>0.16712102374553472</v>
      </c>
      <c r="R11" s="630">
        <v>0.10468465615277994</v>
      </c>
      <c r="S11" s="631">
        <v>5.1145175360256925</v>
      </c>
    </row>
    <row r="12" spans="1:19">
      <c r="A12" s="588">
        <v>6</v>
      </c>
      <c r="B12" s="591" t="s">
        <v>767</v>
      </c>
      <c r="C12" s="629">
        <v>312491.62389999971</v>
      </c>
      <c r="D12" s="629">
        <v>311784.97249999968</v>
      </c>
      <c r="E12" s="629">
        <v>0</v>
      </c>
      <c r="F12" s="629">
        <v>333.94139999999999</v>
      </c>
      <c r="G12" s="629">
        <v>18.93</v>
      </c>
      <c r="H12" s="629">
        <v>353.78000000000003</v>
      </c>
      <c r="I12" s="629">
        <v>6698.7678700000115</v>
      </c>
      <c r="J12" s="629">
        <v>6235.699450000011</v>
      </c>
      <c r="K12" s="629">
        <v>0</v>
      </c>
      <c r="L12" s="629">
        <v>100.18242000000001</v>
      </c>
      <c r="M12" s="629">
        <v>9.1059999999999999</v>
      </c>
      <c r="N12" s="629">
        <v>353.78000000000003</v>
      </c>
      <c r="O12" s="590">
        <v>1163</v>
      </c>
      <c r="P12" s="630">
        <v>0.13161813060437433</v>
      </c>
      <c r="Q12" s="630">
        <v>0.14002735719424156</v>
      </c>
      <c r="R12" s="630">
        <v>9.2467056164189321E-2</v>
      </c>
      <c r="S12" s="631">
        <v>10.757590000909062</v>
      </c>
    </row>
    <row r="13" spans="1:19">
      <c r="A13" s="588">
        <v>7</v>
      </c>
      <c r="B13" s="591" t="s">
        <v>768</v>
      </c>
      <c r="C13" s="629">
        <v>15716578.659999995</v>
      </c>
      <c r="D13" s="629">
        <v>11158819.119999997</v>
      </c>
      <c r="E13" s="629">
        <v>1015226.56</v>
      </c>
      <c r="F13" s="629">
        <v>3408692.75</v>
      </c>
      <c r="G13" s="629">
        <v>0</v>
      </c>
      <c r="H13" s="629">
        <v>133840.23000000001</v>
      </c>
      <c r="I13" s="629">
        <v>1479341.1590460006</v>
      </c>
      <c r="J13" s="629">
        <v>221370.44989699984</v>
      </c>
      <c r="K13" s="629">
        <v>101522.65798500001</v>
      </c>
      <c r="L13" s="629">
        <v>1022607.8211429999</v>
      </c>
      <c r="M13" s="629">
        <v>0</v>
      </c>
      <c r="N13" s="629">
        <v>133840.230021</v>
      </c>
      <c r="O13" s="590">
        <v>182</v>
      </c>
      <c r="P13" s="630">
        <v>8.9924441277526052E-2</v>
      </c>
      <c r="Q13" s="630">
        <v>9.3772039856669792E-2</v>
      </c>
      <c r="R13" s="630">
        <v>9.1392347158589501E-2</v>
      </c>
      <c r="S13" s="631">
        <v>100.49261881945905</v>
      </c>
    </row>
    <row r="14" spans="1:19">
      <c r="A14" s="592">
        <v>7.1</v>
      </c>
      <c r="B14" s="593" t="s">
        <v>769</v>
      </c>
      <c r="C14" s="629">
        <v>12067233.849999994</v>
      </c>
      <c r="D14" s="629">
        <v>8312589.5399999991</v>
      </c>
      <c r="E14" s="629">
        <v>731874.5</v>
      </c>
      <c r="F14" s="629">
        <v>2888929.58</v>
      </c>
      <c r="G14" s="629">
        <v>0</v>
      </c>
      <c r="H14" s="629">
        <v>133840.23000000001</v>
      </c>
      <c r="I14" s="629">
        <v>1238152.4070320006</v>
      </c>
      <c r="J14" s="629">
        <v>164445.85828399987</v>
      </c>
      <c r="K14" s="629">
        <v>73187.451546000011</v>
      </c>
      <c r="L14" s="629">
        <v>866678.86718099995</v>
      </c>
      <c r="M14" s="629">
        <v>0</v>
      </c>
      <c r="N14" s="629">
        <v>133840.230021</v>
      </c>
      <c r="O14" s="590">
        <v>116</v>
      </c>
      <c r="P14" s="630">
        <v>8.8502054759310722E-2</v>
      </c>
      <c r="Q14" s="630">
        <v>9.2189847820515161E-2</v>
      </c>
      <c r="R14" s="630">
        <v>8.8044059546007788E-2</v>
      </c>
      <c r="S14" s="631">
        <v>101.12551836353398</v>
      </c>
    </row>
    <row r="15" spans="1:19">
      <c r="A15" s="592">
        <v>7.2</v>
      </c>
      <c r="B15" s="593" t="s">
        <v>770</v>
      </c>
      <c r="C15" s="629">
        <v>2896687.4800000009</v>
      </c>
      <c r="D15" s="629">
        <v>2164096.3899999992</v>
      </c>
      <c r="E15" s="629">
        <v>254670.13</v>
      </c>
      <c r="F15" s="629">
        <v>477920.95999999996</v>
      </c>
      <c r="G15" s="629">
        <v>0</v>
      </c>
      <c r="H15" s="629">
        <v>0</v>
      </c>
      <c r="I15" s="629">
        <v>212125.23125799999</v>
      </c>
      <c r="J15" s="629">
        <v>43281.927570999993</v>
      </c>
      <c r="K15" s="629">
        <v>25467.013438999998</v>
      </c>
      <c r="L15" s="629">
        <v>143376.290248</v>
      </c>
      <c r="M15" s="629">
        <v>0</v>
      </c>
      <c r="N15" s="629">
        <v>0</v>
      </c>
      <c r="O15" s="590">
        <v>24</v>
      </c>
      <c r="P15" s="630">
        <v>0</v>
      </c>
      <c r="Q15" s="630">
        <v>0</v>
      </c>
      <c r="R15" s="630">
        <v>9.7456562588864398E-2</v>
      </c>
      <c r="S15" s="631">
        <v>107.2553342483217</v>
      </c>
    </row>
    <row r="16" spans="1:19">
      <c r="A16" s="592">
        <v>7.3</v>
      </c>
      <c r="B16" s="593" t="s">
        <v>771</v>
      </c>
      <c r="C16" s="629">
        <v>752657.33000000019</v>
      </c>
      <c r="D16" s="629">
        <v>682133.19000000006</v>
      </c>
      <c r="E16" s="629">
        <v>28681.93</v>
      </c>
      <c r="F16" s="629">
        <v>41842.21</v>
      </c>
      <c r="G16" s="629">
        <v>0</v>
      </c>
      <c r="H16" s="629">
        <v>0</v>
      </c>
      <c r="I16" s="629">
        <v>29063.520755999994</v>
      </c>
      <c r="J16" s="629">
        <v>13642.664042000002</v>
      </c>
      <c r="K16" s="629">
        <v>2868.1930000000002</v>
      </c>
      <c r="L16" s="629">
        <v>12552.663714</v>
      </c>
      <c r="M16" s="629">
        <v>0</v>
      </c>
      <c r="N16" s="629">
        <v>0</v>
      </c>
      <c r="O16" s="590">
        <v>42</v>
      </c>
      <c r="P16" s="630">
        <v>0.14499999999999999</v>
      </c>
      <c r="Q16" s="630">
        <v>0.1550353528039834</v>
      </c>
      <c r="R16" s="630">
        <v>0.12173607968449597</v>
      </c>
      <c r="S16" s="631">
        <v>64.31836151766835</v>
      </c>
    </row>
    <row r="17" spans="1:19">
      <c r="A17" s="588">
        <v>8</v>
      </c>
      <c r="B17" s="591" t="s">
        <v>772</v>
      </c>
      <c r="C17" s="629">
        <v>0</v>
      </c>
      <c r="D17" s="629">
        <v>0</v>
      </c>
      <c r="E17" s="629">
        <v>0</v>
      </c>
      <c r="F17" s="629">
        <v>0</v>
      </c>
      <c r="G17" s="629">
        <v>0</v>
      </c>
      <c r="H17" s="629">
        <v>0</v>
      </c>
      <c r="I17" s="629">
        <v>0</v>
      </c>
      <c r="J17" s="629">
        <v>0</v>
      </c>
      <c r="K17" s="629">
        <v>0</v>
      </c>
      <c r="L17" s="629">
        <v>0</v>
      </c>
      <c r="M17" s="629">
        <v>0</v>
      </c>
      <c r="N17" s="629">
        <v>0</v>
      </c>
      <c r="O17" s="590">
        <v>0</v>
      </c>
      <c r="P17" s="630">
        <v>0</v>
      </c>
      <c r="Q17" s="630">
        <v>0</v>
      </c>
      <c r="R17" s="630">
        <v>0</v>
      </c>
      <c r="S17" s="631">
        <v>0</v>
      </c>
    </row>
    <row r="18" spans="1:19">
      <c r="A18" s="594">
        <v>9</v>
      </c>
      <c r="B18" s="595" t="s">
        <v>773</v>
      </c>
      <c r="C18" s="632">
        <v>0</v>
      </c>
      <c r="D18" s="632">
        <v>0</v>
      </c>
      <c r="E18" s="632">
        <v>0</v>
      </c>
      <c r="F18" s="632">
        <v>0</v>
      </c>
      <c r="G18" s="632">
        <v>0</v>
      </c>
      <c r="H18" s="632">
        <v>0</v>
      </c>
      <c r="I18" s="632">
        <v>0</v>
      </c>
      <c r="J18" s="632">
        <v>0</v>
      </c>
      <c r="K18" s="632">
        <v>0</v>
      </c>
      <c r="L18" s="632">
        <v>0</v>
      </c>
      <c r="M18" s="632">
        <v>0</v>
      </c>
      <c r="N18" s="632">
        <v>0</v>
      </c>
      <c r="O18" s="596">
        <v>0</v>
      </c>
      <c r="P18" s="633">
        <v>0</v>
      </c>
      <c r="Q18" s="633">
        <v>0</v>
      </c>
      <c r="R18" s="633">
        <v>0</v>
      </c>
      <c r="S18" s="634">
        <v>0</v>
      </c>
    </row>
    <row r="19" spans="1:19">
      <c r="A19" s="588">
        <v>10</v>
      </c>
      <c r="B19" s="597" t="s">
        <v>774</v>
      </c>
      <c r="C19" s="635">
        <v>26159450.290999994</v>
      </c>
      <c r="D19" s="635">
        <v>19045282.409599997</v>
      </c>
      <c r="E19" s="635">
        <v>1292984.2100000002</v>
      </c>
      <c r="F19" s="635">
        <v>4948326.9714000002</v>
      </c>
      <c r="G19" s="635">
        <v>723761.5</v>
      </c>
      <c r="H19" s="635">
        <v>149095.20000000001</v>
      </c>
      <c r="I19" s="635">
        <v>2492466.091275</v>
      </c>
      <c r="J19" s="635">
        <v>367693.99692599988</v>
      </c>
      <c r="K19" s="635">
        <v>129298.42161100003</v>
      </c>
      <c r="L19" s="635">
        <v>1484498.085703</v>
      </c>
      <c r="M19" s="635">
        <v>361880.38701400004</v>
      </c>
      <c r="N19" s="635">
        <v>149095.200021</v>
      </c>
      <c r="O19" s="636">
        <v>1748</v>
      </c>
      <c r="P19" s="637">
        <v>8.9667332260407184E-2</v>
      </c>
      <c r="Q19" s="637">
        <v>9.3663129474425053E-2</v>
      </c>
      <c r="R19" s="637">
        <v>9.255301734241618E-2</v>
      </c>
      <c r="S19" s="638">
        <v>78.855657544776989</v>
      </c>
    </row>
    <row r="20" spans="1:19" ht="25.5">
      <c r="A20" s="592">
        <v>10.1</v>
      </c>
      <c r="B20" s="593" t="s">
        <v>775</v>
      </c>
      <c r="C20" s="590"/>
      <c r="D20" s="590"/>
      <c r="E20" s="590"/>
      <c r="F20" s="590"/>
      <c r="G20" s="590"/>
      <c r="H20" s="590"/>
      <c r="I20" s="590"/>
      <c r="J20" s="590"/>
      <c r="K20" s="590"/>
      <c r="L20" s="590"/>
      <c r="M20" s="590"/>
      <c r="N20" s="590"/>
      <c r="O20" s="590"/>
      <c r="P20" s="590"/>
      <c r="Q20" s="590"/>
      <c r="R20" s="590"/>
      <c r="S20" s="5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7" activePane="bottomRight" state="frozen"/>
      <selection pane="topRight"/>
      <selection pane="bottomLeft"/>
      <selection pane="bottomRight"/>
    </sheetView>
  </sheetViews>
  <sheetFormatPr defaultColWidth="9.28515625" defaultRowHeight="14.25"/>
  <cols>
    <col min="1" max="1" width="9.5703125" style="4" bestFit="1" customWidth="1"/>
    <col min="2" max="2" width="55.28515625" style="4" bestFit="1" customWidth="1"/>
    <col min="3" max="3" width="13" style="4" customWidth="1"/>
    <col min="4" max="4" width="13.28515625" style="4" customWidth="1"/>
    <col min="5" max="5" width="14.5703125" style="4" customWidth="1"/>
    <col min="6" max="6" width="12.7109375" style="4" customWidth="1"/>
    <col min="7" max="7" width="13.7109375" style="4" customWidth="1"/>
    <col min="8" max="8" width="14.5703125" style="4" customWidth="1"/>
    <col min="9" max="16384" width="9.28515625" style="5"/>
  </cols>
  <sheetData>
    <row r="1" spans="1:8">
      <c r="A1" s="2" t="s">
        <v>30</v>
      </c>
      <c r="B1" s="4" t="str">
        <f>'Info '!C2</f>
        <v>JSC CARTU BANK</v>
      </c>
    </row>
    <row r="2" spans="1:8">
      <c r="A2" s="2" t="s">
        <v>31</v>
      </c>
      <c r="B2" s="371">
        <f>'1. key ratios '!B2</f>
        <v>44651</v>
      </c>
    </row>
    <row r="3" spans="1:8">
      <c r="A3" s="2"/>
    </row>
    <row r="4" spans="1:8" ht="15" thickBot="1">
      <c r="A4" s="3" t="s">
        <v>32</v>
      </c>
      <c r="B4" s="13" t="s">
        <v>33</v>
      </c>
      <c r="C4" s="3"/>
      <c r="D4" s="14"/>
      <c r="E4" s="14"/>
      <c r="F4" s="15"/>
      <c r="G4" s="15"/>
      <c r="H4" s="16" t="s">
        <v>73</v>
      </c>
    </row>
    <row r="5" spans="1:8">
      <c r="A5" s="17"/>
      <c r="B5" s="18"/>
      <c r="C5" s="642" t="s">
        <v>68</v>
      </c>
      <c r="D5" s="643"/>
      <c r="E5" s="644"/>
      <c r="F5" s="642" t="s">
        <v>72</v>
      </c>
      <c r="G5" s="643"/>
      <c r="H5" s="645"/>
    </row>
    <row r="6" spans="1:8">
      <c r="A6" s="19" t="s">
        <v>6</v>
      </c>
      <c r="B6" s="20" t="s">
        <v>34</v>
      </c>
      <c r="C6" s="21" t="s">
        <v>69</v>
      </c>
      <c r="D6" s="21" t="s">
        <v>70</v>
      </c>
      <c r="E6" s="21" t="s">
        <v>71</v>
      </c>
      <c r="F6" s="21" t="s">
        <v>69</v>
      </c>
      <c r="G6" s="21" t="s">
        <v>70</v>
      </c>
      <c r="H6" s="22" t="s">
        <v>71</v>
      </c>
    </row>
    <row r="7" spans="1:8" ht="15.75">
      <c r="A7" s="19">
        <v>1</v>
      </c>
      <c r="B7" s="23" t="s">
        <v>35</v>
      </c>
      <c r="C7" s="481">
        <v>5933824</v>
      </c>
      <c r="D7" s="481">
        <v>8917918</v>
      </c>
      <c r="E7" s="482">
        <f>C7+D7</f>
        <v>14851742</v>
      </c>
      <c r="F7" s="483">
        <v>12038040</v>
      </c>
      <c r="G7" s="484">
        <v>23886415</v>
      </c>
      <c r="H7" s="485">
        <f>F7+G7</f>
        <v>35924455</v>
      </c>
    </row>
    <row r="8" spans="1:8" ht="15.75">
      <c r="A8" s="19">
        <v>2</v>
      </c>
      <c r="B8" s="23" t="s">
        <v>36</v>
      </c>
      <c r="C8" s="481">
        <v>6716302</v>
      </c>
      <c r="D8" s="481">
        <v>204617975</v>
      </c>
      <c r="E8" s="482">
        <f t="shared" ref="E8:E20" si="0">C8+D8</f>
        <v>211334277</v>
      </c>
      <c r="F8" s="483">
        <v>597708</v>
      </c>
      <c r="G8" s="484">
        <v>220212777</v>
      </c>
      <c r="H8" s="485">
        <f t="shared" ref="H8:H40" si="1">F8+G8</f>
        <v>220810485</v>
      </c>
    </row>
    <row r="9" spans="1:8" ht="15.75">
      <c r="A9" s="19">
        <v>3</v>
      </c>
      <c r="B9" s="23" t="s">
        <v>37</v>
      </c>
      <c r="C9" s="481">
        <v>78414</v>
      </c>
      <c r="D9" s="481">
        <v>194561958</v>
      </c>
      <c r="E9" s="482">
        <f t="shared" si="0"/>
        <v>194640372</v>
      </c>
      <c r="F9" s="483">
        <v>23645319</v>
      </c>
      <c r="G9" s="484">
        <v>95062304</v>
      </c>
      <c r="H9" s="485">
        <f t="shared" si="1"/>
        <v>118707623</v>
      </c>
    </row>
    <row r="10" spans="1:8" ht="15.75">
      <c r="A10" s="19">
        <v>4</v>
      </c>
      <c r="B10" s="23" t="s">
        <v>38</v>
      </c>
      <c r="C10" s="481">
        <v>0</v>
      </c>
      <c r="D10" s="481">
        <v>0</v>
      </c>
      <c r="E10" s="482">
        <f t="shared" si="0"/>
        <v>0</v>
      </c>
      <c r="F10" s="483">
        <v>0</v>
      </c>
      <c r="G10" s="484">
        <v>0</v>
      </c>
      <c r="H10" s="485">
        <f t="shared" si="1"/>
        <v>0</v>
      </c>
    </row>
    <row r="11" spans="1:8" ht="15.75">
      <c r="A11" s="19">
        <v>5</v>
      </c>
      <c r="B11" s="23" t="s">
        <v>39</v>
      </c>
      <c r="C11" s="481">
        <v>32345550</v>
      </c>
      <c r="D11" s="481">
        <v>0</v>
      </c>
      <c r="E11" s="482">
        <f t="shared" si="0"/>
        <v>32345550</v>
      </c>
      <c r="F11" s="483">
        <v>42995676</v>
      </c>
      <c r="G11" s="484">
        <v>16717820</v>
      </c>
      <c r="H11" s="485">
        <f t="shared" si="1"/>
        <v>59713496</v>
      </c>
    </row>
    <row r="12" spans="1:8" ht="15.75">
      <c r="A12" s="19">
        <v>6.1</v>
      </c>
      <c r="B12" s="24" t="s">
        <v>40</v>
      </c>
      <c r="C12" s="481">
        <v>342036594</v>
      </c>
      <c r="D12" s="481">
        <v>623114348</v>
      </c>
      <c r="E12" s="482">
        <f t="shared" si="0"/>
        <v>965150942</v>
      </c>
      <c r="F12" s="483">
        <v>347564438</v>
      </c>
      <c r="G12" s="484">
        <v>771440529</v>
      </c>
      <c r="H12" s="485">
        <f t="shared" si="1"/>
        <v>1119004967</v>
      </c>
    </row>
    <row r="13" spans="1:8" ht="15.75">
      <c r="A13" s="19">
        <v>6.2</v>
      </c>
      <c r="B13" s="24" t="s">
        <v>41</v>
      </c>
      <c r="C13" s="481">
        <v>-63062496</v>
      </c>
      <c r="D13" s="481">
        <v>-98957338</v>
      </c>
      <c r="E13" s="482">
        <f t="shared" si="0"/>
        <v>-162019834</v>
      </c>
      <c r="F13" s="483">
        <v>-61314250</v>
      </c>
      <c r="G13" s="484">
        <v>-117905917</v>
      </c>
      <c r="H13" s="485">
        <f t="shared" si="1"/>
        <v>-179220167</v>
      </c>
    </row>
    <row r="14" spans="1:8" ht="15.75">
      <c r="A14" s="19">
        <v>6</v>
      </c>
      <c r="B14" s="23" t="s">
        <v>42</v>
      </c>
      <c r="C14" s="482">
        <f>C12+C13</f>
        <v>278974098</v>
      </c>
      <c r="D14" s="482">
        <f>D12+D13</f>
        <v>524157010</v>
      </c>
      <c r="E14" s="482">
        <f t="shared" si="0"/>
        <v>803131108</v>
      </c>
      <c r="F14" s="482">
        <f>F12+F13</f>
        <v>286250188</v>
      </c>
      <c r="G14" s="482">
        <f>G12+G13</f>
        <v>653534612</v>
      </c>
      <c r="H14" s="485">
        <f t="shared" si="1"/>
        <v>939784800</v>
      </c>
    </row>
    <row r="15" spans="1:8" ht="15.75">
      <c r="A15" s="19">
        <v>7</v>
      </c>
      <c r="B15" s="23" t="s">
        <v>43</v>
      </c>
      <c r="C15" s="481">
        <v>17439275</v>
      </c>
      <c r="D15" s="481">
        <v>7343250</v>
      </c>
      <c r="E15" s="482">
        <f t="shared" si="0"/>
        <v>24782525</v>
      </c>
      <c r="F15" s="483">
        <v>8121016</v>
      </c>
      <c r="G15" s="484">
        <v>6483163</v>
      </c>
      <c r="H15" s="485">
        <f>F15+G15</f>
        <v>14604179</v>
      </c>
    </row>
    <row r="16" spans="1:8" ht="15.75">
      <c r="A16" s="19">
        <v>8</v>
      </c>
      <c r="B16" s="23" t="s">
        <v>199</v>
      </c>
      <c r="C16" s="481">
        <v>15975500</v>
      </c>
      <c r="D16" s="481" t="s">
        <v>777</v>
      </c>
      <c r="E16" s="482">
        <f>C16</f>
        <v>15975500</v>
      </c>
      <c r="F16" s="483">
        <v>2483931</v>
      </c>
      <c r="G16" s="484" t="s">
        <v>777</v>
      </c>
      <c r="H16" s="485">
        <f t="shared" ref="H16:H18" si="2">F16</f>
        <v>2483931</v>
      </c>
    </row>
    <row r="17" spans="1:8" ht="15.75">
      <c r="A17" s="19">
        <v>9</v>
      </c>
      <c r="B17" s="23" t="s">
        <v>44</v>
      </c>
      <c r="C17" s="481">
        <v>7793239</v>
      </c>
      <c r="D17" s="481">
        <v>0</v>
      </c>
      <c r="E17" s="482">
        <f t="shared" si="0"/>
        <v>7793239</v>
      </c>
      <c r="F17" s="483">
        <v>7793239</v>
      </c>
      <c r="G17" s="484">
        <v>0</v>
      </c>
      <c r="H17" s="485">
        <f t="shared" si="2"/>
        <v>7793239</v>
      </c>
    </row>
    <row r="18" spans="1:8" ht="15.75">
      <c r="A18" s="19">
        <v>10</v>
      </c>
      <c r="B18" s="23" t="s">
        <v>45</v>
      </c>
      <c r="C18" s="481">
        <v>19652980</v>
      </c>
      <c r="D18" s="481" t="s">
        <v>777</v>
      </c>
      <c r="E18" s="482">
        <f>C18</f>
        <v>19652980</v>
      </c>
      <c r="F18" s="483">
        <v>20545588</v>
      </c>
      <c r="G18" s="484" t="s">
        <v>777</v>
      </c>
      <c r="H18" s="485">
        <f t="shared" si="2"/>
        <v>20545588</v>
      </c>
    </row>
    <row r="19" spans="1:8" ht="15.75">
      <c r="A19" s="19">
        <v>11</v>
      </c>
      <c r="B19" s="23" t="s">
        <v>46</v>
      </c>
      <c r="C19" s="481">
        <v>14540606</v>
      </c>
      <c r="D19" s="481">
        <v>31422383</v>
      </c>
      <c r="E19" s="482">
        <f t="shared" si="0"/>
        <v>45962989</v>
      </c>
      <c r="F19" s="483">
        <v>25529698</v>
      </c>
      <c r="G19" s="484">
        <v>4109763</v>
      </c>
      <c r="H19" s="485">
        <f>F19+G19</f>
        <v>29639461</v>
      </c>
    </row>
    <row r="20" spans="1:8" ht="15.75">
      <c r="A20" s="19">
        <v>12</v>
      </c>
      <c r="B20" s="26" t="s">
        <v>47</v>
      </c>
      <c r="C20" s="482">
        <f>SUM(C7:C11)+SUM(C14:C19)</f>
        <v>399449788</v>
      </c>
      <c r="D20" s="482">
        <f>SUM(D7:D11)+SUM(D14:D19)</f>
        <v>971020494</v>
      </c>
      <c r="E20" s="482">
        <f t="shared" si="0"/>
        <v>1370470282</v>
      </c>
      <c r="F20" s="482">
        <f>SUM(F7:F11)+SUM(F14:F19)</f>
        <v>430000403</v>
      </c>
      <c r="G20" s="482">
        <f>SUM(G7:G11)+SUM(G14:G19)</f>
        <v>1020006854</v>
      </c>
      <c r="H20" s="485">
        <f t="shared" si="1"/>
        <v>1450007257</v>
      </c>
    </row>
    <row r="21" spans="1:8" ht="15.75">
      <c r="A21" s="19"/>
      <c r="B21" s="20" t="s">
        <v>48</v>
      </c>
      <c r="C21" s="486" t="s">
        <v>715</v>
      </c>
      <c r="D21" s="486"/>
      <c r="E21" s="486"/>
      <c r="F21" s="487" t="s">
        <v>715</v>
      </c>
      <c r="G21" s="488"/>
      <c r="H21" s="489"/>
    </row>
    <row r="22" spans="1:8" ht="15.75">
      <c r="A22" s="19">
        <v>13</v>
      </c>
      <c r="B22" s="23" t="s">
        <v>49</v>
      </c>
      <c r="C22" s="481">
        <v>55977</v>
      </c>
      <c r="D22" s="481">
        <v>107864</v>
      </c>
      <c r="E22" s="482">
        <f>C22+D22</f>
        <v>163841</v>
      </c>
      <c r="F22" s="483">
        <v>51303</v>
      </c>
      <c r="G22" s="484">
        <v>116136</v>
      </c>
      <c r="H22" s="485">
        <f t="shared" si="1"/>
        <v>167439</v>
      </c>
    </row>
    <row r="23" spans="1:8" ht="15.75">
      <c r="A23" s="19">
        <v>14</v>
      </c>
      <c r="B23" s="23" t="s">
        <v>50</v>
      </c>
      <c r="C23" s="481">
        <v>35555659</v>
      </c>
      <c r="D23" s="481">
        <v>427628990</v>
      </c>
      <c r="E23" s="482">
        <f t="shared" ref="E23:E30" si="3">C23+D23</f>
        <v>463184649</v>
      </c>
      <c r="F23" s="483">
        <v>40186914</v>
      </c>
      <c r="G23" s="484">
        <v>302621616</v>
      </c>
      <c r="H23" s="485">
        <f t="shared" si="1"/>
        <v>342808530</v>
      </c>
    </row>
    <row r="24" spans="1:8" ht="15.75">
      <c r="A24" s="19">
        <v>15</v>
      </c>
      <c r="B24" s="23" t="s">
        <v>51</v>
      </c>
      <c r="C24" s="481">
        <v>17727858</v>
      </c>
      <c r="D24" s="481">
        <v>50267625</v>
      </c>
      <c r="E24" s="482">
        <f t="shared" si="3"/>
        <v>67995483</v>
      </c>
      <c r="F24" s="483">
        <v>17004721</v>
      </c>
      <c r="G24" s="484">
        <v>68068682</v>
      </c>
      <c r="H24" s="485">
        <f t="shared" si="1"/>
        <v>85073403</v>
      </c>
    </row>
    <row r="25" spans="1:8" ht="15.75">
      <c r="A25" s="19">
        <v>16</v>
      </c>
      <c r="B25" s="23" t="s">
        <v>52</v>
      </c>
      <c r="C25" s="481">
        <v>82869929</v>
      </c>
      <c r="D25" s="481">
        <v>416823053</v>
      </c>
      <c r="E25" s="482">
        <f t="shared" si="3"/>
        <v>499692982</v>
      </c>
      <c r="F25" s="483">
        <v>72787666</v>
      </c>
      <c r="G25" s="484">
        <v>505256273</v>
      </c>
      <c r="H25" s="485">
        <f t="shared" si="1"/>
        <v>578043939</v>
      </c>
    </row>
    <row r="26" spans="1:8" ht="15.75">
      <c r="A26" s="19">
        <v>17</v>
      </c>
      <c r="B26" s="23" t="s">
        <v>53</v>
      </c>
      <c r="C26" s="486"/>
      <c r="D26" s="486"/>
      <c r="E26" s="482">
        <f t="shared" si="3"/>
        <v>0</v>
      </c>
      <c r="F26" s="487"/>
      <c r="G26" s="488"/>
      <c r="H26" s="485">
        <f t="shared" si="1"/>
        <v>0</v>
      </c>
    </row>
    <row r="27" spans="1:8" ht="15.75">
      <c r="A27" s="19">
        <v>18</v>
      </c>
      <c r="B27" s="23" t="s">
        <v>54</v>
      </c>
      <c r="C27" s="481">
        <v>0</v>
      </c>
      <c r="D27" s="481">
        <v>0</v>
      </c>
      <c r="E27" s="482">
        <f t="shared" si="3"/>
        <v>0</v>
      </c>
      <c r="F27" s="483">
        <v>0</v>
      </c>
      <c r="G27" s="484">
        <v>0</v>
      </c>
      <c r="H27" s="485">
        <f t="shared" si="1"/>
        <v>0</v>
      </c>
    </row>
    <row r="28" spans="1:8" ht="15.75">
      <c r="A28" s="19">
        <v>19</v>
      </c>
      <c r="B28" s="23" t="s">
        <v>55</v>
      </c>
      <c r="C28" s="481">
        <v>6941623</v>
      </c>
      <c r="D28" s="481">
        <v>7781094</v>
      </c>
      <c r="E28" s="482">
        <f t="shared" si="3"/>
        <v>14722717</v>
      </c>
      <c r="F28" s="483">
        <v>3551096</v>
      </c>
      <c r="G28" s="484">
        <v>12050461</v>
      </c>
      <c r="H28" s="485">
        <f t="shared" si="1"/>
        <v>15601557</v>
      </c>
    </row>
    <row r="29" spans="1:8" ht="15.75">
      <c r="A29" s="19">
        <v>20</v>
      </c>
      <c r="B29" s="23" t="s">
        <v>56</v>
      </c>
      <c r="C29" s="481">
        <v>6305533</v>
      </c>
      <c r="D29" s="481">
        <v>1886820</v>
      </c>
      <c r="E29" s="482">
        <f t="shared" si="3"/>
        <v>8192353</v>
      </c>
      <c r="F29" s="483">
        <v>10839807</v>
      </c>
      <c r="G29" s="484">
        <v>5470217</v>
      </c>
      <c r="H29" s="485">
        <f t="shared" si="1"/>
        <v>16310024</v>
      </c>
    </row>
    <row r="30" spans="1:8" ht="15.75">
      <c r="A30" s="19">
        <v>21</v>
      </c>
      <c r="B30" s="23" t="s">
        <v>57</v>
      </c>
      <c r="C30" s="481">
        <v>0</v>
      </c>
      <c r="D30" s="481">
        <v>120950700</v>
      </c>
      <c r="E30" s="482">
        <f t="shared" si="3"/>
        <v>120950700</v>
      </c>
      <c r="F30" s="483">
        <v>0</v>
      </c>
      <c r="G30" s="484">
        <v>223814080</v>
      </c>
      <c r="H30" s="485">
        <f t="shared" si="1"/>
        <v>223814080</v>
      </c>
    </row>
    <row r="31" spans="1:8" ht="15.75">
      <c r="A31" s="19">
        <v>22</v>
      </c>
      <c r="B31" s="26" t="s">
        <v>58</v>
      </c>
      <c r="C31" s="482">
        <f>SUM(C22:C30)</f>
        <v>149456579</v>
      </c>
      <c r="D31" s="482">
        <f>SUM(D22:D30)</f>
        <v>1025446146</v>
      </c>
      <c r="E31" s="482">
        <f>C31+D31</f>
        <v>1174902725</v>
      </c>
      <c r="F31" s="482">
        <f>SUM(F22:F30)</f>
        <v>144421507</v>
      </c>
      <c r="G31" s="482">
        <f>SUM(G22:G30)</f>
        <v>1117397465</v>
      </c>
      <c r="H31" s="485">
        <f t="shared" si="1"/>
        <v>1261818972</v>
      </c>
    </row>
    <row r="32" spans="1:8" ht="15.75">
      <c r="A32" s="19"/>
      <c r="B32" s="20" t="s">
        <v>59</v>
      </c>
      <c r="C32" s="486"/>
      <c r="D32" s="486"/>
      <c r="E32" s="481"/>
      <c r="F32" s="487"/>
      <c r="G32" s="488"/>
      <c r="H32" s="489"/>
    </row>
    <row r="33" spans="1:8" ht="15.75">
      <c r="A33" s="19">
        <v>23</v>
      </c>
      <c r="B33" s="23" t="s">
        <v>60</v>
      </c>
      <c r="C33" s="481">
        <v>114430000</v>
      </c>
      <c r="D33" s="486"/>
      <c r="E33" s="482">
        <f>C33</f>
        <v>114430000</v>
      </c>
      <c r="F33" s="483">
        <v>114430000</v>
      </c>
      <c r="G33" s="488"/>
      <c r="H33" s="485">
        <f t="shared" si="1"/>
        <v>114430000</v>
      </c>
    </row>
    <row r="34" spans="1:8" ht="15.75">
      <c r="A34" s="19">
        <v>24</v>
      </c>
      <c r="B34" s="23" t="s">
        <v>61</v>
      </c>
      <c r="C34" s="481">
        <v>0</v>
      </c>
      <c r="D34" s="486"/>
      <c r="E34" s="482">
        <f t="shared" ref="E34:E40" si="4">C34</f>
        <v>0</v>
      </c>
      <c r="F34" s="483">
        <v>0</v>
      </c>
      <c r="G34" s="488"/>
      <c r="H34" s="485">
        <f t="shared" si="1"/>
        <v>0</v>
      </c>
    </row>
    <row r="35" spans="1:8" ht="15.75">
      <c r="A35" s="19">
        <v>25</v>
      </c>
      <c r="B35" s="25" t="s">
        <v>62</v>
      </c>
      <c r="C35" s="481">
        <v>0</v>
      </c>
      <c r="D35" s="486"/>
      <c r="E35" s="482">
        <f t="shared" si="4"/>
        <v>0</v>
      </c>
      <c r="F35" s="483">
        <v>0</v>
      </c>
      <c r="G35" s="488"/>
      <c r="H35" s="485">
        <f t="shared" si="1"/>
        <v>0</v>
      </c>
    </row>
    <row r="36" spans="1:8" ht="15.75">
      <c r="A36" s="19">
        <v>26</v>
      </c>
      <c r="B36" s="23" t="s">
        <v>63</v>
      </c>
      <c r="C36" s="481">
        <v>0</v>
      </c>
      <c r="D36" s="486"/>
      <c r="E36" s="482">
        <f t="shared" si="4"/>
        <v>0</v>
      </c>
      <c r="F36" s="483">
        <v>0</v>
      </c>
      <c r="G36" s="488"/>
      <c r="H36" s="485">
        <f t="shared" si="1"/>
        <v>0</v>
      </c>
    </row>
    <row r="37" spans="1:8" ht="15.75">
      <c r="A37" s="19">
        <v>27</v>
      </c>
      <c r="B37" s="23" t="s">
        <v>64</v>
      </c>
      <c r="C37" s="481">
        <v>7438034</v>
      </c>
      <c r="D37" s="486"/>
      <c r="E37" s="482">
        <f t="shared" si="4"/>
        <v>7438034</v>
      </c>
      <c r="F37" s="483">
        <v>7438034</v>
      </c>
      <c r="G37" s="488"/>
      <c r="H37" s="485">
        <f t="shared" si="1"/>
        <v>7438034</v>
      </c>
    </row>
    <row r="38" spans="1:8" ht="15.75">
      <c r="A38" s="19">
        <v>28</v>
      </c>
      <c r="B38" s="23" t="s">
        <v>65</v>
      </c>
      <c r="C38" s="481">
        <v>73960973</v>
      </c>
      <c r="D38" s="486"/>
      <c r="E38" s="482">
        <f t="shared" si="4"/>
        <v>73960973</v>
      </c>
      <c r="F38" s="483">
        <v>66012224</v>
      </c>
      <c r="G38" s="488"/>
      <c r="H38" s="485">
        <f t="shared" si="1"/>
        <v>66012224</v>
      </c>
    </row>
    <row r="39" spans="1:8" ht="15.75">
      <c r="A39" s="19">
        <v>29</v>
      </c>
      <c r="B39" s="23" t="s">
        <v>66</v>
      </c>
      <c r="C39" s="481">
        <v>-261450</v>
      </c>
      <c r="D39" s="486"/>
      <c r="E39" s="482">
        <f t="shared" si="4"/>
        <v>-261450</v>
      </c>
      <c r="F39" s="483">
        <v>308027</v>
      </c>
      <c r="G39" s="488"/>
      <c r="H39" s="485">
        <f t="shared" si="1"/>
        <v>308027</v>
      </c>
    </row>
    <row r="40" spans="1:8" ht="15.75">
      <c r="A40" s="19">
        <v>30</v>
      </c>
      <c r="B40" s="244" t="s">
        <v>266</v>
      </c>
      <c r="C40" s="481">
        <f>SUM(C33:C39)</f>
        <v>195567557</v>
      </c>
      <c r="D40" s="486"/>
      <c r="E40" s="482">
        <f t="shared" si="4"/>
        <v>195567557</v>
      </c>
      <c r="F40" s="483">
        <v>188188285</v>
      </c>
      <c r="G40" s="488"/>
      <c r="H40" s="485">
        <f t="shared" si="1"/>
        <v>188188285</v>
      </c>
    </row>
    <row r="41" spans="1:8" ht="15" thickBot="1">
      <c r="A41" s="27">
        <v>31</v>
      </c>
      <c r="B41" s="28" t="s">
        <v>67</v>
      </c>
      <c r="C41" s="29">
        <f>C31+C40</f>
        <v>345024136</v>
      </c>
      <c r="D41" s="29">
        <f>D31+D40</f>
        <v>1025446146</v>
      </c>
      <c r="E41" s="29">
        <f>C41+D41</f>
        <v>1370470282</v>
      </c>
      <c r="F41" s="29">
        <f>F31+F40</f>
        <v>332609792</v>
      </c>
      <c r="G41" s="29">
        <f>G31+G40</f>
        <v>1117397465</v>
      </c>
      <c r="H41" s="490">
        <f>F41+G41</f>
        <v>1450007257</v>
      </c>
    </row>
    <row r="43" spans="1:8">
      <c r="B43" s="30"/>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pane="topRight"/>
      <selection pane="bottomLeft"/>
      <selection pane="bottomRight"/>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CARTU BANK</v>
      </c>
      <c r="C1" s="3"/>
    </row>
    <row r="2" spans="1:8">
      <c r="A2" s="2" t="s">
        <v>31</v>
      </c>
      <c r="B2" s="370">
        <f>'1. key ratios '!B2</f>
        <v>44651</v>
      </c>
      <c r="C2" s="370"/>
    </row>
    <row r="3" spans="1:8">
      <c r="A3" s="2"/>
      <c r="B3" s="3"/>
      <c r="C3" s="3"/>
    </row>
    <row r="4" spans="1:8" ht="13.5" thickBot="1">
      <c r="A4" s="3" t="s">
        <v>195</v>
      </c>
      <c r="B4" s="203" t="s">
        <v>22</v>
      </c>
      <c r="C4" s="3"/>
      <c r="D4" s="14"/>
      <c r="E4" s="14"/>
      <c r="F4" s="15"/>
      <c r="G4" s="15"/>
      <c r="H4" s="32" t="s">
        <v>73</v>
      </c>
    </row>
    <row r="5" spans="1:8">
      <c r="A5" s="33" t="s">
        <v>6</v>
      </c>
      <c r="B5" s="34"/>
      <c r="C5" s="642" t="s">
        <v>68</v>
      </c>
      <c r="D5" s="643"/>
      <c r="E5" s="644"/>
      <c r="F5" s="642" t="s">
        <v>72</v>
      </c>
      <c r="G5" s="643"/>
      <c r="H5" s="645"/>
    </row>
    <row r="6" spans="1:8">
      <c r="A6" s="35" t="s">
        <v>6</v>
      </c>
      <c r="B6" s="36"/>
      <c r="C6" s="21" t="s">
        <v>69</v>
      </c>
      <c r="D6" s="21" t="s">
        <v>70</v>
      </c>
      <c r="E6" s="21" t="s">
        <v>71</v>
      </c>
      <c r="F6" s="21" t="s">
        <v>69</v>
      </c>
      <c r="G6" s="21" t="s">
        <v>70</v>
      </c>
      <c r="H6" s="22" t="s">
        <v>71</v>
      </c>
    </row>
    <row r="7" spans="1:8">
      <c r="A7" s="19"/>
      <c r="B7" s="203" t="s">
        <v>194</v>
      </c>
      <c r="C7" s="37"/>
      <c r="D7" s="37"/>
      <c r="E7" s="37"/>
      <c r="F7" s="37"/>
      <c r="G7" s="37"/>
      <c r="H7" s="38"/>
    </row>
    <row r="8" spans="1:8" ht="15">
      <c r="A8" s="19">
        <v>1</v>
      </c>
      <c r="B8" s="39" t="s">
        <v>193</v>
      </c>
      <c r="C8" s="600">
        <v>229531</v>
      </c>
      <c r="D8" s="600">
        <v>-112131</v>
      </c>
      <c r="E8" s="601">
        <f>C8+D8</f>
        <v>117400</v>
      </c>
      <c r="F8" s="600">
        <v>458656</v>
      </c>
      <c r="G8" s="600">
        <v>-136944</v>
      </c>
      <c r="H8" s="602">
        <f>F8+G8</f>
        <v>321712</v>
      </c>
    </row>
    <row r="9" spans="1:8" ht="15">
      <c r="A9" s="19">
        <v>2</v>
      </c>
      <c r="B9" s="39" t="s">
        <v>192</v>
      </c>
      <c r="C9" s="603">
        <f>SUM(C10:C18)</f>
        <v>7877685</v>
      </c>
      <c r="D9" s="603">
        <f>SUM(D10:D18)</f>
        <v>9218466</v>
      </c>
      <c r="E9" s="601">
        <f t="shared" ref="E9:E67" si="0">C9+D9</f>
        <v>17096151</v>
      </c>
      <c r="F9" s="603">
        <f>SUM(F10:F18)</f>
        <v>6623379</v>
      </c>
      <c r="G9" s="603">
        <f>SUM(G10:G18)</f>
        <v>10080714</v>
      </c>
      <c r="H9" s="602">
        <f t="shared" ref="H9:H67" si="1">F9+G9</f>
        <v>16704093</v>
      </c>
    </row>
    <row r="10" spans="1:8" ht="15">
      <c r="A10" s="19">
        <v>2.1</v>
      </c>
      <c r="B10" s="40" t="s">
        <v>191</v>
      </c>
      <c r="C10" s="600">
        <v>0</v>
      </c>
      <c r="D10" s="600">
        <v>0</v>
      </c>
      <c r="E10" s="601">
        <f t="shared" si="0"/>
        <v>0</v>
      </c>
      <c r="F10" s="600">
        <v>0</v>
      </c>
      <c r="G10" s="600">
        <v>0</v>
      </c>
      <c r="H10" s="602">
        <f t="shared" si="1"/>
        <v>0</v>
      </c>
    </row>
    <row r="11" spans="1:8" ht="15">
      <c r="A11" s="19">
        <v>2.2000000000000002</v>
      </c>
      <c r="B11" s="40" t="s">
        <v>190</v>
      </c>
      <c r="C11" s="600">
        <v>2715111.7</v>
      </c>
      <c r="D11" s="600">
        <v>3393702.1600000006</v>
      </c>
      <c r="E11" s="601">
        <f t="shared" si="0"/>
        <v>6108813.8600000013</v>
      </c>
      <c r="F11" s="600">
        <v>3252283.02</v>
      </c>
      <c r="G11" s="600">
        <v>3132633.0100000002</v>
      </c>
      <c r="H11" s="602">
        <f t="shared" si="1"/>
        <v>6384916.0300000003</v>
      </c>
    </row>
    <row r="12" spans="1:8" ht="15">
      <c r="A12" s="19">
        <v>2.2999999999999998</v>
      </c>
      <c r="B12" s="40" t="s">
        <v>189</v>
      </c>
      <c r="C12" s="600">
        <v>0</v>
      </c>
      <c r="D12" s="600">
        <v>3955.43</v>
      </c>
      <c r="E12" s="601">
        <f t="shared" si="0"/>
        <v>3955.43</v>
      </c>
      <c r="F12" s="600">
        <v>0</v>
      </c>
      <c r="G12" s="600">
        <v>4869.03</v>
      </c>
      <c r="H12" s="602">
        <f t="shared" si="1"/>
        <v>4869.03</v>
      </c>
    </row>
    <row r="13" spans="1:8" ht="15">
      <c r="A13" s="19">
        <v>2.4</v>
      </c>
      <c r="B13" s="40" t="s">
        <v>188</v>
      </c>
      <c r="C13" s="600">
        <v>80502.450000000012</v>
      </c>
      <c r="D13" s="600">
        <v>211084.85</v>
      </c>
      <c r="E13" s="601">
        <f t="shared" si="0"/>
        <v>291587.30000000005</v>
      </c>
      <c r="F13" s="600">
        <v>422570.67000000004</v>
      </c>
      <c r="G13" s="600">
        <v>348169.36999999994</v>
      </c>
      <c r="H13" s="602">
        <f t="shared" si="1"/>
        <v>770740.04</v>
      </c>
    </row>
    <row r="14" spans="1:8" ht="15">
      <c r="A14" s="19">
        <v>2.5</v>
      </c>
      <c r="B14" s="40" t="s">
        <v>187</v>
      </c>
      <c r="C14" s="600">
        <v>1088529.52</v>
      </c>
      <c r="D14" s="600">
        <v>1379578.3299999998</v>
      </c>
      <c r="E14" s="601">
        <f t="shared" si="0"/>
        <v>2468107.8499999996</v>
      </c>
      <c r="F14" s="600">
        <v>790873.89</v>
      </c>
      <c r="G14" s="600">
        <v>1355561.83</v>
      </c>
      <c r="H14" s="602">
        <f t="shared" si="1"/>
        <v>2146435.7200000002</v>
      </c>
    </row>
    <row r="15" spans="1:8" ht="15">
      <c r="A15" s="19">
        <v>2.6</v>
      </c>
      <c r="B15" s="40" t="s">
        <v>186</v>
      </c>
      <c r="C15" s="600">
        <v>2814195.4799999995</v>
      </c>
      <c r="D15" s="600">
        <v>901779.05</v>
      </c>
      <c r="E15" s="601">
        <f t="shared" si="0"/>
        <v>3715974.5299999993</v>
      </c>
      <c r="F15" s="600">
        <v>1378555.9200000002</v>
      </c>
      <c r="G15" s="600">
        <v>880218.24</v>
      </c>
      <c r="H15" s="602">
        <f t="shared" si="1"/>
        <v>2258774.16</v>
      </c>
    </row>
    <row r="16" spans="1:8" ht="15">
      <c r="A16" s="19">
        <v>2.7</v>
      </c>
      <c r="B16" s="40" t="s">
        <v>185</v>
      </c>
      <c r="C16" s="600">
        <v>864.81</v>
      </c>
      <c r="D16" s="600">
        <v>47901.88</v>
      </c>
      <c r="E16" s="601">
        <f t="shared" si="0"/>
        <v>48766.689999999995</v>
      </c>
      <c r="F16" s="600">
        <v>1567</v>
      </c>
      <c r="G16" s="600">
        <v>40007.049999999988</v>
      </c>
      <c r="H16" s="602">
        <f t="shared" si="1"/>
        <v>41574.049999999988</v>
      </c>
    </row>
    <row r="17" spans="1:8" ht="15">
      <c r="A17" s="19">
        <v>2.8</v>
      </c>
      <c r="B17" s="40" t="s">
        <v>184</v>
      </c>
      <c r="C17" s="600">
        <v>481626</v>
      </c>
      <c r="D17" s="600">
        <v>977539</v>
      </c>
      <c r="E17" s="601">
        <f t="shared" si="0"/>
        <v>1459165</v>
      </c>
      <c r="F17" s="600">
        <v>313952</v>
      </c>
      <c r="G17" s="600">
        <v>774631</v>
      </c>
      <c r="H17" s="602">
        <f t="shared" si="1"/>
        <v>1088583</v>
      </c>
    </row>
    <row r="18" spans="1:8" ht="15">
      <c r="A18" s="19">
        <v>2.9</v>
      </c>
      <c r="B18" s="40" t="s">
        <v>183</v>
      </c>
      <c r="C18" s="600">
        <v>696855.04000000004</v>
      </c>
      <c r="D18" s="600">
        <v>2302925.2999999998</v>
      </c>
      <c r="E18" s="601">
        <f t="shared" si="0"/>
        <v>2999780.34</v>
      </c>
      <c r="F18" s="600">
        <v>463576.5</v>
      </c>
      <c r="G18" s="600">
        <v>3544624.4699999997</v>
      </c>
      <c r="H18" s="602">
        <f t="shared" si="1"/>
        <v>4008200.9699999997</v>
      </c>
    </row>
    <row r="19" spans="1:8" ht="15">
      <c r="A19" s="19">
        <v>3</v>
      </c>
      <c r="B19" s="39" t="s">
        <v>182</v>
      </c>
      <c r="C19" s="600">
        <v>13545</v>
      </c>
      <c r="D19" s="600">
        <v>215397</v>
      </c>
      <c r="E19" s="601">
        <f t="shared" si="0"/>
        <v>228942</v>
      </c>
      <c r="F19" s="600">
        <v>221592</v>
      </c>
      <c r="G19" s="600">
        <v>210483</v>
      </c>
      <c r="H19" s="602">
        <f t="shared" si="1"/>
        <v>432075</v>
      </c>
    </row>
    <row r="20" spans="1:8" ht="15">
      <c r="A20" s="19">
        <v>4</v>
      </c>
      <c r="B20" s="39" t="s">
        <v>181</v>
      </c>
      <c r="C20" s="600">
        <v>106375</v>
      </c>
      <c r="D20" s="600">
        <v>136526</v>
      </c>
      <c r="E20" s="601">
        <f t="shared" si="0"/>
        <v>242901</v>
      </c>
      <c r="F20" s="600">
        <v>103746</v>
      </c>
      <c r="G20" s="600">
        <v>0</v>
      </c>
      <c r="H20" s="602">
        <f t="shared" si="1"/>
        <v>103746</v>
      </c>
    </row>
    <row r="21" spans="1:8" ht="15">
      <c r="A21" s="19">
        <v>5</v>
      </c>
      <c r="B21" s="39" t="s">
        <v>180</v>
      </c>
      <c r="C21" s="600">
        <v>0</v>
      </c>
      <c r="D21" s="600">
        <v>1380</v>
      </c>
      <c r="E21" s="601">
        <f t="shared" si="0"/>
        <v>1380</v>
      </c>
      <c r="F21" s="600">
        <v>0</v>
      </c>
      <c r="G21" s="600">
        <v>611</v>
      </c>
      <c r="H21" s="602">
        <f>F21+G21</f>
        <v>611</v>
      </c>
    </row>
    <row r="22" spans="1:8" ht="15">
      <c r="A22" s="19">
        <v>6</v>
      </c>
      <c r="B22" s="41" t="s">
        <v>179</v>
      </c>
      <c r="C22" s="603">
        <f>C8+C9+C19+C20+C21</f>
        <v>8227136</v>
      </c>
      <c r="D22" s="603">
        <f>D8+D9+D19+D20+D21</f>
        <v>9459638</v>
      </c>
      <c r="E22" s="601">
        <f>C22+D22</f>
        <v>17686774</v>
      </c>
      <c r="F22" s="603">
        <f>F8+F9+F19+F20+F21</f>
        <v>7407373</v>
      </c>
      <c r="G22" s="603">
        <f>G8+G9+G19+G20+G21</f>
        <v>10154864</v>
      </c>
      <c r="H22" s="602">
        <f>F22+G22</f>
        <v>17562237</v>
      </c>
    </row>
    <row r="23" spans="1:8" ht="15">
      <c r="A23" s="19"/>
      <c r="B23" s="203" t="s">
        <v>178</v>
      </c>
      <c r="C23" s="600"/>
      <c r="D23" s="600"/>
      <c r="E23" s="604"/>
      <c r="F23" s="600"/>
      <c r="G23" s="600"/>
      <c r="H23" s="605"/>
    </row>
    <row r="24" spans="1:8" ht="15">
      <c r="A24" s="19">
        <v>7</v>
      </c>
      <c r="B24" s="39" t="s">
        <v>177</v>
      </c>
      <c r="C24" s="600">
        <v>283892</v>
      </c>
      <c r="D24" s="600">
        <v>24581</v>
      </c>
      <c r="E24" s="601">
        <f t="shared" si="0"/>
        <v>308473</v>
      </c>
      <c r="F24" s="600">
        <v>223753</v>
      </c>
      <c r="G24" s="600">
        <v>-336746</v>
      </c>
      <c r="H24" s="602">
        <f t="shared" si="1"/>
        <v>-112993</v>
      </c>
    </row>
    <row r="25" spans="1:8" ht="15">
      <c r="A25" s="19">
        <v>8</v>
      </c>
      <c r="B25" s="39" t="s">
        <v>176</v>
      </c>
      <c r="C25" s="600">
        <v>2247460</v>
      </c>
      <c r="D25" s="600">
        <v>3365197</v>
      </c>
      <c r="E25" s="601">
        <f t="shared" si="0"/>
        <v>5612657</v>
      </c>
      <c r="F25" s="600">
        <v>1894227</v>
      </c>
      <c r="G25" s="600">
        <v>4497664</v>
      </c>
      <c r="H25" s="602">
        <f t="shared" si="1"/>
        <v>6391891</v>
      </c>
    </row>
    <row r="26" spans="1:8" ht="15">
      <c r="A26" s="19">
        <v>9</v>
      </c>
      <c r="B26" s="39" t="s">
        <v>175</v>
      </c>
      <c r="C26" s="600">
        <v>39589</v>
      </c>
      <c r="D26" s="600">
        <v>121</v>
      </c>
      <c r="E26" s="601">
        <f t="shared" si="0"/>
        <v>39710</v>
      </c>
      <c r="F26" s="600">
        <v>62</v>
      </c>
      <c r="G26" s="600">
        <v>131</v>
      </c>
      <c r="H26" s="602">
        <f t="shared" si="1"/>
        <v>193</v>
      </c>
    </row>
    <row r="27" spans="1:8" ht="15">
      <c r="A27" s="19">
        <v>10</v>
      </c>
      <c r="B27" s="39" t="s">
        <v>174</v>
      </c>
      <c r="C27" s="600">
        <v>0</v>
      </c>
      <c r="D27" s="600">
        <v>0</v>
      </c>
      <c r="E27" s="601">
        <f t="shared" si="0"/>
        <v>0</v>
      </c>
      <c r="F27" s="600">
        <v>0</v>
      </c>
      <c r="G27" s="600">
        <v>0</v>
      </c>
      <c r="H27" s="602">
        <f t="shared" si="1"/>
        <v>0</v>
      </c>
    </row>
    <row r="28" spans="1:8" ht="15">
      <c r="A28" s="19">
        <v>11</v>
      </c>
      <c r="B28" s="39" t="s">
        <v>173</v>
      </c>
      <c r="C28" s="600">
        <v>0</v>
      </c>
      <c r="D28" s="600">
        <v>1646789</v>
      </c>
      <c r="E28" s="601">
        <f t="shared" si="0"/>
        <v>1646789</v>
      </c>
      <c r="F28" s="600">
        <v>0</v>
      </c>
      <c r="G28" s="600">
        <v>2948426</v>
      </c>
      <c r="H28" s="602">
        <f t="shared" si="1"/>
        <v>2948426</v>
      </c>
    </row>
    <row r="29" spans="1:8" ht="15">
      <c r="A29" s="19">
        <v>12</v>
      </c>
      <c r="B29" s="39" t="s">
        <v>172</v>
      </c>
      <c r="C29" s="600"/>
      <c r="D29" s="600"/>
      <c r="E29" s="601">
        <f t="shared" si="0"/>
        <v>0</v>
      </c>
      <c r="F29" s="600"/>
      <c r="G29" s="600"/>
      <c r="H29" s="602">
        <f t="shared" si="1"/>
        <v>0</v>
      </c>
    </row>
    <row r="30" spans="1:8" ht="15">
      <c r="A30" s="19">
        <v>13</v>
      </c>
      <c r="B30" s="42" t="s">
        <v>171</v>
      </c>
      <c r="C30" s="603">
        <f>SUM(C24:C29)</f>
        <v>2570941</v>
      </c>
      <c r="D30" s="603">
        <f>SUM(D24:D29)</f>
        <v>5036688</v>
      </c>
      <c r="E30" s="601">
        <f t="shared" si="0"/>
        <v>7607629</v>
      </c>
      <c r="F30" s="603">
        <f>SUM(F24:F29)</f>
        <v>2118042</v>
      </c>
      <c r="G30" s="603">
        <f>SUM(G24:G29)</f>
        <v>7109475</v>
      </c>
      <c r="H30" s="602">
        <f t="shared" si="1"/>
        <v>9227517</v>
      </c>
    </row>
    <row r="31" spans="1:8" ht="15">
      <c r="A31" s="19">
        <v>14</v>
      </c>
      <c r="B31" s="42" t="s">
        <v>170</v>
      </c>
      <c r="C31" s="603">
        <f>C22-C30</f>
        <v>5656195</v>
      </c>
      <c r="D31" s="603">
        <f>D22-D30</f>
        <v>4422950</v>
      </c>
      <c r="E31" s="601">
        <f t="shared" si="0"/>
        <v>10079145</v>
      </c>
      <c r="F31" s="603">
        <f>F22-F30</f>
        <v>5289331</v>
      </c>
      <c r="G31" s="603">
        <f>G22-G30</f>
        <v>3045389</v>
      </c>
      <c r="H31" s="602">
        <f t="shared" si="1"/>
        <v>8334720</v>
      </c>
    </row>
    <row r="32" spans="1:8">
      <c r="A32" s="19"/>
      <c r="B32" s="43"/>
      <c r="C32" s="606"/>
      <c r="D32" s="606"/>
      <c r="E32" s="606"/>
      <c r="F32" s="606"/>
      <c r="G32" s="606"/>
      <c r="H32" s="607"/>
    </row>
    <row r="33" spans="1:8" ht="15">
      <c r="A33" s="19"/>
      <c r="B33" s="43" t="s">
        <v>169</v>
      </c>
      <c r="C33" s="600"/>
      <c r="D33" s="600"/>
      <c r="E33" s="604"/>
      <c r="F33" s="600"/>
      <c r="G33" s="600"/>
      <c r="H33" s="605"/>
    </row>
    <row r="34" spans="1:8" ht="15">
      <c r="A34" s="19">
        <v>15</v>
      </c>
      <c r="B34" s="44" t="s">
        <v>168</v>
      </c>
      <c r="C34" s="603">
        <f>C35-C36</f>
        <v>-305089</v>
      </c>
      <c r="D34" s="603">
        <f>D35-D36</f>
        <v>-654239</v>
      </c>
      <c r="E34" s="601">
        <f t="shared" si="0"/>
        <v>-959328</v>
      </c>
      <c r="F34" s="603">
        <f>F35-F36</f>
        <v>-207166</v>
      </c>
      <c r="G34" s="603">
        <f>G35-G36</f>
        <v>-1061100</v>
      </c>
      <c r="H34" s="602">
        <f t="shared" si="1"/>
        <v>-1268266</v>
      </c>
    </row>
    <row r="35" spans="1:8" ht="15">
      <c r="A35" s="19">
        <v>15.1</v>
      </c>
      <c r="B35" s="40" t="s">
        <v>167</v>
      </c>
      <c r="C35" s="600">
        <v>614510</v>
      </c>
      <c r="D35" s="600">
        <v>4014408</v>
      </c>
      <c r="E35" s="601">
        <f t="shared" si="0"/>
        <v>4628918</v>
      </c>
      <c r="F35" s="600">
        <v>546842</v>
      </c>
      <c r="G35" s="600">
        <v>477610</v>
      </c>
      <c r="H35" s="602">
        <f t="shared" si="1"/>
        <v>1024452</v>
      </c>
    </row>
    <row r="36" spans="1:8" ht="15">
      <c r="A36" s="19">
        <v>15.2</v>
      </c>
      <c r="B36" s="40" t="s">
        <v>166</v>
      </c>
      <c r="C36" s="600">
        <v>919599</v>
      </c>
      <c r="D36" s="600">
        <v>4668647</v>
      </c>
      <c r="E36" s="601">
        <f t="shared" si="0"/>
        <v>5588246</v>
      </c>
      <c r="F36" s="600">
        <v>754008</v>
      </c>
      <c r="G36" s="600">
        <v>1538710</v>
      </c>
      <c r="H36" s="602">
        <f t="shared" si="1"/>
        <v>2292718</v>
      </c>
    </row>
    <row r="37" spans="1:8" ht="15">
      <c r="A37" s="19">
        <v>16</v>
      </c>
      <c r="B37" s="39" t="s">
        <v>165</v>
      </c>
      <c r="C37" s="600">
        <v>0</v>
      </c>
      <c r="D37" s="600">
        <v>0</v>
      </c>
      <c r="E37" s="601">
        <f t="shared" si="0"/>
        <v>0</v>
      </c>
      <c r="F37" s="600">
        <v>0</v>
      </c>
      <c r="G37" s="600">
        <v>0</v>
      </c>
      <c r="H37" s="602">
        <f t="shared" si="1"/>
        <v>0</v>
      </c>
    </row>
    <row r="38" spans="1:8" ht="15">
      <c r="A38" s="19">
        <v>17</v>
      </c>
      <c r="B38" s="39" t="s">
        <v>164</v>
      </c>
      <c r="C38" s="600">
        <v>686622</v>
      </c>
      <c r="D38" s="600">
        <v>0</v>
      </c>
      <c r="E38" s="601">
        <f t="shared" si="0"/>
        <v>686622</v>
      </c>
      <c r="F38" s="600">
        <v>734959</v>
      </c>
      <c r="G38" s="600">
        <v>0</v>
      </c>
      <c r="H38" s="602">
        <f t="shared" si="1"/>
        <v>734959</v>
      </c>
    </row>
    <row r="39" spans="1:8" ht="15">
      <c r="A39" s="19">
        <v>18</v>
      </c>
      <c r="B39" s="39" t="s">
        <v>163</v>
      </c>
      <c r="C39" s="600">
        <v>-23397</v>
      </c>
      <c r="D39" s="600">
        <v>1083389</v>
      </c>
      <c r="E39" s="601">
        <f t="shared" si="0"/>
        <v>1059992</v>
      </c>
      <c r="F39" s="600">
        <v>128427</v>
      </c>
      <c r="G39" s="600">
        <v>455698</v>
      </c>
      <c r="H39" s="602">
        <f t="shared" si="1"/>
        <v>584125</v>
      </c>
    </row>
    <row r="40" spans="1:8" ht="15">
      <c r="A40" s="19">
        <v>19</v>
      </c>
      <c r="B40" s="39" t="s">
        <v>162</v>
      </c>
      <c r="C40" s="600">
        <v>1627394</v>
      </c>
      <c r="D40" s="600"/>
      <c r="E40" s="601">
        <f t="shared" si="0"/>
        <v>1627394</v>
      </c>
      <c r="F40" s="600">
        <v>1005277</v>
      </c>
      <c r="G40" s="600"/>
      <c r="H40" s="602">
        <f t="shared" si="1"/>
        <v>1005277</v>
      </c>
    </row>
    <row r="41" spans="1:8" ht="15">
      <c r="A41" s="19">
        <v>20</v>
      </c>
      <c r="B41" s="39" t="s">
        <v>161</v>
      </c>
      <c r="C41" s="600">
        <v>-166087</v>
      </c>
      <c r="D41" s="600"/>
      <c r="E41" s="601">
        <f t="shared" si="0"/>
        <v>-166087</v>
      </c>
      <c r="F41" s="600">
        <v>709299</v>
      </c>
      <c r="G41" s="600"/>
      <c r="H41" s="602">
        <f t="shared" si="1"/>
        <v>709299</v>
      </c>
    </row>
    <row r="42" spans="1:8" ht="15">
      <c r="A42" s="19">
        <v>21</v>
      </c>
      <c r="B42" s="39" t="s">
        <v>160</v>
      </c>
      <c r="C42" s="600">
        <v>3728</v>
      </c>
      <c r="D42" s="600">
        <v>0</v>
      </c>
      <c r="E42" s="601">
        <f t="shared" si="0"/>
        <v>3728</v>
      </c>
      <c r="F42" s="600">
        <v>7141</v>
      </c>
      <c r="G42" s="600">
        <v>0</v>
      </c>
      <c r="H42" s="602">
        <f t="shared" si="1"/>
        <v>7141</v>
      </c>
    </row>
    <row r="43" spans="1:8" ht="15">
      <c r="A43" s="19">
        <v>22</v>
      </c>
      <c r="B43" s="39" t="s">
        <v>159</v>
      </c>
      <c r="C43" s="600">
        <v>344082</v>
      </c>
      <c r="D43" s="600">
        <v>65840</v>
      </c>
      <c r="E43" s="601">
        <f t="shared" si="0"/>
        <v>409922</v>
      </c>
      <c r="F43" s="600">
        <v>428612</v>
      </c>
      <c r="G43" s="600">
        <v>74581</v>
      </c>
      <c r="H43" s="602">
        <f t="shared" si="1"/>
        <v>503193</v>
      </c>
    </row>
    <row r="44" spans="1:8" ht="15">
      <c r="A44" s="19">
        <v>23</v>
      </c>
      <c r="B44" s="39" t="s">
        <v>158</v>
      </c>
      <c r="C44" s="600">
        <v>105502</v>
      </c>
      <c r="D44" s="600">
        <v>123</v>
      </c>
      <c r="E44" s="601">
        <f t="shared" si="0"/>
        <v>105625</v>
      </c>
      <c r="F44" s="600">
        <v>7173364</v>
      </c>
      <c r="G44" s="600">
        <v>17415</v>
      </c>
      <c r="H44" s="602">
        <f t="shared" si="1"/>
        <v>7190779</v>
      </c>
    </row>
    <row r="45" spans="1:8" ht="15">
      <c r="A45" s="19">
        <v>24</v>
      </c>
      <c r="B45" s="42" t="s">
        <v>273</v>
      </c>
      <c r="C45" s="603">
        <f>C34+C37+C38+C39+C40+C41+C42+C43+C44</f>
        <v>2272755</v>
      </c>
      <c r="D45" s="603">
        <f>D34+D37+D38+D39+D40+D41+D42+D43+D44</f>
        <v>495113</v>
      </c>
      <c r="E45" s="601">
        <f t="shared" si="0"/>
        <v>2767868</v>
      </c>
      <c r="F45" s="603">
        <f>F34+F37+F38+F39+F40+F41+F42+F43+F44</f>
        <v>9979913</v>
      </c>
      <c r="G45" s="603">
        <f>G34+G37+G38+G39+G40+G41+G42+G43+G44</f>
        <v>-513406</v>
      </c>
      <c r="H45" s="602">
        <f t="shared" si="1"/>
        <v>9466507</v>
      </c>
    </row>
    <row r="46" spans="1:8">
      <c r="A46" s="19"/>
      <c r="B46" s="203" t="s">
        <v>157</v>
      </c>
      <c r="C46" s="600"/>
      <c r="D46" s="600"/>
      <c r="E46" s="600"/>
      <c r="F46" s="600"/>
      <c r="G46" s="600"/>
      <c r="H46" s="608"/>
    </row>
    <row r="47" spans="1:8" ht="15">
      <c r="A47" s="19">
        <v>25</v>
      </c>
      <c r="B47" s="39" t="s">
        <v>156</v>
      </c>
      <c r="C47" s="600">
        <v>137223</v>
      </c>
      <c r="D47" s="600">
        <v>224</v>
      </c>
      <c r="E47" s="601">
        <f t="shared" si="0"/>
        <v>137447</v>
      </c>
      <c r="F47" s="600">
        <v>168660</v>
      </c>
      <c r="G47" s="600">
        <v>9778</v>
      </c>
      <c r="H47" s="602">
        <f t="shared" si="1"/>
        <v>178438</v>
      </c>
    </row>
    <row r="48" spans="1:8" ht="15">
      <c r="A48" s="19">
        <v>26</v>
      </c>
      <c r="B48" s="39" t="s">
        <v>155</v>
      </c>
      <c r="C48" s="600">
        <v>30836</v>
      </c>
      <c r="D48" s="600">
        <v>285</v>
      </c>
      <c r="E48" s="601">
        <f t="shared" si="0"/>
        <v>31121</v>
      </c>
      <c r="F48" s="600">
        <v>94432</v>
      </c>
      <c r="G48" s="600">
        <v>545</v>
      </c>
      <c r="H48" s="602">
        <f t="shared" si="1"/>
        <v>94977</v>
      </c>
    </row>
    <row r="49" spans="1:8" ht="15">
      <c r="A49" s="19">
        <v>27</v>
      </c>
      <c r="B49" s="39" t="s">
        <v>154</v>
      </c>
      <c r="C49" s="600">
        <v>4259107</v>
      </c>
      <c r="D49" s="600"/>
      <c r="E49" s="601">
        <f t="shared" si="0"/>
        <v>4259107</v>
      </c>
      <c r="F49" s="600">
        <v>3236493</v>
      </c>
      <c r="G49" s="600"/>
      <c r="H49" s="602">
        <f t="shared" si="1"/>
        <v>3236493</v>
      </c>
    </row>
    <row r="50" spans="1:8" ht="15">
      <c r="A50" s="19">
        <v>28</v>
      </c>
      <c r="B50" s="39" t="s">
        <v>153</v>
      </c>
      <c r="C50" s="600">
        <v>12616</v>
      </c>
      <c r="D50" s="600"/>
      <c r="E50" s="601">
        <f t="shared" si="0"/>
        <v>12616</v>
      </c>
      <c r="F50" s="600">
        <v>8005</v>
      </c>
      <c r="G50" s="600"/>
      <c r="H50" s="602">
        <f t="shared" si="1"/>
        <v>8005</v>
      </c>
    </row>
    <row r="51" spans="1:8" ht="15">
      <c r="A51" s="19">
        <v>29</v>
      </c>
      <c r="B51" s="39" t="s">
        <v>152</v>
      </c>
      <c r="C51" s="600">
        <v>1118085</v>
      </c>
      <c r="D51" s="600"/>
      <c r="E51" s="601">
        <f t="shared" si="0"/>
        <v>1118085</v>
      </c>
      <c r="F51" s="600">
        <v>1068327</v>
      </c>
      <c r="G51" s="600"/>
      <c r="H51" s="602">
        <f t="shared" si="1"/>
        <v>1068327</v>
      </c>
    </row>
    <row r="52" spans="1:8" ht="15">
      <c r="A52" s="19">
        <v>30</v>
      </c>
      <c r="B52" s="39" t="s">
        <v>151</v>
      </c>
      <c r="C52" s="600">
        <v>1258384</v>
      </c>
      <c r="D52" s="600">
        <v>115993</v>
      </c>
      <c r="E52" s="601">
        <f t="shared" si="0"/>
        <v>1374377</v>
      </c>
      <c r="F52" s="600">
        <v>1226329</v>
      </c>
      <c r="G52" s="600">
        <v>123001</v>
      </c>
      <c r="H52" s="602">
        <f t="shared" si="1"/>
        <v>1349330</v>
      </c>
    </row>
    <row r="53" spans="1:8" ht="15">
      <c r="A53" s="19">
        <v>31</v>
      </c>
      <c r="B53" s="42" t="s">
        <v>274</v>
      </c>
      <c r="C53" s="603">
        <f>C47+C48+C49+C50+C51+C52</f>
        <v>6816251</v>
      </c>
      <c r="D53" s="603">
        <f>D47+D48+D49+D50+D51+D52</f>
        <v>116502</v>
      </c>
      <c r="E53" s="601">
        <f t="shared" si="0"/>
        <v>6932753</v>
      </c>
      <c r="F53" s="603">
        <f>F47+F48+F49+F50+F51+F52</f>
        <v>5802246</v>
      </c>
      <c r="G53" s="603">
        <f>G47+G48+G49+G50+G51+G52</f>
        <v>133324</v>
      </c>
      <c r="H53" s="602">
        <f t="shared" si="1"/>
        <v>5935570</v>
      </c>
    </row>
    <row r="54" spans="1:8" ht="15">
      <c r="A54" s="19">
        <v>32</v>
      </c>
      <c r="B54" s="42" t="s">
        <v>275</v>
      </c>
      <c r="C54" s="603">
        <f>C45-C53</f>
        <v>-4543496</v>
      </c>
      <c r="D54" s="603">
        <f>D45-D53</f>
        <v>378611</v>
      </c>
      <c r="E54" s="601">
        <f t="shared" si="0"/>
        <v>-4164885</v>
      </c>
      <c r="F54" s="603">
        <f>F45-F53</f>
        <v>4177667</v>
      </c>
      <c r="G54" s="603">
        <f>G45-G53</f>
        <v>-646730</v>
      </c>
      <c r="H54" s="602">
        <f t="shared" si="1"/>
        <v>3530937</v>
      </c>
    </row>
    <row r="55" spans="1:8">
      <c r="A55" s="19"/>
      <c r="B55" s="43"/>
      <c r="C55" s="606"/>
      <c r="D55" s="606"/>
      <c r="E55" s="606"/>
      <c r="F55" s="606"/>
      <c r="G55" s="606"/>
      <c r="H55" s="607"/>
    </row>
    <row r="56" spans="1:8" ht="15">
      <c r="A56" s="19">
        <v>33</v>
      </c>
      <c r="B56" s="42" t="s">
        <v>150</v>
      </c>
      <c r="C56" s="603">
        <f>C31+C54</f>
        <v>1112699</v>
      </c>
      <c r="D56" s="603">
        <f>D31+D54</f>
        <v>4801561</v>
      </c>
      <c r="E56" s="601">
        <f t="shared" si="0"/>
        <v>5914260</v>
      </c>
      <c r="F56" s="603">
        <f>F31+F54</f>
        <v>9466998</v>
      </c>
      <c r="G56" s="603">
        <f>G31+G54</f>
        <v>2398659</v>
      </c>
      <c r="H56" s="602">
        <f t="shared" si="1"/>
        <v>11865657</v>
      </c>
    </row>
    <row r="57" spans="1:8">
      <c r="A57" s="19"/>
      <c r="B57" s="43"/>
      <c r="C57" s="606"/>
      <c r="D57" s="606"/>
      <c r="E57" s="606"/>
      <c r="F57" s="606"/>
      <c r="G57" s="606"/>
      <c r="H57" s="607"/>
    </row>
    <row r="58" spans="1:8" ht="15">
      <c r="A58" s="19">
        <v>34</v>
      </c>
      <c r="B58" s="39" t="s">
        <v>149</v>
      </c>
      <c r="C58" s="600">
        <v>2601049</v>
      </c>
      <c r="D58" s="600"/>
      <c r="E58" s="601">
        <f>C58</f>
        <v>2601049</v>
      </c>
      <c r="F58" s="600">
        <v>2719141</v>
      </c>
      <c r="G58" s="600"/>
      <c r="H58" s="602">
        <f>F58</f>
        <v>2719141</v>
      </c>
    </row>
    <row r="59" spans="1:8" s="204" customFormat="1" ht="15">
      <c r="A59" s="19">
        <v>35</v>
      </c>
      <c r="B59" s="39" t="s">
        <v>148</v>
      </c>
      <c r="C59" s="600">
        <v>-309760</v>
      </c>
      <c r="D59" s="609"/>
      <c r="E59" s="610">
        <f>C59</f>
        <v>-309760</v>
      </c>
      <c r="F59" s="611">
        <v>13520</v>
      </c>
      <c r="G59" s="611"/>
      <c r="H59" s="612">
        <f>F59</f>
        <v>13520</v>
      </c>
    </row>
    <row r="60" spans="1:8" ht="15">
      <c r="A60" s="19">
        <v>36</v>
      </c>
      <c r="B60" s="39" t="s">
        <v>147</v>
      </c>
      <c r="C60" s="600">
        <v>319200</v>
      </c>
      <c r="D60" s="600"/>
      <c r="E60" s="601">
        <f>C60</f>
        <v>319200</v>
      </c>
      <c r="F60" s="600">
        <v>-978758</v>
      </c>
      <c r="G60" s="600"/>
      <c r="H60" s="602">
        <f>F60</f>
        <v>-978758</v>
      </c>
    </row>
    <row r="61" spans="1:8" ht="15">
      <c r="A61" s="19">
        <v>37</v>
      </c>
      <c r="B61" s="42" t="s">
        <v>146</v>
      </c>
      <c r="C61" s="603">
        <f>C58+C59+C60</f>
        <v>2610489</v>
      </c>
      <c r="D61" s="603">
        <f>D58+D59+D60</f>
        <v>0</v>
      </c>
      <c r="E61" s="601">
        <f t="shared" si="0"/>
        <v>2610489</v>
      </c>
      <c r="F61" s="603">
        <f>F58+F59+F60</f>
        <v>1753903</v>
      </c>
      <c r="G61" s="603">
        <f>G58+G59+G60</f>
        <v>0</v>
      </c>
      <c r="H61" s="602">
        <f t="shared" si="1"/>
        <v>1753903</v>
      </c>
    </row>
    <row r="62" spans="1:8">
      <c r="A62" s="19"/>
      <c r="B62" s="45"/>
      <c r="C62" s="600"/>
      <c r="D62" s="600"/>
      <c r="E62" s="600"/>
      <c r="F62" s="600"/>
      <c r="G62" s="600"/>
      <c r="H62" s="608"/>
    </row>
    <row r="63" spans="1:8" ht="15">
      <c r="A63" s="19">
        <v>38</v>
      </c>
      <c r="B63" s="46" t="s">
        <v>145</v>
      </c>
      <c r="C63" s="603">
        <f>C56-C61</f>
        <v>-1497790</v>
      </c>
      <c r="D63" s="603">
        <f>D56-D61</f>
        <v>4801561</v>
      </c>
      <c r="E63" s="601">
        <f t="shared" si="0"/>
        <v>3303771</v>
      </c>
      <c r="F63" s="603">
        <f>F56-F61</f>
        <v>7713095</v>
      </c>
      <c r="G63" s="603">
        <f>G56-G61</f>
        <v>2398659</v>
      </c>
      <c r="H63" s="602">
        <f t="shared" si="1"/>
        <v>10111754</v>
      </c>
    </row>
    <row r="64" spans="1:8" ht="15">
      <c r="A64" s="35">
        <v>39</v>
      </c>
      <c r="B64" s="39" t="s">
        <v>144</v>
      </c>
      <c r="C64" s="613">
        <v>750458</v>
      </c>
      <c r="D64" s="613"/>
      <c r="E64" s="601">
        <f t="shared" si="0"/>
        <v>750458</v>
      </c>
      <c r="F64" s="613">
        <v>1488695</v>
      </c>
      <c r="G64" s="613"/>
      <c r="H64" s="602">
        <f t="shared" si="1"/>
        <v>1488695</v>
      </c>
    </row>
    <row r="65" spans="1:8" ht="15">
      <c r="A65" s="19">
        <v>40</v>
      </c>
      <c r="B65" s="42" t="s">
        <v>143</v>
      </c>
      <c r="C65" s="603">
        <f>C63-C64</f>
        <v>-2248248</v>
      </c>
      <c r="D65" s="603">
        <f>D63-D64</f>
        <v>4801561</v>
      </c>
      <c r="E65" s="601">
        <f t="shared" si="0"/>
        <v>2553313</v>
      </c>
      <c r="F65" s="603">
        <f>F63-F64</f>
        <v>6224400</v>
      </c>
      <c r="G65" s="603">
        <f>G63-G64</f>
        <v>2398659</v>
      </c>
      <c r="H65" s="602">
        <f t="shared" si="1"/>
        <v>8623059</v>
      </c>
    </row>
    <row r="66" spans="1:8" ht="15">
      <c r="A66" s="35">
        <v>41</v>
      </c>
      <c r="B66" s="39" t="s">
        <v>142</v>
      </c>
      <c r="C66" s="613">
        <v>0</v>
      </c>
      <c r="D66" s="613"/>
      <c r="E66" s="601">
        <f t="shared" si="0"/>
        <v>0</v>
      </c>
      <c r="F66" s="613">
        <v>0</v>
      </c>
      <c r="G66" s="613"/>
      <c r="H66" s="602">
        <f t="shared" si="1"/>
        <v>0</v>
      </c>
    </row>
    <row r="67" spans="1:8" ht="15.75" thickBot="1">
      <c r="A67" s="47">
        <v>42</v>
      </c>
      <c r="B67" s="48" t="s">
        <v>141</v>
      </c>
      <c r="C67" s="614">
        <f>C65+C66</f>
        <v>-2248248</v>
      </c>
      <c r="D67" s="614">
        <f>D65+D66</f>
        <v>4801561</v>
      </c>
      <c r="E67" s="615">
        <f t="shared" si="0"/>
        <v>2553313</v>
      </c>
      <c r="F67" s="614">
        <f>F65+F66</f>
        <v>6224400</v>
      </c>
      <c r="G67" s="614">
        <f>G65+G66</f>
        <v>2398659</v>
      </c>
      <c r="H67" s="616">
        <f t="shared" si="1"/>
        <v>8623059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8">
      <c r="A1" s="2" t="s">
        <v>30</v>
      </c>
      <c r="B1" s="3" t="str">
        <f>'Info '!C2</f>
        <v>JSC CARTU BANK</v>
      </c>
    </row>
    <row r="2" spans="1:8">
      <c r="A2" s="2" t="s">
        <v>31</v>
      </c>
      <c r="B2" s="370">
        <f>'1. key ratios '!B2</f>
        <v>44651</v>
      </c>
    </row>
    <row r="3" spans="1:8">
      <c r="A3" s="4"/>
    </row>
    <row r="4" spans="1:8" ht="15" thickBot="1">
      <c r="A4" s="4" t="s">
        <v>74</v>
      </c>
      <c r="B4" s="4"/>
      <c r="C4" s="187"/>
      <c r="D4" s="187"/>
      <c r="E4" s="187"/>
      <c r="F4" s="187"/>
      <c r="G4" s="187"/>
      <c r="H4" s="188" t="s">
        <v>73</v>
      </c>
    </row>
    <row r="5" spans="1:8">
      <c r="A5" s="646" t="s">
        <v>6</v>
      </c>
      <c r="B5" s="648" t="s">
        <v>340</v>
      </c>
      <c r="C5" s="642" t="s">
        <v>68</v>
      </c>
      <c r="D5" s="643"/>
      <c r="E5" s="644"/>
      <c r="F5" s="642" t="s">
        <v>72</v>
      </c>
      <c r="G5" s="643"/>
      <c r="H5" s="645"/>
    </row>
    <row r="6" spans="1:8">
      <c r="A6" s="647"/>
      <c r="B6" s="649"/>
      <c r="C6" s="21" t="s">
        <v>287</v>
      </c>
      <c r="D6" s="21" t="s">
        <v>122</v>
      </c>
      <c r="E6" s="21" t="s">
        <v>109</v>
      </c>
      <c r="F6" s="21" t="s">
        <v>287</v>
      </c>
      <c r="G6" s="21" t="s">
        <v>122</v>
      </c>
      <c r="H6" s="22" t="s">
        <v>109</v>
      </c>
    </row>
    <row r="7" spans="1:8" ht="15.75">
      <c r="A7" s="77">
        <v>1</v>
      </c>
      <c r="B7" s="189" t="s">
        <v>374</v>
      </c>
      <c r="C7" s="617"/>
      <c r="D7" s="617"/>
      <c r="E7" s="618">
        <f>C7+D7</f>
        <v>0</v>
      </c>
      <c r="F7" s="617"/>
      <c r="G7" s="617"/>
      <c r="H7" s="619">
        <f t="shared" ref="H7:H53" si="0">F7+G7</f>
        <v>0</v>
      </c>
    </row>
    <row r="8" spans="1:8" ht="15.75">
      <c r="A8" s="77">
        <v>1.1000000000000001</v>
      </c>
      <c r="B8" s="233" t="s">
        <v>305</v>
      </c>
      <c r="C8" s="617">
        <v>20414501</v>
      </c>
      <c r="D8" s="617">
        <v>9477987</v>
      </c>
      <c r="E8" s="618">
        <f>C8+D8</f>
        <v>29892488</v>
      </c>
      <c r="F8" s="617">
        <v>30896126</v>
      </c>
      <c r="G8" s="617">
        <v>5221780</v>
      </c>
      <c r="H8" s="619">
        <f t="shared" si="0"/>
        <v>36117906</v>
      </c>
    </row>
    <row r="9" spans="1:8" ht="15.75">
      <c r="A9" s="77">
        <v>1.2</v>
      </c>
      <c r="B9" s="233" t="s">
        <v>306</v>
      </c>
      <c r="C9" s="617"/>
      <c r="D9" s="617">
        <v>0</v>
      </c>
      <c r="E9" s="618">
        <f t="shared" ref="E9:E52" si="1">C9+D9</f>
        <v>0</v>
      </c>
      <c r="F9" s="617"/>
      <c r="G9" s="617">
        <v>1467074</v>
      </c>
      <c r="H9" s="619">
        <f t="shared" si="0"/>
        <v>1467074</v>
      </c>
    </row>
    <row r="10" spans="1:8" ht="15.75">
      <c r="A10" s="77">
        <v>1.3</v>
      </c>
      <c r="B10" s="233" t="s">
        <v>307</v>
      </c>
      <c r="C10" s="617">
        <v>8025166</v>
      </c>
      <c r="D10" s="617">
        <v>13352163</v>
      </c>
      <c r="E10" s="618">
        <f t="shared" si="1"/>
        <v>21377329</v>
      </c>
      <c r="F10" s="617">
        <v>7681350</v>
      </c>
      <c r="G10" s="617">
        <v>16615444</v>
      </c>
      <c r="H10" s="619">
        <f t="shared" si="0"/>
        <v>24296794</v>
      </c>
    </row>
    <row r="11" spans="1:8" ht="15.75">
      <c r="A11" s="77">
        <v>1.4</v>
      </c>
      <c r="B11" s="233" t="s">
        <v>288</v>
      </c>
      <c r="C11" s="617">
        <v>7273</v>
      </c>
      <c r="D11" s="617">
        <v>0</v>
      </c>
      <c r="E11" s="618">
        <f t="shared" si="1"/>
        <v>7273</v>
      </c>
      <c r="F11" s="617">
        <v>7995</v>
      </c>
      <c r="G11" s="617">
        <v>0</v>
      </c>
      <c r="H11" s="619">
        <f t="shared" si="0"/>
        <v>7995</v>
      </c>
    </row>
    <row r="12" spans="1:8" ht="29.25" customHeight="1">
      <c r="A12" s="77">
        <v>2</v>
      </c>
      <c r="B12" s="191" t="s">
        <v>309</v>
      </c>
      <c r="C12" s="617"/>
      <c r="D12" s="617"/>
      <c r="E12" s="618">
        <f t="shared" si="1"/>
        <v>0</v>
      </c>
      <c r="F12" s="617"/>
      <c r="G12" s="617"/>
      <c r="H12" s="619">
        <f t="shared" si="0"/>
        <v>0</v>
      </c>
    </row>
    <row r="13" spans="1:8" ht="19.899999999999999" customHeight="1">
      <c r="A13" s="77">
        <v>3</v>
      </c>
      <c r="B13" s="191" t="s">
        <v>308</v>
      </c>
      <c r="C13" s="617"/>
      <c r="D13" s="617"/>
      <c r="E13" s="618">
        <f t="shared" si="1"/>
        <v>0</v>
      </c>
      <c r="F13" s="617"/>
      <c r="G13" s="617"/>
      <c r="H13" s="619">
        <f t="shared" si="0"/>
        <v>0</v>
      </c>
    </row>
    <row r="14" spans="1:8" ht="15.75">
      <c r="A14" s="77">
        <v>3.1</v>
      </c>
      <c r="B14" s="234" t="s">
        <v>289</v>
      </c>
      <c r="C14" s="617"/>
      <c r="D14" s="617"/>
      <c r="E14" s="618">
        <f t="shared" si="1"/>
        <v>0</v>
      </c>
      <c r="F14" s="617"/>
      <c r="G14" s="617"/>
      <c r="H14" s="619">
        <f t="shared" si="0"/>
        <v>0</v>
      </c>
    </row>
    <row r="15" spans="1:8" ht="15.75">
      <c r="A15" s="77">
        <v>3.2</v>
      </c>
      <c r="B15" s="234" t="s">
        <v>290</v>
      </c>
      <c r="C15" s="617"/>
      <c r="D15" s="617"/>
      <c r="E15" s="618">
        <f t="shared" si="1"/>
        <v>0</v>
      </c>
      <c r="F15" s="617"/>
      <c r="G15" s="617"/>
      <c r="H15" s="619">
        <f t="shared" si="0"/>
        <v>0</v>
      </c>
    </row>
    <row r="16" spans="1:8" ht="15.75">
      <c r="A16" s="77">
        <v>4</v>
      </c>
      <c r="B16" s="237" t="s">
        <v>319</v>
      </c>
      <c r="C16" s="617"/>
      <c r="D16" s="617"/>
      <c r="E16" s="618">
        <f t="shared" si="1"/>
        <v>0</v>
      </c>
      <c r="F16" s="617"/>
      <c r="G16" s="617"/>
      <c r="H16" s="619">
        <f t="shared" si="0"/>
        <v>0</v>
      </c>
    </row>
    <row r="17" spans="1:8" ht="15.75">
      <c r="A17" s="77">
        <v>4.0999999999999996</v>
      </c>
      <c r="B17" s="234" t="s">
        <v>310</v>
      </c>
      <c r="C17" s="617">
        <v>8470932.0845959932</v>
      </c>
      <c r="D17" s="617">
        <v>2775265.7892880002</v>
      </c>
      <c r="E17" s="618">
        <f t="shared" si="1"/>
        <v>11246197.873883992</v>
      </c>
      <c r="F17" s="617">
        <v>7865369.2293330152</v>
      </c>
      <c r="G17" s="617">
        <v>5725557.7552341493</v>
      </c>
      <c r="H17" s="619">
        <f t="shared" si="0"/>
        <v>13590926.984567165</v>
      </c>
    </row>
    <row r="18" spans="1:8" ht="15.75">
      <c r="A18" s="77">
        <v>4.2</v>
      </c>
      <c r="B18" s="234" t="s">
        <v>304</v>
      </c>
      <c r="C18" s="617">
        <v>127159531.29120211</v>
      </c>
      <c r="D18" s="617">
        <v>377958374.86550486</v>
      </c>
      <c r="E18" s="618">
        <f t="shared" si="1"/>
        <v>505117906.15670699</v>
      </c>
      <c r="F18" s="617">
        <v>145400390.29654005</v>
      </c>
      <c r="G18" s="617">
        <v>431145564.01770735</v>
      </c>
      <c r="H18" s="619">
        <f t="shared" si="0"/>
        <v>576545954.31424737</v>
      </c>
    </row>
    <row r="19" spans="1:8" ht="15.75">
      <c r="A19" s="77">
        <v>5</v>
      </c>
      <c r="B19" s="191" t="s">
        <v>318</v>
      </c>
      <c r="C19" s="617"/>
      <c r="D19" s="617"/>
      <c r="E19" s="618">
        <f t="shared" si="1"/>
        <v>0</v>
      </c>
      <c r="F19" s="617"/>
      <c r="G19" s="617"/>
      <c r="H19" s="619">
        <f t="shared" si="0"/>
        <v>0</v>
      </c>
    </row>
    <row r="20" spans="1:8" ht="15.75">
      <c r="A20" s="77">
        <v>5.0999999999999996</v>
      </c>
      <c r="B20" s="235" t="s">
        <v>293</v>
      </c>
      <c r="C20" s="617">
        <v>2619671.56</v>
      </c>
      <c r="D20" s="617">
        <v>47274068.130849019</v>
      </c>
      <c r="E20" s="618">
        <f t="shared" si="1"/>
        <v>49893739.690849021</v>
      </c>
      <c r="F20" s="617">
        <v>461055.56</v>
      </c>
      <c r="G20" s="617">
        <v>41676292.337833993</v>
      </c>
      <c r="H20" s="619">
        <f t="shared" si="0"/>
        <v>42137347.897833996</v>
      </c>
    </row>
    <row r="21" spans="1:8" ht="15.75">
      <c r="A21" s="77">
        <v>5.2</v>
      </c>
      <c r="B21" s="235" t="s">
        <v>292</v>
      </c>
      <c r="C21" s="617">
        <v>0</v>
      </c>
      <c r="D21" s="617">
        <v>0</v>
      </c>
      <c r="E21" s="618">
        <f t="shared" si="1"/>
        <v>0</v>
      </c>
      <c r="F21" s="617">
        <v>0</v>
      </c>
      <c r="G21" s="617">
        <v>0</v>
      </c>
      <c r="H21" s="619">
        <f t="shared" si="0"/>
        <v>0</v>
      </c>
    </row>
    <row r="22" spans="1:8" ht="15.75">
      <c r="A22" s="77">
        <v>5.3</v>
      </c>
      <c r="B22" s="235" t="s">
        <v>291</v>
      </c>
      <c r="C22" s="617">
        <v>18861768.100000001</v>
      </c>
      <c r="D22" s="617">
        <v>1668972184.7271018</v>
      </c>
      <c r="E22" s="618">
        <f t="shared" si="1"/>
        <v>1687833952.8271017</v>
      </c>
      <c r="F22" s="617">
        <v>28433941.199999999</v>
      </c>
      <c r="G22" s="617">
        <v>2039601756.7415724</v>
      </c>
      <c r="H22" s="619">
        <f t="shared" si="0"/>
        <v>2068035697.9415724</v>
      </c>
    </row>
    <row r="23" spans="1:8" ht="15.75">
      <c r="A23" s="77" t="s">
        <v>15</v>
      </c>
      <c r="B23" s="192" t="s">
        <v>75</v>
      </c>
      <c r="C23" s="617">
        <v>310130</v>
      </c>
      <c r="D23" s="617">
        <v>188202746.81540498</v>
      </c>
      <c r="E23" s="618">
        <f t="shared" si="1"/>
        <v>188512876.81540498</v>
      </c>
      <c r="F23" s="617">
        <v>341180</v>
      </c>
      <c r="G23" s="617">
        <v>179221769.40426758</v>
      </c>
      <c r="H23" s="619">
        <f t="shared" si="0"/>
        <v>179562949.40426758</v>
      </c>
    </row>
    <row r="24" spans="1:8" ht="15.75">
      <c r="A24" s="77" t="s">
        <v>16</v>
      </c>
      <c r="B24" s="192" t="s">
        <v>76</v>
      </c>
      <c r="C24" s="617">
        <v>735008.10000000009</v>
      </c>
      <c r="D24" s="617">
        <v>826056259.08494008</v>
      </c>
      <c r="E24" s="618">
        <f t="shared" si="1"/>
        <v>826791267.1849401</v>
      </c>
      <c r="F24" s="617">
        <v>10948466.199999999</v>
      </c>
      <c r="G24" s="617">
        <v>1166886674.84477</v>
      </c>
      <c r="H24" s="619">
        <f t="shared" si="0"/>
        <v>1177835141.04477</v>
      </c>
    </row>
    <row r="25" spans="1:8" ht="15.75">
      <c r="A25" s="77" t="s">
        <v>17</v>
      </c>
      <c r="B25" s="192" t="s">
        <v>77</v>
      </c>
      <c r="C25" s="617">
        <v>0</v>
      </c>
      <c r="D25" s="617">
        <v>158295205.57515031</v>
      </c>
      <c r="E25" s="618">
        <f t="shared" si="1"/>
        <v>158295205.57515031</v>
      </c>
      <c r="F25" s="617">
        <v>0</v>
      </c>
      <c r="G25" s="617">
        <v>150236055.08384922</v>
      </c>
      <c r="H25" s="619">
        <f t="shared" si="0"/>
        <v>150236055.08384922</v>
      </c>
    </row>
    <row r="26" spans="1:8" ht="15.75">
      <c r="A26" s="77" t="s">
        <v>18</v>
      </c>
      <c r="B26" s="192" t="s">
        <v>78</v>
      </c>
      <c r="C26" s="617">
        <v>17816630</v>
      </c>
      <c r="D26" s="617">
        <v>396722021.7547273</v>
      </c>
      <c r="E26" s="618">
        <f t="shared" si="1"/>
        <v>414538651.7547273</v>
      </c>
      <c r="F26" s="617">
        <v>17144295</v>
      </c>
      <c r="G26" s="617">
        <v>461342048.51520956</v>
      </c>
      <c r="H26" s="619">
        <f t="shared" si="0"/>
        <v>478486343.51520956</v>
      </c>
    </row>
    <row r="27" spans="1:8" ht="15.75">
      <c r="A27" s="77" t="s">
        <v>19</v>
      </c>
      <c r="B27" s="192" t="s">
        <v>79</v>
      </c>
      <c r="C27" s="617">
        <v>0</v>
      </c>
      <c r="D27" s="617">
        <v>99695951.496879101</v>
      </c>
      <c r="E27" s="618">
        <f t="shared" si="1"/>
        <v>99695951.496879101</v>
      </c>
      <c r="F27" s="617">
        <v>0</v>
      </c>
      <c r="G27" s="617">
        <v>81915208.893476009</v>
      </c>
      <c r="H27" s="619">
        <f t="shared" si="0"/>
        <v>81915208.893476009</v>
      </c>
    </row>
    <row r="28" spans="1:8" ht="15.75">
      <c r="A28" s="77">
        <v>5.4</v>
      </c>
      <c r="B28" s="235" t="s">
        <v>294</v>
      </c>
      <c r="C28" s="617">
        <v>204220021.26449209</v>
      </c>
      <c r="D28" s="617">
        <v>306100556.12621266</v>
      </c>
      <c r="E28" s="618">
        <f t="shared" si="1"/>
        <v>510320577.39070475</v>
      </c>
      <c r="F28" s="617">
        <v>192968097.91953889</v>
      </c>
      <c r="G28" s="617">
        <v>477939980.82189709</v>
      </c>
      <c r="H28" s="619">
        <f t="shared" si="0"/>
        <v>670908078.741436</v>
      </c>
    </row>
    <row r="29" spans="1:8" ht="15.75">
      <c r="A29" s="77">
        <v>5.5</v>
      </c>
      <c r="B29" s="235" t="s">
        <v>295</v>
      </c>
      <c r="C29" s="617">
        <v>22753825.740000002</v>
      </c>
      <c r="D29" s="617">
        <v>181430387.32819998</v>
      </c>
      <c r="E29" s="618">
        <f t="shared" si="1"/>
        <v>204184213.06819999</v>
      </c>
      <c r="F29" s="617">
        <v>10726543.02</v>
      </c>
      <c r="G29" s="617">
        <v>221485687.89199999</v>
      </c>
      <c r="H29" s="619">
        <f t="shared" si="0"/>
        <v>232212230.912</v>
      </c>
    </row>
    <row r="30" spans="1:8" ht="15.75">
      <c r="A30" s="77">
        <v>5.6</v>
      </c>
      <c r="B30" s="235" t="s">
        <v>296</v>
      </c>
      <c r="C30" s="617">
        <v>0</v>
      </c>
      <c r="D30" s="617">
        <v>4807015</v>
      </c>
      <c r="E30" s="618">
        <f t="shared" si="1"/>
        <v>4807015</v>
      </c>
      <c r="F30" s="617">
        <v>0</v>
      </c>
      <c r="G30" s="617">
        <v>5288290</v>
      </c>
      <c r="H30" s="619">
        <f t="shared" si="0"/>
        <v>5288290</v>
      </c>
    </row>
    <row r="31" spans="1:8" ht="15.75">
      <c r="A31" s="77">
        <v>5.7</v>
      </c>
      <c r="B31" s="235" t="s">
        <v>79</v>
      </c>
      <c r="C31" s="617">
        <v>2887869</v>
      </c>
      <c r="D31" s="617">
        <v>30169446.420000017</v>
      </c>
      <c r="E31" s="618">
        <f t="shared" si="1"/>
        <v>33057315.420000017</v>
      </c>
      <c r="F31" s="617">
        <v>13915151.710000001</v>
      </c>
      <c r="G31" s="617">
        <v>33408345.620000005</v>
      </c>
      <c r="H31" s="619">
        <f t="shared" si="0"/>
        <v>47323497.330000006</v>
      </c>
    </row>
    <row r="32" spans="1:8" ht="15.75">
      <c r="A32" s="77">
        <v>6</v>
      </c>
      <c r="B32" s="191" t="s">
        <v>324</v>
      </c>
      <c r="C32" s="617"/>
      <c r="D32" s="617"/>
      <c r="E32" s="618">
        <f t="shared" si="1"/>
        <v>0</v>
      </c>
      <c r="F32" s="617"/>
      <c r="G32" s="617"/>
      <c r="H32" s="619">
        <f t="shared" si="0"/>
        <v>0</v>
      </c>
    </row>
    <row r="33" spans="1:8" ht="15.75">
      <c r="A33" s="77">
        <v>6.1</v>
      </c>
      <c r="B33" s="236" t="s">
        <v>314</v>
      </c>
      <c r="C33" s="617"/>
      <c r="D33" s="617">
        <v>23316968.98</v>
      </c>
      <c r="E33" s="618">
        <f t="shared" si="1"/>
        <v>23316968.98</v>
      </c>
      <c r="F33" s="617"/>
      <c r="G33" s="617">
        <v>20320953.739999998</v>
      </c>
      <c r="H33" s="619">
        <f t="shared" si="0"/>
        <v>20320953.739999998</v>
      </c>
    </row>
    <row r="34" spans="1:8" ht="15.75">
      <c r="A34" s="77">
        <v>6.2</v>
      </c>
      <c r="B34" s="236" t="s">
        <v>315</v>
      </c>
      <c r="C34" s="617">
        <v>6515400</v>
      </c>
      <c r="D34" s="617">
        <v>17248000</v>
      </c>
      <c r="E34" s="618">
        <f t="shared" si="1"/>
        <v>23763400</v>
      </c>
      <c r="F34" s="617">
        <v>0</v>
      </c>
      <c r="G34" s="617">
        <v>20022000</v>
      </c>
      <c r="H34" s="619">
        <f t="shared" si="0"/>
        <v>20022000</v>
      </c>
    </row>
    <row r="35" spans="1:8" ht="15.75">
      <c r="A35" s="77">
        <v>6.3</v>
      </c>
      <c r="B35" s="236" t="s">
        <v>311</v>
      </c>
      <c r="C35" s="617"/>
      <c r="D35" s="617"/>
      <c r="E35" s="618">
        <f t="shared" si="1"/>
        <v>0</v>
      </c>
      <c r="F35" s="617"/>
      <c r="G35" s="617"/>
      <c r="H35" s="619">
        <f t="shared" si="0"/>
        <v>0</v>
      </c>
    </row>
    <row r="36" spans="1:8" ht="15.75">
      <c r="A36" s="77">
        <v>6.4</v>
      </c>
      <c r="B36" s="236" t="s">
        <v>312</v>
      </c>
      <c r="C36" s="617"/>
      <c r="D36" s="617"/>
      <c r="E36" s="618">
        <f t="shared" si="1"/>
        <v>0</v>
      </c>
      <c r="F36" s="617"/>
      <c r="G36" s="617"/>
      <c r="H36" s="619">
        <f t="shared" si="0"/>
        <v>0</v>
      </c>
    </row>
    <row r="37" spans="1:8" ht="15.75">
      <c r="A37" s="77">
        <v>6.5</v>
      </c>
      <c r="B37" s="236" t="s">
        <v>313</v>
      </c>
      <c r="C37" s="617"/>
      <c r="D37" s="617"/>
      <c r="E37" s="618">
        <f t="shared" si="1"/>
        <v>0</v>
      </c>
      <c r="F37" s="617"/>
      <c r="G37" s="617"/>
      <c r="H37" s="619">
        <f t="shared" si="0"/>
        <v>0</v>
      </c>
    </row>
    <row r="38" spans="1:8" ht="15.75">
      <c r="A38" s="77">
        <v>6.6</v>
      </c>
      <c r="B38" s="236" t="s">
        <v>316</v>
      </c>
      <c r="C38" s="617"/>
      <c r="D38" s="617"/>
      <c r="E38" s="618">
        <f t="shared" si="1"/>
        <v>0</v>
      </c>
      <c r="F38" s="617"/>
      <c r="G38" s="617"/>
      <c r="H38" s="619">
        <f t="shared" si="0"/>
        <v>0</v>
      </c>
    </row>
    <row r="39" spans="1:8" ht="15.75">
      <c r="A39" s="77">
        <v>6.7</v>
      </c>
      <c r="B39" s="236" t="s">
        <v>317</v>
      </c>
      <c r="C39" s="617"/>
      <c r="D39" s="617"/>
      <c r="E39" s="618">
        <f t="shared" si="1"/>
        <v>0</v>
      </c>
      <c r="F39" s="617"/>
      <c r="G39" s="617"/>
      <c r="H39" s="619">
        <f t="shared" si="0"/>
        <v>0</v>
      </c>
    </row>
    <row r="40" spans="1:8" ht="15.75">
      <c r="A40" s="77">
        <v>7</v>
      </c>
      <c r="B40" s="191" t="s">
        <v>320</v>
      </c>
      <c r="C40" s="617"/>
      <c r="D40" s="617"/>
      <c r="E40" s="618">
        <f t="shared" si="1"/>
        <v>0</v>
      </c>
      <c r="F40" s="617"/>
      <c r="G40" s="617"/>
      <c r="H40" s="619">
        <f t="shared" si="0"/>
        <v>0</v>
      </c>
    </row>
    <row r="41" spans="1:8" ht="15.75">
      <c r="A41" s="77">
        <v>7.1</v>
      </c>
      <c r="B41" s="190" t="s">
        <v>321</v>
      </c>
      <c r="C41" s="617">
        <v>0</v>
      </c>
      <c r="D41" s="617">
        <v>452902.49</v>
      </c>
      <c r="E41" s="618">
        <f t="shared" si="1"/>
        <v>452902.49</v>
      </c>
      <c r="F41" s="617">
        <v>19922.95</v>
      </c>
      <c r="G41" s="617">
        <v>33518.82</v>
      </c>
      <c r="H41" s="619">
        <f t="shared" si="0"/>
        <v>53441.770000000004</v>
      </c>
    </row>
    <row r="42" spans="1:8" ht="25.5">
      <c r="A42" s="77">
        <v>7.2</v>
      </c>
      <c r="B42" s="190" t="s">
        <v>322</v>
      </c>
      <c r="C42" s="617">
        <v>1956330.5800000138</v>
      </c>
      <c r="D42" s="617">
        <v>4711119.2500000102</v>
      </c>
      <c r="E42" s="618">
        <f t="shared" si="1"/>
        <v>6667449.8300000243</v>
      </c>
      <c r="F42" s="617">
        <v>2940127.1300000027</v>
      </c>
      <c r="G42" s="617">
        <v>5671256.1099999472</v>
      </c>
      <c r="H42" s="619">
        <f t="shared" si="0"/>
        <v>8611383.2399999499</v>
      </c>
    </row>
    <row r="43" spans="1:8" ht="25.5">
      <c r="A43" s="77">
        <v>7.3</v>
      </c>
      <c r="B43" s="190" t="s">
        <v>325</v>
      </c>
      <c r="C43" s="617">
        <v>5038998.5199999996</v>
      </c>
      <c r="D43" s="617">
        <v>9452767.3499999996</v>
      </c>
      <c r="E43" s="618">
        <f t="shared" si="1"/>
        <v>14491765.869999999</v>
      </c>
      <c r="F43" s="617">
        <v>4725377.4099999992</v>
      </c>
      <c r="G43" s="617">
        <v>8531590.9299999997</v>
      </c>
      <c r="H43" s="619">
        <f t="shared" si="0"/>
        <v>13256968.34</v>
      </c>
    </row>
    <row r="44" spans="1:8" ht="25.5">
      <c r="A44" s="77">
        <v>7.4</v>
      </c>
      <c r="B44" s="190" t="s">
        <v>326</v>
      </c>
      <c r="C44" s="617">
        <v>61133865.789997593</v>
      </c>
      <c r="D44" s="617">
        <v>137039261.3000026</v>
      </c>
      <c r="E44" s="618">
        <f t="shared" si="1"/>
        <v>198173127.09000021</v>
      </c>
      <c r="F44" s="617">
        <v>60113339.909997091</v>
      </c>
      <c r="G44" s="617">
        <v>132975641.10000193</v>
      </c>
      <c r="H44" s="619">
        <f t="shared" si="0"/>
        <v>193088981.00999904</v>
      </c>
    </row>
    <row r="45" spans="1:8" ht="15.75">
      <c r="A45" s="77">
        <v>8</v>
      </c>
      <c r="B45" s="191" t="s">
        <v>303</v>
      </c>
      <c r="C45" s="617">
        <v>1724406.8601920004</v>
      </c>
      <c r="D45" s="617">
        <v>0</v>
      </c>
      <c r="E45" s="618">
        <f>SUM(E46:E52)</f>
        <v>1724406.8601920004</v>
      </c>
      <c r="F45" s="617">
        <v>2193040.5605119998</v>
      </c>
      <c r="G45" s="617">
        <v>0</v>
      </c>
      <c r="H45" s="619">
        <f t="shared" si="0"/>
        <v>2193040.5605119998</v>
      </c>
    </row>
    <row r="46" spans="1:8" ht="15.75">
      <c r="A46" s="77">
        <v>8.1</v>
      </c>
      <c r="B46" s="234" t="s">
        <v>327</v>
      </c>
      <c r="C46" s="617">
        <v>96551.430192</v>
      </c>
      <c r="D46" s="617">
        <v>0</v>
      </c>
      <c r="E46" s="618">
        <f t="shared" si="1"/>
        <v>96551.430192</v>
      </c>
      <c r="F46" s="617">
        <v>109176.72451200002</v>
      </c>
      <c r="G46" s="617">
        <v>0</v>
      </c>
      <c r="H46" s="619">
        <f t="shared" si="0"/>
        <v>109176.72451200002</v>
      </c>
    </row>
    <row r="47" spans="1:8" ht="15.75">
      <c r="A47" s="77">
        <v>8.1999999999999993</v>
      </c>
      <c r="B47" s="234" t="s">
        <v>328</v>
      </c>
      <c r="C47" s="617">
        <v>1536110.9820000005</v>
      </c>
      <c r="D47" s="617">
        <v>0</v>
      </c>
      <c r="E47" s="618">
        <f t="shared" si="1"/>
        <v>1536110.9820000005</v>
      </c>
      <c r="F47" s="617">
        <v>1998487.138</v>
      </c>
      <c r="G47" s="617">
        <v>0</v>
      </c>
      <c r="H47" s="619">
        <f t="shared" si="0"/>
        <v>1998487.138</v>
      </c>
    </row>
    <row r="48" spans="1:8" ht="15.75">
      <c r="A48" s="77">
        <v>8.3000000000000007</v>
      </c>
      <c r="B48" s="234" t="s">
        <v>329</v>
      </c>
      <c r="C48" s="617">
        <v>56007.292000000001</v>
      </c>
      <c r="D48" s="617">
        <v>0</v>
      </c>
      <c r="E48" s="618">
        <f t="shared" si="1"/>
        <v>56007.292000000001</v>
      </c>
      <c r="F48" s="617">
        <v>57488.258000000002</v>
      </c>
      <c r="G48" s="617">
        <v>0</v>
      </c>
      <c r="H48" s="619">
        <f t="shared" si="0"/>
        <v>57488.258000000002</v>
      </c>
    </row>
    <row r="49" spans="1:8" ht="15.75">
      <c r="A49" s="77">
        <v>8.4</v>
      </c>
      <c r="B49" s="234" t="s">
        <v>330</v>
      </c>
      <c r="C49" s="617">
        <v>35737.156000000003</v>
      </c>
      <c r="D49" s="617">
        <v>0</v>
      </c>
      <c r="E49" s="618">
        <f t="shared" si="1"/>
        <v>35737.156000000003</v>
      </c>
      <c r="F49" s="617">
        <v>23388.44</v>
      </c>
      <c r="G49" s="617">
        <v>0</v>
      </c>
      <c r="H49" s="619">
        <f t="shared" si="0"/>
        <v>23388.44</v>
      </c>
    </row>
    <row r="50" spans="1:8" ht="15.75">
      <c r="A50" s="77">
        <v>8.5</v>
      </c>
      <c r="B50" s="234" t="s">
        <v>331</v>
      </c>
      <c r="C50" s="617">
        <v>0</v>
      </c>
      <c r="D50" s="617">
        <v>0</v>
      </c>
      <c r="E50" s="618">
        <f t="shared" si="1"/>
        <v>0</v>
      </c>
      <c r="F50" s="617">
        <v>3600</v>
      </c>
      <c r="G50" s="617">
        <v>0</v>
      </c>
      <c r="H50" s="619">
        <f t="shared" si="0"/>
        <v>3600</v>
      </c>
    </row>
    <row r="51" spans="1:8" ht="15.75">
      <c r="A51" s="77">
        <v>8.6</v>
      </c>
      <c r="B51" s="234" t="s">
        <v>332</v>
      </c>
      <c r="C51" s="617">
        <v>0</v>
      </c>
      <c r="D51" s="617">
        <v>0</v>
      </c>
      <c r="E51" s="618">
        <f t="shared" si="1"/>
        <v>0</v>
      </c>
      <c r="F51" s="617">
        <v>900</v>
      </c>
      <c r="G51" s="617">
        <v>0</v>
      </c>
      <c r="H51" s="619">
        <f t="shared" si="0"/>
        <v>900</v>
      </c>
    </row>
    <row r="52" spans="1:8" ht="15.75">
      <c r="A52" s="77">
        <v>8.6999999999999993</v>
      </c>
      <c r="B52" s="234" t="s">
        <v>333</v>
      </c>
      <c r="C52" s="617">
        <v>0</v>
      </c>
      <c r="D52" s="617">
        <v>0</v>
      </c>
      <c r="E52" s="618">
        <f t="shared" si="1"/>
        <v>0</v>
      </c>
      <c r="F52" s="617">
        <v>0</v>
      </c>
      <c r="G52" s="617">
        <v>0</v>
      </c>
      <c r="H52" s="619">
        <f t="shared" si="0"/>
        <v>0</v>
      </c>
    </row>
    <row r="53" spans="1:8" ht="16.5" thickBot="1">
      <c r="A53" s="193">
        <v>9</v>
      </c>
      <c r="B53" s="194" t="s">
        <v>323</v>
      </c>
      <c r="C53" s="620"/>
      <c r="D53" s="620"/>
      <c r="E53" s="621">
        <f t="shared" ref="E53" si="2">C53+D53</f>
        <v>0</v>
      </c>
      <c r="F53" s="620"/>
      <c r="G53" s="620"/>
      <c r="H53" s="62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4" bestFit="1" customWidth="1"/>
    <col min="2" max="2" width="93.5703125" style="4" customWidth="1"/>
    <col min="3" max="4" width="13.7109375" style="4" customWidth="1"/>
    <col min="5" max="7" width="13.7109375" style="31" customWidth="1"/>
    <col min="8" max="11" width="9.7109375" style="31" customWidth="1"/>
    <col min="12" max="16384" width="9.28515625" style="31"/>
  </cols>
  <sheetData>
    <row r="1" spans="1:7">
      <c r="A1" s="2" t="s">
        <v>30</v>
      </c>
      <c r="B1" s="3" t="str">
        <f>'Info '!C2</f>
        <v>JSC CARTU BANK</v>
      </c>
      <c r="C1" s="3"/>
    </row>
    <row r="2" spans="1:7">
      <c r="A2" s="2" t="s">
        <v>31</v>
      </c>
      <c r="B2" s="370">
        <f>'1. key ratios '!B2</f>
        <v>44651</v>
      </c>
      <c r="C2" s="3"/>
    </row>
    <row r="3" spans="1:7">
      <c r="A3" s="2"/>
      <c r="B3" s="3"/>
      <c r="C3" s="3"/>
    </row>
    <row r="4" spans="1:7" ht="15" customHeight="1" thickBot="1">
      <c r="A4" s="4" t="s">
        <v>198</v>
      </c>
      <c r="B4" s="137" t="s">
        <v>297</v>
      </c>
      <c r="C4" s="49" t="s">
        <v>73</v>
      </c>
    </row>
    <row r="5" spans="1:7" ht="15" customHeight="1">
      <c r="A5" s="221" t="s">
        <v>6</v>
      </c>
      <c r="B5" s="222"/>
      <c r="C5" s="368" t="str">
        <f>INT((MONTH($B$2))/3)&amp;"Q"&amp;"-"&amp;YEAR($B$2)</f>
        <v>1Q-2022</v>
      </c>
      <c r="D5" s="368" t="str">
        <f>IF(INT(MONTH($B$2))=3, "4"&amp;"Q"&amp;"-"&amp;YEAR($B$2)-1, IF(INT(MONTH($B$2))=6, "1"&amp;"Q"&amp;"-"&amp;YEAR($B$2), IF(INT(MONTH($B$2))=9, "2"&amp;"Q"&amp;"-"&amp;YEAR($B$2),IF(INT(MONTH($B$2))=12, "3"&amp;"Q"&amp;"-"&amp;YEAR($B$2), 0))))</f>
        <v>4Q-2021</v>
      </c>
      <c r="E5" s="368" t="str">
        <f>IF(INT(MONTH($B$2))=3, "3"&amp;"Q"&amp;"-"&amp;YEAR($B$2)-1, IF(INT(MONTH($B$2))=6, "4"&amp;"Q"&amp;"-"&amp;YEAR($B$2)-1, IF(INT(MONTH($B$2))=9, "1"&amp;"Q"&amp;"-"&amp;YEAR($B$2),IF(INT(MONTH($B$2))=12, "2"&amp;"Q"&amp;"-"&amp;YEAR($B$2), 0))))</f>
        <v>3Q-2021</v>
      </c>
      <c r="F5" s="368" t="str">
        <f>IF(INT(MONTH($B$2))=3, "2"&amp;"Q"&amp;"-"&amp;YEAR($B$2)-1, IF(INT(MONTH($B$2))=6, "3"&amp;"Q"&amp;"-"&amp;YEAR($B$2)-1, IF(INT(MONTH($B$2))=9, "4"&amp;"Q"&amp;"-"&amp;YEAR($B$2)-1,IF(INT(MONTH($B$2))=12, "1"&amp;"Q"&amp;"-"&amp;YEAR($B$2), 0))))</f>
        <v>2Q-2021</v>
      </c>
      <c r="G5" s="369" t="str">
        <f>IF(INT(MONTH($B$2))=3, "1"&amp;"Q"&amp;"-"&amp;YEAR($B$2)-1, IF(INT(MONTH($B$2))=6, "2"&amp;"Q"&amp;"-"&amp;YEAR($B$2)-1, IF(INT(MONTH($B$2))=9, "3"&amp;"Q"&amp;"-"&amp;YEAR($B$2)-1,IF(INT(MONTH($B$2))=12, "4"&amp;"Q"&amp;"-"&amp;YEAR($B$2)-1, 0))))</f>
        <v>1Q-2021</v>
      </c>
    </row>
    <row r="6" spans="1:7" ht="15" customHeight="1">
      <c r="A6" s="50">
        <v>1</v>
      </c>
      <c r="B6" s="310" t="s">
        <v>301</v>
      </c>
      <c r="C6" s="623">
        <f>C7+C9+C10</f>
        <v>1214652459.9997916</v>
      </c>
      <c r="D6" s="624">
        <f>D7+D9+D10</f>
        <v>1161153557.2589002</v>
      </c>
      <c r="E6" s="624">
        <f t="shared" ref="E6:G6" si="0">E7+E9+E10</f>
        <v>1174630332.3047283</v>
      </c>
      <c r="F6" s="623">
        <f t="shared" si="0"/>
        <v>1233193198.9992094</v>
      </c>
      <c r="G6" s="625">
        <f t="shared" si="0"/>
        <v>1341919280.7882493</v>
      </c>
    </row>
    <row r="7" spans="1:7" ht="15" customHeight="1">
      <c r="A7" s="50">
        <v>1.1000000000000001</v>
      </c>
      <c r="B7" s="310" t="s">
        <v>481</v>
      </c>
      <c r="C7" s="626">
        <v>1189270401.6807432</v>
      </c>
      <c r="D7" s="627">
        <v>1128092368.3730202</v>
      </c>
      <c r="E7" s="627">
        <v>1131607065.0510361</v>
      </c>
      <c r="F7" s="626">
        <v>1203787592.3812177</v>
      </c>
      <c r="G7" s="628">
        <v>1310108647.8626573</v>
      </c>
    </row>
    <row r="8" spans="1:7">
      <c r="A8" s="50" t="s">
        <v>14</v>
      </c>
      <c r="B8" s="310" t="s">
        <v>197</v>
      </c>
      <c r="C8" s="626">
        <v>39590050</v>
      </c>
      <c r="D8" s="627">
        <v>40402657.5</v>
      </c>
      <c r="E8" s="627">
        <v>40152727.5</v>
      </c>
      <c r="F8" s="626">
        <v>39042007.5</v>
      </c>
      <c r="G8" s="628">
        <v>39752650</v>
      </c>
    </row>
    <row r="9" spans="1:7" ht="15" customHeight="1">
      <c r="A9" s="50">
        <v>1.2</v>
      </c>
      <c r="B9" s="311" t="s">
        <v>196</v>
      </c>
      <c r="C9" s="626">
        <v>24906790.31904849</v>
      </c>
      <c r="D9" s="627">
        <v>32460740.885879934</v>
      </c>
      <c r="E9" s="627">
        <v>42189467.253692165</v>
      </c>
      <c r="F9" s="626">
        <v>28803878.617991645</v>
      </c>
      <c r="G9" s="628">
        <v>31410192.925591871</v>
      </c>
    </row>
    <row r="10" spans="1:7" ht="15" customHeight="1">
      <c r="A10" s="50">
        <v>1.3</v>
      </c>
      <c r="B10" s="310" t="s">
        <v>28</v>
      </c>
      <c r="C10" s="626">
        <v>475268</v>
      </c>
      <c r="D10" s="627">
        <v>600448</v>
      </c>
      <c r="E10" s="627">
        <v>833800</v>
      </c>
      <c r="F10" s="626">
        <v>601728</v>
      </c>
      <c r="G10" s="628">
        <v>400440</v>
      </c>
    </row>
    <row r="11" spans="1:7" ht="15" customHeight="1">
      <c r="A11" s="50">
        <v>2</v>
      </c>
      <c r="B11" s="310" t="s">
        <v>298</v>
      </c>
      <c r="C11" s="626">
        <v>41213261.31616801</v>
      </c>
      <c r="D11" s="627">
        <v>32703895.311471444</v>
      </c>
      <c r="E11" s="627">
        <v>43545013.770006515</v>
      </c>
      <c r="F11" s="626">
        <v>30807802.803780936</v>
      </c>
      <c r="G11" s="628">
        <v>15959405.689869506</v>
      </c>
    </row>
    <row r="12" spans="1:7" ht="15" customHeight="1">
      <c r="A12" s="50">
        <v>3</v>
      </c>
      <c r="B12" s="310" t="s">
        <v>299</v>
      </c>
      <c r="C12" s="626">
        <v>105286124.37499999</v>
      </c>
      <c r="D12" s="627">
        <v>105286124.37499999</v>
      </c>
      <c r="E12" s="627">
        <v>100202502.49999999</v>
      </c>
      <c r="F12" s="626">
        <v>100202502.49999999</v>
      </c>
      <c r="G12" s="628">
        <v>100202502.49999999</v>
      </c>
    </row>
    <row r="13" spans="1:7" ht="15" customHeight="1" thickBot="1">
      <c r="A13" s="52">
        <v>4</v>
      </c>
      <c r="B13" s="53" t="s">
        <v>300</v>
      </c>
      <c r="C13" s="312">
        <f>C6+C11+C12</f>
        <v>1361151845.6909597</v>
      </c>
      <c r="D13" s="366">
        <f>D6+D11+D12</f>
        <v>1299143576.9453716</v>
      </c>
      <c r="E13" s="366">
        <f t="shared" ref="E13:G13" si="1">E6+E11+E12</f>
        <v>1318377848.5747347</v>
      </c>
      <c r="F13" s="312">
        <f t="shared" si="1"/>
        <v>1364203504.3029904</v>
      </c>
      <c r="G13" s="367">
        <f t="shared" si="1"/>
        <v>1458081188.9781187</v>
      </c>
    </row>
    <row r="14" spans="1:7">
      <c r="B14" s="56"/>
    </row>
    <row r="15" spans="1:7" ht="25.5">
      <c r="B15" s="56" t="s">
        <v>482</v>
      </c>
    </row>
    <row r="16" spans="1:7">
      <c r="B16" s="56"/>
    </row>
    <row r="17" s="31" customFormat="1" ht="11.25"/>
    <row r="18" s="31" customFormat="1" ht="11.25"/>
    <row r="19" s="31" customFormat="1" ht="11.25"/>
    <row r="20" s="31" customFormat="1" ht="11.25"/>
    <row r="21" s="31" customFormat="1" ht="11.25"/>
    <row r="22" s="31" customFormat="1" ht="11.25"/>
    <row r="23" s="31" customFormat="1" ht="11.25"/>
    <row r="24" s="31" customFormat="1" ht="11.25"/>
    <row r="25" s="31" customFormat="1" ht="11.25"/>
    <row r="26" s="31" customFormat="1" ht="11.25"/>
    <row r="27" s="31" customFormat="1" ht="11.25"/>
    <row r="28" s="31" customFormat="1" ht="11.25"/>
    <row r="29" s="31"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CARTU BANK</v>
      </c>
    </row>
    <row r="2" spans="1:8">
      <c r="A2" s="2" t="s">
        <v>31</v>
      </c>
      <c r="B2" s="370">
        <f>'1. key ratios '!B2</f>
        <v>44651</v>
      </c>
    </row>
    <row r="4" spans="1:8" ht="28.15" customHeight="1" thickBot="1">
      <c r="A4" s="57" t="s">
        <v>80</v>
      </c>
      <c r="B4" s="58" t="s">
        <v>267</v>
      </c>
      <c r="C4" s="59"/>
    </row>
    <row r="5" spans="1:8">
      <c r="A5" s="60"/>
      <c r="B5" s="361" t="s">
        <v>81</v>
      </c>
      <c r="C5" s="362" t="s">
        <v>495</v>
      </c>
    </row>
    <row r="6" spans="1:8">
      <c r="A6" s="61">
        <v>1</v>
      </c>
      <c r="B6" s="491" t="s">
        <v>712</v>
      </c>
      <c r="C6" s="492" t="s">
        <v>716</v>
      </c>
    </row>
    <row r="7" spans="1:8">
      <c r="A7" s="61">
        <v>2</v>
      </c>
      <c r="B7" s="491" t="s">
        <v>717</v>
      </c>
      <c r="C7" s="492" t="s">
        <v>718</v>
      </c>
    </row>
    <row r="8" spans="1:8">
      <c r="A8" s="61">
        <v>3</v>
      </c>
      <c r="B8" s="491" t="s">
        <v>719</v>
      </c>
      <c r="C8" s="492" t="s">
        <v>720</v>
      </c>
    </row>
    <row r="9" spans="1:8">
      <c r="A9" s="61">
        <v>4</v>
      </c>
      <c r="B9" s="491" t="s">
        <v>721</v>
      </c>
      <c r="C9" s="492" t="s">
        <v>720</v>
      </c>
    </row>
    <row r="10" spans="1:8">
      <c r="A10" s="61">
        <v>5</v>
      </c>
      <c r="B10" s="491" t="s">
        <v>722</v>
      </c>
      <c r="C10" s="492" t="s">
        <v>718</v>
      </c>
    </row>
    <row r="11" spans="1:8">
      <c r="A11" s="61">
        <v>6</v>
      </c>
      <c r="B11" s="62"/>
      <c r="C11" s="63"/>
    </row>
    <row r="12" spans="1:8">
      <c r="A12" s="61">
        <v>7</v>
      </c>
      <c r="B12" s="62"/>
      <c r="C12" s="63"/>
      <c r="H12" s="64"/>
    </row>
    <row r="13" spans="1:8">
      <c r="A13" s="61">
        <v>8</v>
      </c>
      <c r="B13" s="62"/>
      <c r="C13" s="63"/>
    </row>
    <row r="14" spans="1:8">
      <c r="A14" s="61">
        <v>9</v>
      </c>
      <c r="B14" s="62"/>
      <c r="C14" s="63"/>
    </row>
    <row r="15" spans="1:8">
      <c r="A15" s="61">
        <v>10</v>
      </c>
      <c r="B15" s="62"/>
      <c r="C15" s="63"/>
    </row>
    <row r="16" spans="1:8">
      <c r="A16" s="61"/>
      <c r="B16" s="363"/>
      <c r="C16" s="364"/>
    </row>
    <row r="17" spans="1:3" ht="25.5">
      <c r="A17" s="61"/>
      <c r="B17" s="200" t="s">
        <v>82</v>
      </c>
      <c r="C17" s="365" t="s">
        <v>496</v>
      </c>
    </row>
    <row r="18" spans="1:3">
      <c r="A18" s="61">
        <v>1</v>
      </c>
      <c r="B18" s="491" t="s">
        <v>713</v>
      </c>
      <c r="C18" s="493" t="s">
        <v>723</v>
      </c>
    </row>
    <row r="19" spans="1:3">
      <c r="A19" s="61">
        <v>2</v>
      </c>
      <c r="B19" s="491" t="s">
        <v>724</v>
      </c>
      <c r="C19" s="493" t="s">
        <v>725</v>
      </c>
    </row>
    <row r="20" spans="1:3">
      <c r="A20" s="61">
        <v>3</v>
      </c>
      <c r="B20" s="491" t="s">
        <v>726</v>
      </c>
      <c r="C20" s="493" t="s">
        <v>727</v>
      </c>
    </row>
    <row r="21" spans="1:3">
      <c r="A21" s="61">
        <v>4</v>
      </c>
      <c r="B21" s="491" t="s">
        <v>728</v>
      </c>
      <c r="C21" s="493" t="s">
        <v>729</v>
      </c>
    </row>
    <row r="22" spans="1:3">
      <c r="A22" s="61">
        <v>5</v>
      </c>
      <c r="B22" s="491" t="s">
        <v>730</v>
      </c>
      <c r="C22" s="493" t="s">
        <v>731</v>
      </c>
    </row>
    <row r="23" spans="1:3">
      <c r="A23" s="61">
        <v>6</v>
      </c>
      <c r="B23" s="62"/>
      <c r="C23" s="65"/>
    </row>
    <row r="24" spans="1:3">
      <c r="A24" s="61">
        <v>7</v>
      </c>
      <c r="B24" s="62"/>
      <c r="C24" s="65"/>
    </row>
    <row r="25" spans="1:3">
      <c r="A25" s="61">
        <v>8</v>
      </c>
      <c r="B25" s="62"/>
      <c r="C25" s="65"/>
    </row>
    <row r="26" spans="1:3">
      <c r="A26" s="61">
        <v>9</v>
      </c>
      <c r="B26" s="62"/>
      <c r="C26" s="65"/>
    </row>
    <row r="27" spans="1:3" ht="15.75" customHeight="1">
      <c r="A27" s="61">
        <v>10</v>
      </c>
      <c r="B27" s="62"/>
      <c r="C27" s="66"/>
    </row>
    <row r="28" spans="1:3" ht="15.75" customHeight="1">
      <c r="A28" s="61"/>
      <c r="B28" s="62"/>
      <c r="C28" s="66"/>
    </row>
    <row r="29" spans="1:3" ht="30" customHeight="1">
      <c r="A29" s="61"/>
      <c r="B29" s="650" t="s">
        <v>83</v>
      </c>
      <c r="C29" s="651"/>
    </row>
    <row r="30" spans="1:3">
      <c r="A30" s="61">
        <v>1</v>
      </c>
      <c r="B30" s="491" t="s">
        <v>732</v>
      </c>
      <c r="C30" s="494">
        <v>1</v>
      </c>
    </row>
    <row r="31" spans="1:3" ht="15.75" customHeight="1">
      <c r="A31" s="61"/>
      <c r="B31" s="62"/>
      <c r="C31" s="63"/>
    </row>
    <row r="32" spans="1:3" ht="29.25" customHeight="1">
      <c r="A32" s="61"/>
      <c r="B32" s="650" t="s">
        <v>84</v>
      </c>
      <c r="C32" s="651"/>
    </row>
    <row r="33" spans="1:3">
      <c r="A33" s="61">
        <v>1</v>
      </c>
      <c r="B33" s="491" t="s">
        <v>733</v>
      </c>
      <c r="C33" s="494">
        <v>1</v>
      </c>
    </row>
    <row r="34" spans="1:3" ht="15" thickBot="1">
      <c r="A34" s="67"/>
      <c r="B34" s="68"/>
      <c r="C34" s="69"/>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8" activePane="bottomRight" state="frozen"/>
      <selection pane="topRight"/>
      <selection pane="bottomLeft"/>
      <selection pane="bottomRight"/>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55" t="s">
        <v>30</v>
      </c>
      <c r="B1" s="3" t="str">
        <f>'Info '!C2</f>
        <v>JSC CARTU BANK</v>
      </c>
    </row>
    <row r="2" spans="1:5" s="2" customFormat="1" ht="15.75" customHeight="1">
      <c r="A2" s="55" t="s">
        <v>31</v>
      </c>
      <c r="B2" s="370">
        <f>'1. key ratios '!B2</f>
        <v>44651</v>
      </c>
    </row>
    <row r="3" spans="1:5" s="2" customFormat="1" ht="15.75" customHeight="1">
      <c r="A3" s="55"/>
    </row>
    <row r="4" spans="1:5" s="2" customFormat="1" ht="15.75" customHeight="1" thickBot="1">
      <c r="A4" s="260" t="s">
        <v>202</v>
      </c>
      <c r="B4" s="656" t="s">
        <v>347</v>
      </c>
      <c r="C4" s="657"/>
      <c r="D4" s="657"/>
      <c r="E4" s="657"/>
    </row>
    <row r="5" spans="1:5" s="73" customFormat="1" ht="17.649999999999999" customHeight="1">
      <c r="A5" s="205"/>
      <c r="B5" s="206"/>
      <c r="C5" s="71" t="s">
        <v>0</v>
      </c>
      <c r="D5" s="71" t="s">
        <v>1</v>
      </c>
      <c r="E5" s="72" t="s">
        <v>2</v>
      </c>
    </row>
    <row r="6" spans="1:5" ht="14.65" customHeight="1">
      <c r="A6" s="151"/>
      <c r="B6" s="652" t="s">
        <v>354</v>
      </c>
      <c r="C6" s="652" t="s">
        <v>93</v>
      </c>
      <c r="D6" s="654" t="s">
        <v>201</v>
      </c>
      <c r="E6" s="655"/>
    </row>
    <row r="7" spans="1:5" ht="99.6" customHeight="1">
      <c r="A7" s="151"/>
      <c r="B7" s="653"/>
      <c r="C7" s="652"/>
      <c r="D7" s="292" t="s">
        <v>200</v>
      </c>
      <c r="E7" s="293" t="s">
        <v>355</v>
      </c>
    </row>
    <row r="8" spans="1:5">
      <c r="A8" s="74">
        <v>1</v>
      </c>
      <c r="B8" s="294" t="s">
        <v>35</v>
      </c>
      <c r="C8" s="495">
        <v>14851742</v>
      </c>
      <c r="D8" s="495"/>
      <c r="E8" s="496">
        <v>14851742</v>
      </c>
    </row>
    <row r="9" spans="1:5">
      <c r="A9" s="74">
        <v>2</v>
      </c>
      <c r="B9" s="294" t="s">
        <v>36</v>
      </c>
      <c r="C9" s="495">
        <v>211334277</v>
      </c>
      <c r="D9" s="495"/>
      <c r="E9" s="496">
        <v>211334277</v>
      </c>
    </row>
    <row r="10" spans="1:5">
      <c r="A10" s="74">
        <v>3</v>
      </c>
      <c r="B10" s="294" t="s">
        <v>37</v>
      </c>
      <c r="C10" s="495">
        <v>194640372</v>
      </c>
      <c r="D10" s="495"/>
      <c r="E10" s="496">
        <v>194640372</v>
      </c>
    </row>
    <row r="11" spans="1:5">
      <c r="A11" s="74">
        <v>4</v>
      </c>
      <c r="B11" s="294" t="s">
        <v>38</v>
      </c>
      <c r="C11" s="495">
        <v>0</v>
      </c>
      <c r="D11" s="495"/>
      <c r="E11" s="496">
        <v>0</v>
      </c>
    </row>
    <row r="12" spans="1:5">
      <c r="A12" s="74">
        <v>5</v>
      </c>
      <c r="B12" s="294" t="s">
        <v>39</v>
      </c>
      <c r="C12" s="495">
        <v>32345550</v>
      </c>
      <c r="D12" s="495">
        <v>-261450</v>
      </c>
      <c r="E12" s="496">
        <v>32607000</v>
      </c>
    </row>
    <row r="13" spans="1:5">
      <c r="A13" s="74">
        <v>6.1</v>
      </c>
      <c r="B13" s="295" t="s">
        <v>40</v>
      </c>
      <c r="C13" s="497">
        <v>965150942</v>
      </c>
      <c r="D13" s="495"/>
      <c r="E13" s="496">
        <v>965150942</v>
      </c>
    </row>
    <row r="14" spans="1:5">
      <c r="A14" s="74">
        <v>6.2</v>
      </c>
      <c r="B14" s="296" t="s">
        <v>41</v>
      </c>
      <c r="C14" s="498">
        <v>-162019834</v>
      </c>
      <c r="D14" s="499"/>
      <c r="E14" s="500">
        <v>-162019834</v>
      </c>
    </row>
    <row r="15" spans="1:5">
      <c r="A15" s="74">
        <v>6</v>
      </c>
      <c r="B15" s="294" t="s">
        <v>42</v>
      </c>
      <c r="C15" s="495">
        <v>803131108</v>
      </c>
      <c r="D15" s="495"/>
      <c r="E15" s="496">
        <v>803131108</v>
      </c>
    </row>
    <row r="16" spans="1:5">
      <c r="A16" s="74">
        <v>7</v>
      </c>
      <c r="B16" s="294" t="s">
        <v>43</v>
      </c>
      <c r="C16" s="495">
        <v>24782525</v>
      </c>
      <c r="D16" s="495"/>
      <c r="E16" s="496">
        <v>24782525</v>
      </c>
    </row>
    <row r="17" spans="1:7">
      <c r="A17" s="74">
        <v>8</v>
      </c>
      <c r="B17" s="294" t="s">
        <v>199</v>
      </c>
      <c r="C17" s="495">
        <v>15975500</v>
      </c>
      <c r="D17" s="495"/>
      <c r="E17" s="496">
        <v>15975500</v>
      </c>
      <c r="F17" s="75"/>
      <c r="G17" s="75"/>
    </row>
    <row r="18" spans="1:7">
      <c r="A18" s="74">
        <v>9</v>
      </c>
      <c r="B18" s="294" t="s">
        <v>44</v>
      </c>
      <c r="C18" s="495">
        <v>7793239</v>
      </c>
      <c r="D18" s="495"/>
      <c r="E18" s="496">
        <v>7793239</v>
      </c>
      <c r="G18" s="75"/>
    </row>
    <row r="19" spans="1:7">
      <c r="A19" s="74">
        <v>10</v>
      </c>
      <c r="B19" s="294" t="s">
        <v>45</v>
      </c>
      <c r="C19" s="495">
        <v>19652980</v>
      </c>
      <c r="D19" s="495">
        <v>3704164</v>
      </c>
      <c r="E19" s="496">
        <v>15948816</v>
      </c>
      <c r="G19" s="75"/>
    </row>
    <row r="20" spans="1:7">
      <c r="A20" s="74">
        <v>11</v>
      </c>
      <c r="B20" s="294" t="s">
        <v>46</v>
      </c>
      <c r="C20" s="495">
        <v>45962989</v>
      </c>
      <c r="D20" s="495">
        <v>0</v>
      </c>
      <c r="E20" s="496">
        <v>45962989</v>
      </c>
    </row>
    <row r="21" spans="1:7" ht="26.25" thickBot="1">
      <c r="A21" s="154"/>
      <c r="B21" s="261" t="s">
        <v>357</v>
      </c>
      <c r="C21" s="207">
        <f>SUM(C8:C12, C15:C20)</f>
        <v>1370470282</v>
      </c>
      <c r="D21" s="207">
        <f>SUM(D8:D12, D15:D20)</f>
        <v>3442714</v>
      </c>
      <c r="E21" s="297">
        <f>SUM(E8:E12, E15:E20)</f>
        <v>1367027568</v>
      </c>
    </row>
    <row r="22" spans="1:7">
      <c r="A22" s="5"/>
      <c r="B22" s="5"/>
      <c r="C22" s="5"/>
      <c r="D22" s="5"/>
      <c r="E22" s="5"/>
    </row>
    <row r="23" spans="1:7">
      <c r="A23" s="5"/>
      <c r="B23" s="5"/>
      <c r="C23" s="5"/>
      <c r="D23" s="5"/>
      <c r="E23" s="5"/>
    </row>
    <row r="25" spans="1:7" s="4" customFormat="1">
      <c r="B25" s="76"/>
      <c r="F25" s="5"/>
      <c r="G25" s="5"/>
    </row>
    <row r="26" spans="1:7" s="4" customFormat="1">
      <c r="B26" s="76"/>
      <c r="F26" s="5"/>
      <c r="G26" s="5"/>
    </row>
    <row r="27" spans="1:7" s="4" customFormat="1">
      <c r="B27" s="76"/>
      <c r="F27" s="5"/>
      <c r="G27" s="5"/>
    </row>
    <row r="28" spans="1:7" s="4" customFormat="1">
      <c r="B28" s="76"/>
      <c r="F28" s="5"/>
      <c r="G28" s="5"/>
    </row>
    <row r="29" spans="1:7" s="4" customFormat="1">
      <c r="B29" s="76"/>
      <c r="F29" s="5"/>
      <c r="G29" s="5"/>
    </row>
    <row r="30" spans="1:7" s="4" customFormat="1">
      <c r="B30" s="76"/>
      <c r="F30" s="5"/>
      <c r="G30" s="5"/>
    </row>
    <row r="31" spans="1:7" s="4" customFormat="1">
      <c r="B31" s="76"/>
      <c r="F31" s="5"/>
      <c r="G31" s="5"/>
    </row>
    <row r="32" spans="1:7" s="4" customFormat="1">
      <c r="B32" s="76"/>
      <c r="F32" s="5"/>
      <c r="G32" s="5"/>
    </row>
    <row r="33" spans="2:7" s="4" customFormat="1">
      <c r="B33" s="76"/>
      <c r="F33" s="5"/>
      <c r="G33" s="5"/>
    </row>
    <row r="34" spans="2:7" s="4" customFormat="1">
      <c r="B34" s="76"/>
      <c r="F34" s="5"/>
      <c r="G34" s="5"/>
    </row>
    <row r="35" spans="2:7" s="4" customFormat="1">
      <c r="B35" s="76"/>
      <c r="F35" s="5"/>
      <c r="G35" s="5"/>
    </row>
    <row r="36" spans="2:7" s="4" customFormat="1">
      <c r="B36" s="76"/>
      <c r="F36" s="5"/>
      <c r="G36" s="5"/>
    </row>
    <row r="37" spans="2:7" s="4" customFormat="1">
      <c r="B37" s="76"/>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370">
        <f>'1. key ratios '!B2</f>
        <v>44651</v>
      </c>
      <c r="C2" s="4"/>
      <c r="D2" s="4"/>
      <c r="E2" s="4"/>
      <c r="F2" s="4"/>
    </row>
    <row r="3" spans="1:6" s="2" customFormat="1" ht="15.75" customHeight="1">
      <c r="C3" s="4"/>
      <c r="D3" s="4"/>
      <c r="E3" s="4"/>
      <c r="F3" s="4"/>
    </row>
    <row r="4" spans="1:6" s="2" customFormat="1" ht="13.5" thickBot="1">
      <c r="A4" s="2" t="s">
        <v>85</v>
      </c>
      <c r="B4" s="262" t="s">
        <v>334</v>
      </c>
      <c r="C4" s="70" t="s">
        <v>73</v>
      </c>
      <c r="D4" s="4"/>
      <c r="E4" s="4"/>
      <c r="F4" s="4"/>
    </row>
    <row r="5" spans="1:6">
      <c r="A5" s="211">
        <v>1</v>
      </c>
      <c r="B5" s="263" t="s">
        <v>356</v>
      </c>
      <c r="C5" s="212">
        <f>'7. LI1 '!E21</f>
        <v>1367027568</v>
      </c>
    </row>
    <row r="6" spans="1:6" ht="15">
      <c r="A6" s="77">
        <v>2.1</v>
      </c>
      <c r="B6" s="152" t="s">
        <v>335</v>
      </c>
      <c r="C6" s="501">
        <v>50001320.288686126</v>
      </c>
    </row>
    <row r="7" spans="1:6" s="56" customFormat="1" ht="15" outlineLevel="1">
      <c r="A7" s="50">
        <v>2.2000000000000002</v>
      </c>
      <c r="B7" s="51" t="s">
        <v>336</v>
      </c>
      <c r="C7" s="502">
        <v>23763400</v>
      </c>
    </row>
    <row r="8" spans="1:6" s="56" customFormat="1" ht="25.5">
      <c r="A8" s="50">
        <v>3</v>
      </c>
      <c r="B8" s="209" t="s">
        <v>337</v>
      </c>
      <c r="C8" s="213">
        <f>SUM(C5:C7)</f>
        <v>1440792288.288686</v>
      </c>
    </row>
    <row r="9" spans="1:6" ht="15">
      <c r="A9" s="77">
        <v>4</v>
      </c>
      <c r="B9" s="78" t="s">
        <v>87</v>
      </c>
      <c r="C9" s="501">
        <v>11699915</v>
      </c>
    </row>
    <row r="10" spans="1:6" s="56" customFormat="1" ht="15" outlineLevel="1">
      <c r="A10" s="50">
        <v>5.0999999999999996</v>
      </c>
      <c r="B10" s="51" t="s">
        <v>338</v>
      </c>
      <c r="C10" s="502">
        <v>-22938267.751727562</v>
      </c>
    </row>
    <row r="11" spans="1:6" s="56" customFormat="1" ht="15" outlineLevel="1">
      <c r="A11" s="50">
        <v>5.2</v>
      </c>
      <c r="B11" s="51" t="s">
        <v>339</v>
      </c>
      <c r="C11" s="502">
        <v>-23288132</v>
      </c>
    </row>
    <row r="12" spans="1:6" s="56" customFormat="1" ht="15">
      <c r="A12" s="50">
        <v>6</v>
      </c>
      <c r="B12" s="208" t="s">
        <v>483</v>
      </c>
      <c r="C12" s="502">
        <v>0</v>
      </c>
    </row>
    <row r="13" spans="1:6" s="56" customFormat="1" ht="13.5" thickBot="1">
      <c r="A13" s="52">
        <v>7</v>
      </c>
      <c r="B13" s="210" t="s">
        <v>285</v>
      </c>
      <c r="C13" s="214">
        <f>SUM(C8:C12)</f>
        <v>1406265803.5369585</v>
      </c>
    </row>
    <row r="15" spans="1:6" ht="25.5">
      <c r="B15" s="56" t="s">
        <v>484</v>
      </c>
    </row>
    <row r="17" spans="1:2" ht="15">
      <c r="A17" s="223"/>
      <c r="B17" s="224"/>
    </row>
    <row r="18" spans="1:2" ht="15">
      <c r="A18" s="228"/>
      <c r="B18" s="229"/>
    </row>
    <row r="19" spans="1:2">
      <c r="A19" s="230"/>
      <c r="B19" s="225"/>
    </row>
    <row r="20" spans="1:2">
      <c r="A20" s="231"/>
      <c r="B20" s="226"/>
    </row>
    <row r="21" spans="1:2">
      <c r="A21" s="231"/>
      <c r="B21" s="229"/>
    </row>
    <row r="22" spans="1:2">
      <c r="A22" s="230"/>
      <c r="B22" s="227"/>
    </row>
    <row r="23" spans="1:2">
      <c r="A23" s="231"/>
      <c r="B23" s="226"/>
    </row>
    <row r="24" spans="1:2">
      <c r="A24" s="231"/>
      <c r="B24" s="226"/>
    </row>
    <row r="25" spans="1:2">
      <c r="A25" s="231"/>
      <c r="B25" s="232"/>
    </row>
    <row r="26" spans="1:2">
      <c r="A26" s="231"/>
      <c r="B26" s="229"/>
    </row>
    <row r="27" spans="1:2">
      <c r="B27" s="76"/>
    </row>
    <row r="28" spans="1:2">
      <c r="B28" s="76"/>
    </row>
    <row r="29" spans="1:2">
      <c r="B29" s="76"/>
    </row>
    <row r="30" spans="1:2">
      <c r="B30" s="76"/>
    </row>
    <row r="31" spans="1:2">
      <c r="B31" s="76"/>
    </row>
    <row r="32" spans="1:2">
      <c r="B32" s="76"/>
    </row>
    <row r="33" spans="2:2">
      <c r="B33" s="7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I2qP/NM7DbMglvFhZhGPuZN9X6uF73u1pwLeB+mu0UQ=</DigestValue>
    </Reference>
    <Reference Type="http://www.w3.org/2000/09/xmldsig#Object" URI="#idOfficeObject">
      <DigestMethod Algorithm="http://www.w3.org/2001/04/xmlenc#sha256"/>
      <DigestValue>6x7mehcrGphmU4m6yLmGwx4JNhtPqz0/Fl4oAncHSaE=</DigestValue>
    </Reference>
    <Reference Type="http://uri.etsi.org/01903#SignedProperties" URI="#idSignedProperties">
      <Transforms>
        <Transform Algorithm="http://www.w3.org/TR/2001/REC-xml-c14n-20010315"/>
      </Transforms>
      <DigestMethod Algorithm="http://www.w3.org/2001/04/xmlenc#sha256"/>
      <DigestValue>vhwassr/cfyQeDdxfYpadrqNJBKFhleAHPknPvGJg6A=</DigestValue>
    </Reference>
  </SignedInfo>
  <SignatureValue>bl4h3nS82bpRV6d/ATBn+q9qv+5iH7cy15nAUX5SO/hG0owoQkBOEMxFN8EMcWNnTtjRberssZIV
Y1jXQY8FxeG+kQek3CmFU76bGi1vVdx3XEw7NlC0iWgrQOyY36eWl6NRzq3Y4QDaD1LTpjInCm6C
fHzd2tMVPPkIm5bmB1kXblSkdI5Em60jX8w5tAxHMS35mO6sk9PIfJSGUH/Zq4arEsEkg1KoVGuv
yd7ahzsXfpwcyBz83wIUNe0V5rFzTKtRlxA9quc/hII583/R6+mYfp9gxf5TaF43PcqNx4KbBd6W
fv3TbQzqhYD3xkRnhmbDmaZf5Mg2gX0rF/pJrQ==</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lsCB0RgLUut9tYTJ5/u9+XOGaOQLwrGbxHVOflq1aw4=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EA2SAPLb+J1NItvvvi3zDW7hUHTS2lhWV8xOWuctXQ4=</DigestValue>
      </Reference>
      <Reference URI="/xl/styles.xml?ContentType=application/vnd.openxmlformats-officedocument.spreadsheetml.styles+xml">
        <DigestMethod Algorithm="http://www.w3.org/2001/04/xmlenc#sha256"/>
        <DigestValue>91YsJ+aoPlHSOzBOgC5R1IGLlQemnXhGh9GkA7IMn80=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SwDNWJs7uL7Pxcc0hmNT8CYxrYxgOmp0WZ2g9AZaRBo=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y+GtA6vuKMlcsZbXAr1R3vAPxN+LobyKj2QxhSAphPc=</DigestValue>
      </Reference>
      <Reference URI="/xl/worksheets/sheet10.xml?ContentType=application/vnd.openxmlformats-officedocument.spreadsheetml.worksheet+xml">
        <DigestMethod Algorithm="http://www.w3.org/2001/04/xmlenc#sha256"/>
        <DigestValue>VkT6hep18RKdpm2j7LcT8OW70ET3eLVFm4e9O2UevQk=</DigestValue>
      </Reference>
      <Reference URI="/xl/worksheets/sheet11.xml?ContentType=application/vnd.openxmlformats-officedocument.spreadsheetml.worksheet+xml">
        <DigestMethod Algorithm="http://www.w3.org/2001/04/xmlenc#sha256"/>
        <DigestValue>Kog61IiwXonzMKfdFsl/NPUsInz5CzVX0VzH4fRHWgU=</DigestValue>
      </Reference>
      <Reference URI="/xl/worksheets/sheet12.xml?ContentType=application/vnd.openxmlformats-officedocument.spreadsheetml.worksheet+xml">
        <DigestMethod Algorithm="http://www.w3.org/2001/04/xmlenc#sha256"/>
        <DigestValue>wWsxxJt4FuqnWGdlsCoshO04i56Wu8ChUHvjQjFU3yE=</DigestValue>
      </Reference>
      <Reference URI="/xl/worksheets/sheet13.xml?ContentType=application/vnd.openxmlformats-officedocument.spreadsheetml.worksheet+xml">
        <DigestMethod Algorithm="http://www.w3.org/2001/04/xmlenc#sha256"/>
        <DigestValue>+oG/A0fE6r7xaMQLI0v9296+zj6KsFvjjdqcT+v94mg=</DigestValue>
      </Reference>
      <Reference URI="/xl/worksheets/sheet14.xml?ContentType=application/vnd.openxmlformats-officedocument.spreadsheetml.worksheet+xml">
        <DigestMethod Algorithm="http://www.w3.org/2001/04/xmlenc#sha256"/>
        <DigestValue>e7EGA2aVD/hhxHaZd2CnZrylOR0HLLc2I1M+pCMXU34=</DigestValue>
      </Reference>
      <Reference URI="/xl/worksheets/sheet15.xml?ContentType=application/vnd.openxmlformats-officedocument.spreadsheetml.worksheet+xml">
        <DigestMethod Algorithm="http://www.w3.org/2001/04/xmlenc#sha256"/>
        <DigestValue>1KM87sow66TL0KoAf6X0plH0xvu2M0RnTrvAUat6piM=</DigestValue>
      </Reference>
      <Reference URI="/xl/worksheets/sheet16.xml?ContentType=application/vnd.openxmlformats-officedocument.spreadsheetml.worksheet+xml">
        <DigestMethod Algorithm="http://www.w3.org/2001/04/xmlenc#sha256"/>
        <DigestValue>US7lfY55i2nRLRNc97F0vQExoCKAmgaWKHYN6fPyC/c=</DigestValue>
      </Reference>
      <Reference URI="/xl/worksheets/sheet17.xml?ContentType=application/vnd.openxmlformats-officedocument.spreadsheetml.worksheet+xml">
        <DigestMethod Algorithm="http://www.w3.org/2001/04/xmlenc#sha256"/>
        <DigestValue>BZfSsOV9KQ1rZsQw501JvP/zAD9SRCelo4OBO3arB6I=</DigestValue>
      </Reference>
      <Reference URI="/xl/worksheets/sheet18.xml?ContentType=application/vnd.openxmlformats-officedocument.spreadsheetml.worksheet+xml">
        <DigestMethod Algorithm="http://www.w3.org/2001/04/xmlenc#sha256"/>
        <DigestValue>d9CnQfaQX46D1TdUNzIFezxzsfPfTnc2HhzaU8d6duA=</DigestValue>
      </Reference>
      <Reference URI="/xl/worksheets/sheet19.xml?ContentType=application/vnd.openxmlformats-officedocument.spreadsheetml.worksheet+xml">
        <DigestMethod Algorithm="http://www.w3.org/2001/04/xmlenc#sha256"/>
        <DigestValue>RVhmD9TJNpgGxyj+ghSJv9qr62dIK9hLoHPJMtvHxgQ=</DigestValue>
      </Reference>
      <Reference URI="/xl/worksheets/sheet2.xml?ContentType=application/vnd.openxmlformats-officedocument.spreadsheetml.worksheet+xml">
        <DigestMethod Algorithm="http://www.w3.org/2001/04/xmlenc#sha256"/>
        <DigestValue>ZGXAszUFwY/CFR5nxlrsElxv2/ePKuBWBZSpqnvxmbI=</DigestValue>
      </Reference>
      <Reference URI="/xl/worksheets/sheet20.xml?ContentType=application/vnd.openxmlformats-officedocument.spreadsheetml.worksheet+xml">
        <DigestMethod Algorithm="http://www.w3.org/2001/04/xmlenc#sha256"/>
        <DigestValue>0pNY7A+xfMJeMVZPPDkJlPLZAaUd/jcx7S2kehMePHM=</DigestValue>
      </Reference>
      <Reference URI="/xl/worksheets/sheet21.xml?ContentType=application/vnd.openxmlformats-officedocument.spreadsheetml.worksheet+xml">
        <DigestMethod Algorithm="http://www.w3.org/2001/04/xmlenc#sha256"/>
        <DigestValue>yxMZh0MogYpfrUSvO0XAmlix8siPTS1iUj5nxWtukBY=</DigestValue>
      </Reference>
      <Reference URI="/xl/worksheets/sheet22.xml?ContentType=application/vnd.openxmlformats-officedocument.spreadsheetml.worksheet+xml">
        <DigestMethod Algorithm="http://www.w3.org/2001/04/xmlenc#sha256"/>
        <DigestValue>jvWzetspahjB83yhJ8UAkB9SLIvJSNaaYGi+dXIRiTQ=</DigestValue>
      </Reference>
      <Reference URI="/xl/worksheets/sheet23.xml?ContentType=application/vnd.openxmlformats-officedocument.spreadsheetml.worksheet+xml">
        <DigestMethod Algorithm="http://www.w3.org/2001/04/xmlenc#sha256"/>
        <DigestValue>YRUjoAgIG79ySOu76EvZqSGgAmNDL7JB7ZGHy+pxHiA=</DigestValue>
      </Reference>
      <Reference URI="/xl/worksheets/sheet24.xml?ContentType=application/vnd.openxmlformats-officedocument.spreadsheetml.worksheet+xml">
        <DigestMethod Algorithm="http://www.w3.org/2001/04/xmlenc#sha256"/>
        <DigestValue>ATige3bE7/IT0GrrmdnQLCZswgIONmX9Avz5AV+eC6w=</DigestValue>
      </Reference>
      <Reference URI="/xl/worksheets/sheet25.xml?ContentType=application/vnd.openxmlformats-officedocument.spreadsheetml.worksheet+xml">
        <DigestMethod Algorithm="http://www.w3.org/2001/04/xmlenc#sha256"/>
        <DigestValue>9F/keaBPB0H3kf31C5bint8SXcMnQyCpt8zQ2KHDHmM=</DigestValue>
      </Reference>
      <Reference URI="/xl/worksheets/sheet26.xml?ContentType=application/vnd.openxmlformats-officedocument.spreadsheetml.worksheet+xml">
        <DigestMethod Algorithm="http://www.w3.org/2001/04/xmlenc#sha256"/>
        <DigestValue>AUbaoMMqGRHOtr13WyiXq5pJCyJjeQcA71CWQz4AWrU=</DigestValue>
      </Reference>
      <Reference URI="/xl/worksheets/sheet27.xml?ContentType=application/vnd.openxmlformats-officedocument.spreadsheetml.worksheet+xml">
        <DigestMethod Algorithm="http://www.w3.org/2001/04/xmlenc#sha256"/>
        <DigestValue>Leo85T/qAyKL54W7F8fLKvUy0zxuyaulLnhdAVI5vAo=</DigestValue>
      </Reference>
      <Reference URI="/xl/worksheets/sheet28.xml?ContentType=application/vnd.openxmlformats-officedocument.spreadsheetml.worksheet+xml">
        <DigestMethod Algorithm="http://www.w3.org/2001/04/xmlenc#sha256"/>
        <DigestValue>mqR/G0XC7gwAFlgihqxLFogiyAXCEBbqOrsI6FoHHds=</DigestValue>
      </Reference>
      <Reference URI="/xl/worksheets/sheet29.xml?ContentType=application/vnd.openxmlformats-officedocument.spreadsheetml.worksheet+xml">
        <DigestMethod Algorithm="http://www.w3.org/2001/04/xmlenc#sha256"/>
        <DigestValue>jmDFyLRiPPO/8BaJcDnibZIphioNDiKn5VKxafPJMhM=</DigestValue>
      </Reference>
      <Reference URI="/xl/worksheets/sheet3.xml?ContentType=application/vnd.openxmlformats-officedocument.spreadsheetml.worksheet+xml">
        <DigestMethod Algorithm="http://www.w3.org/2001/04/xmlenc#sha256"/>
        <DigestValue>UXo/6XSM2IFs7uMRIHqebtnbSql8z7V2Jr4ZzOuyugE=</DigestValue>
      </Reference>
      <Reference URI="/xl/worksheets/sheet4.xml?ContentType=application/vnd.openxmlformats-officedocument.spreadsheetml.worksheet+xml">
        <DigestMethod Algorithm="http://www.w3.org/2001/04/xmlenc#sha256"/>
        <DigestValue>vCPWDPCspnwQVIqPZXW0CnidRNDVTO8a4xSgXHz12fU=</DigestValue>
      </Reference>
      <Reference URI="/xl/worksheets/sheet5.xml?ContentType=application/vnd.openxmlformats-officedocument.spreadsheetml.worksheet+xml">
        <DigestMethod Algorithm="http://www.w3.org/2001/04/xmlenc#sha256"/>
        <DigestValue>u4K8qYpJYF6lfm8g57I8f8kfJTOTGfoeUpUMvd1x+cU=</DigestValue>
      </Reference>
      <Reference URI="/xl/worksheets/sheet6.xml?ContentType=application/vnd.openxmlformats-officedocument.spreadsheetml.worksheet+xml">
        <DigestMethod Algorithm="http://www.w3.org/2001/04/xmlenc#sha256"/>
        <DigestValue>SGgS6pU55ApLYQ71tjhnp4ZUlXzERYoFBWrgqYWU93o=</DigestValue>
      </Reference>
      <Reference URI="/xl/worksheets/sheet7.xml?ContentType=application/vnd.openxmlformats-officedocument.spreadsheetml.worksheet+xml">
        <DigestMethod Algorithm="http://www.w3.org/2001/04/xmlenc#sha256"/>
        <DigestValue>FwjBgJriK76HW7cp6xh4rfByWi5CSfmUza2IDzeT0Bc=</DigestValue>
      </Reference>
      <Reference URI="/xl/worksheets/sheet8.xml?ContentType=application/vnd.openxmlformats-officedocument.spreadsheetml.worksheet+xml">
        <DigestMethod Algorithm="http://www.w3.org/2001/04/xmlenc#sha256"/>
        <DigestValue>jzPiXAUGYzIYlsqrPCM2lgx3xeD2NmEdcOnp5p3IXHo=</DigestValue>
      </Reference>
      <Reference URI="/xl/worksheets/sheet9.xml?ContentType=application/vnd.openxmlformats-officedocument.spreadsheetml.worksheet+xml">
        <DigestMethod Algorithm="http://www.w3.org/2001/04/xmlenc#sha256"/>
        <DigestValue>uKdhhMHXkr9x75yubtceJgG6IdCrGrdvwvEMzWk5Yh0=</DigestValue>
      </Reference>
    </Manifest>
    <SignatureProperties>
      <SignatureProperty Id="idSignatureTime" Target="#idPackageSignature">
        <mdssi:SignatureTime xmlns:mdssi="http://schemas.openxmlformats.org/package/2006/digital-signature">
          <mdssi:Format>YYYY-MM-DDThh:mm:ssTZD</mdssi:Format>
          <mdssi:Value>2023-02-27T07:52:07Z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4</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2023-02-27T07:52:07Z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4</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tKMHZic9YL+2TYLFxAT5jH75ga9STUg8WWakNvd3cbg=</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tz7J2FNLQ6uJtL4gj3PZhVDbpfDo8ciaF3I2SfaxrTs=</DigestValue>
    </Reference>
  </SignedInfo>
  <SignatureValue>tgvsqZTKbV6pzwxGeW+69Hpw8CkOUItCQAjQzFC0SLUXbyLVK5//q4/zhZPBzCGwAMfe6ZjX7XxR
+ZrmD5ag5a9IgnufJDGznkxubZgQagQf+7wa6TndVWbNzP60ZrFeTr7PLKb/+98j1F/5tCBV4Iya
sEZbQjjLVc3R+OwO5cz/GbMLINRM9iBmPojFEnOGpI2Pniok76qcGy76oOx6+G4rdJqUL8ZojZ51
G132UMIoUdsXm/MhbhnDD9lScC690CKDOX3iyKajf9j6UVlydzgPlDIxX4judR8vioj1wRBcc7l+
drf9TbMdQ/6sp6FF50DNzfEn9T4J2qOqEsemOg==</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lsCB0RgLUut9tYTJ5/u9+XOGaOQLwrGbxHVOflq1aw4=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EA2SAPLb+J1NItvvvi3zDW7hUHTS2lhWV8xOWuctXQ4=</DigestValue>
      </Reference>
      <Reference URI="/xl/styles.xml?ContentType=application/vnd.openxmlformats-officedocument.spreadsheetml.styles+xml">
        <DigestMethod Algorithm="http://www.w3.org/2001/04/xmlenc#sha256"/>
        <DigestValue>91YsJ+aoPlHSOzBOgC5R1IGLlQemnXhGh9GkA7IMn80=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SwDNWJs7uL7Pxcc0hmNT8CYxrYxgOmp0WZ2g9AZaRBo=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y+GtA6vuKMlcsZbXAr1R3vAPxN+LobyKj2QxhSAphPc=</DigestValue>
      </Reference>
      <Reference URI="/xl/worksheets/sheet10.xml?ContentType=application/vnd.openxmlformats-officedocument.spreadsheetml.worksheet+xml">
        <DigestMethod Algorithm="http://www.w3.org/2001/04/xmlenc#sha256"/>
        <DigestValue>VkT6hep18RKdpm2j7LcT8OW70ET3eLVFm4e9O2UevQk=</DigestValue>
      </Reference>
      <Reference URI="/xl/worksheets/sheet11.xml?ContentType=application/vnd.openxmlformats-officedocument.spreadsheetml.worksheet+xml">
        <DigestMethod Algorithm="http://www.w3.org/2001/04/xmlenc#sha256"/>
        <DigestValue>Kog61IiwXonzMKfdFsl/NPUsInz5CzVX0VzH4fRHWgU=</DigestValue>
      </Reference>
      <Reference URI="/xl/worksheets/sheet12.xml?ContentType=application/vnd.openxmlformats-officedocument.spreadsheetml.worksheet+xml">
        <DigestMethod Algorithm="http://www.w3.org/2001/04/xmlenc#sha256"/>
        <DigestValue>wWsxxJt4FuqnWGdlsCoshO04i56Wu8ChUHvjQjFU3yE=</DigestValue>
      </Reference>
      <Reference URI="/xl/worksheets/sheet13.xml?ContentType=application/vnd.openxmlformats-officedocument.spreadsheetml.worksheet+xml">
        <DigestMethod Algorithm="http://www.w3.org/2001/04/xmlenc#sha256"/>
        <DigestValue>+oG/A0fE6r7xaMQLI0v9296+zj6KsFvjjdqcT+v94mg=</DigestValue>
      </Reference>
      <Reference URI="/xl/worksheets/sheet14.xml?ContentType=application/vnd.openxmlformats-officedocument.spreadsheetml.worksheet+xml">
        <DigestMethod Algorithm="http://www.w3.org/2001/04/xmlenc#sha256"/>
        <DigestValue>e7EGA2aVD/hhxHaZd2CnZrylOR0HLLc2I1M+pCMXU34=</DigestValue>
      </Reference>
      <Reference URI="/xl/worksheets/sheet15.xml?ContentType=application/vnd.openxmlformats-officedocument.spreadsheetml.worksheet+xml">
        <DigestMethod Algorithm="http://www.w3.org/2001/04/xmlenc#sha256"/>
        <DigestValue>1KM87sow66TL0KoAf6X0plH0xvu2M0RnTrvAUat6piM=</DigestValue>
      </Reference>
      <Reference URI="/xl/worksheets/sheet16.xml?ContentType=application/vnd.openxmlformats-officedocument.spreadsheetml.worksheet+xml">
        <DigestMethod Algorithm="http://www.w3.org/2001/04/xmlenc#sha256"/>
        <DigestValue>US7lfY55i2nRLRNc97F0vQExoCKAmgaWKHYN6fPyC/c=</DigestValue>
      </Reference>
      <Reference URI="/xl/worksheets/sheet17.xml?ContentType=application/vnd.openxmlformats-officedocument.spreadsheetml.worksheet+xml">
        <DigestMethod Algorithm="http://www.w3.org/2001/04/xmlenc#sha256"/>
        <DigestValue>BZfSsOV9KQ1rZsQw501JvP/zAD9SRCelo4OBO3arB6I=</DigestValue>
      </Reference>
      <Reference URI="/xl/worksheets/sheet18.xml?ContentType=application/vnd.openxmlformats-officedocument.spreadsheetml.worksheet+xml">
        <DigestMethod Algorithm="http://www.w3.org/2001/04/xmlenc#sha256"/>
        <DigestValue>d9CnQfaQX46D1TdUNzIFezxzsfPfTnc2HhzaU8d6duA=</DigestValue>
      </Reference>
      <Reference URI="/xl/worksheets/sheet19.xml?ContentType=application/vnd.openxmlformats-officedocument.spreadsheetml.worksheet+xml">
        <DigestMethod Algorithm="http://www.w3.org/2001/04/xmlenc#sha256"/>
        <DigestValue>RVhmD9TJNpgGxyj+ghSJv9qr62dIK9hLoHPJMtvHxgQ=</DigestValue>
      </Reference>
      <Reference URI="/xl/worksheets/sheet2.xml?ContentType=application/vnd.openxmlformats-officedocument.spreadsheetml.worksheet+xml">
        <DigestMethod Algorithm="http://www.w3.org/2001/04/xmlenc#sha256"/>
        <DigestValue>ZGXAszUFwY/CFR5nxlrsElxv2/ePKuBWBZSpqnvxmbI=</DigestValue>
      </Reference>
      <Reference URI="/xl/worksheets/sheet20.xml?ContentType=application/vnd.openxmlformats-officedocument.spreadsheetml.worksheet+xml">
        <DigestMethod Algorithm="http://www.w3.org/2001/04/xmlenc#sha256"/>
        <DigestValue>0pNY7A+xfMJeMVZPPDkJlPLZAaUd/jcx7S2kehMePHM=</DigestValue>
      </Reference>
      <Reference URI="/xl/worksheets/sheet21.xml?ContentType=application/vnd.openxmlformats-officedocument.spreadsheetml.worksheet+xml">
        <DigestMethod Algorithm="http://www.w3.org/2001/04/xmlenc#sha256"/>
        <DigestValue>yxMZh0MogYpfrUSvO0XAmlix8siPTS1iUj5nxWtukBY=</DigestValue>
      </Reference>
      <Reference URI="/xl/worksheets/sheet22.xml?ContentType=application/vnd.openxmlformats-officedocument.spreadsheetml.worksheet+xml">
        <DigestMethod Algorithm="http://www.w3.org/2001/04/xmlenc#sha256"/>
        <DigestValue>jvWzetspahjB83yhJ8UAkB9SLIvJSNaaYGi+dXIRiTQ=</DigestValue>
      </Reference>
      <Reference URI="/xl/worksheets/sheet23.xml?ContentType=application/vnd.openxmlformats-officedocument.spreadsheetml.worksheet+xml">
        <DigestMethod Algorithm="http://www.w3.org/2001/04/xmlenc#sha256"/>
        <DigestValue>YRUjoAgIG79ySOu76EvZqSGgAmNDL7JB7ZGHy+pxHiA=</DigestValue>
      </Reference>
      <Reference URI="/xl/worksheets/sheet24.xml?ContentType=application/vnd.openxmlformats-officedocument.spreadsheetml.worksheet+xml">
        <DigestMethod Algorithm="http://www.w3.org/2001/04/xmlenc#sha256"/>
        <DigestValue>ATige3bE7/IT0GrrmdnQLCZswgIONmX9Avz5AV+eC6w=</DigestValue>
      </Reference>
      <Reference URI="/xl/worksheets/sheet25.xml?ContentType=application/vnd.openxmlformats-officedocument.spreadsheetml.worksheet+xml">
        <DigestMethod Algorithm="http://www.w3.org/2001/04/xmlenc#sha256"/>
        <DigestValue>9F/keaBPB0H3kf31C5bint8SXcMnQyCpt8zQ2KHDHmM=</DigestValue>
      </Reference>
      <Reference URI="/xl/worksheets/sheet26.xml?ContentType=application/vnd.openxmlformats-officedocument.spreadsheetml.worksheet+xml">
        <DigestMethod Algorithm="http://www.w3.org/2001/04/xmlenc#sha256"/>
        <DigestValue>AUbaoMMqGRHOtr13WyiXq5pJCyJjeQcA71CWQz4AWrU=</DigestValue>
      </Reference>
      <Reference URI="/xl/worksheets/sheet27.xml?ContentType=application/vnd.openxmlformats-officedocument.spreadsheetml.worksheet+xml">
        <DigestMethod Algorithm="http://www.w3.org/2001/04/xmlenc#sha256"/>
        <DigestValue>Leo85T/qAyKL54W7F8fLKvUy0zxuyaulLnhdAVI5vAo=</DigestValue>
      </Reference>
      <Reference URI="/xl/worksheets/sheet28.xml?ContentType=application/vnd.openxmlformats-officedocument.spreadsheetml.worksheet+xml">
        <DigestMethod Algorithm="http://www.w3.org/2001/04/xmlenc#sha256"/>
        <DigestValue>mqR/G0XC7gwAFlgihqxLFogiyAXCEBbqOrsI6FoHHds=</DigestValue>
      </Reference>
      <Reference URI="/xl/worksheets/sheet29.xml?ContentType=application/vnd.openxmlformats-officedocument.spreadsheetml.worksheet+xml">
        <DigestMethod Algorithm="http://www.w3.org/2001/04/xmlenc#sha256"/>
        <DigestValue>jmDFyLRiPPO/8BaJcDnibZIphioNDiKn5VKxafPJMhM=</DigestValue>
      </Reference>
      <Reference URI="/xl/worksheets/sheet3.xml?ContentType=application/vnd.openxmlformats-officedocument.spreadsheetml.worksheet+xml">
        <DigestMethod Algorithm="http://www.w3.org/2001/04/xmlenc#sha256"/>
        <DigestValue>UXo/6XSM2IFs7uMRIHqebtnbSql8z7V2Jr4ZzOuyugE=</DigestValue>
      </Reference>
      <Reference URI="/xl/worksheets/sheet4.xml?ContentType=application/vnd.openxmlformats-officedocument.spreadsheetml.worksheet+xml">
        <DigestMethod Algorithm="http://www.w3.org/2001/04/xmlenc#sha256"/>
        <DigestValue>vCPWDPCspnwQVIqPZXW0CnidRNDVTO8a4xSgXHz12fU=</DigestValue>
      </Reference>
      <Reference URI="/xl/worksheets/sheet5.xml?ContentType=application/vnd.openxmlformats-officedocument.spreadsheetml.worksheet+xml">
        <DigestMethod Algorithm="http://www.w3.org/2001/04/xmlenc#sha256"/>
        <DigestValue>u4K8qYpJYF6lfm8g57I8f8kfJTOTGfoeUpUMvd1x+cU=</DigestValue>
      </Reference>
      <Reference URI="/xl/worksheets/sheet6.xml?ContentType=application/vnd.openxmlformats-officedocument.spreadsheetml.worksheet+xml">
        <DigestMethod Algorithm="http://www.w3.org/2001/04/xmlenc#sha256"/>
        <DigestValue>SGgS6pU55ApLYQ71tjhnp4ZUlXzERYoFBWrgqYWU93o=</DigestValue>
      </Reference>
      <Reference URI="/xl/worksheets/sheet7.xml?ContentType=application/vnd.openxmlformats-officedocument.spreadsheetml.worksheet+xml">
        <DigestMethod Algorithm="http://www.w3.org/2001/04/xmlenc#sha256"/>
        <DigestValue>FwjBgJriK76HW7cp6xh4rfByWi5CSfmUza2IDzeT0Bc=</DigestValue>
      </Reference>
      <Reference URI="/xl/worksheets/sheet8.xml?ContentType=application/vnd.openxmlformats-officedocument.spreadsheetml.worksheet+xml">
        <DigestMethod Algorithm="http://www.w3.org/2001/04/xmlenc#sha256"/>
        <DigestValue>jzPiXAUGYzIYlsqrPCM2lgx3xeD2NmEdcOnp5p3IXHo=</DigestValue>
      </Reference>
      <Reference URI="/xl/worksheets/sheet9.xml?ContentType=application/vnd.openxmlformats-officedocument.spreadsheetml.worksheet+xml">
        <DigestMethod Algorithm="http://www.w3.org/2001/04/xmlenc#sha256"/>
        <DigestValue>uKdhhMHXkr9x75yubtceJgG6IdCrGrdvwvEMzWk5Yh0=</DigestValue>
      </Reference>
    </Manifest>
    <SignatureProperties>
      <SignatureProperty Id="idSignatureTime" Target="#idPackageSignature">
        <mdssi:SignatureTime xmlns:mdssi="http://schemas.openxmlformats.org/package/2006/digital-signature">
          <mdssi:Format>YYYY-MM-DDThh:mm:ssTZD</mdssi:Format>
          <mdssi:Value>2023-02-27T08:07:22Z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2023-02-27T08:07:22Z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2023-02-24T14:13:42Z</dcterms:modified>
</cp:coreProperties>
</file>