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B37EBC46-4F02-4427-918B-5CF8BE3D91C7}" xr6:coauthVersionLast="47" xr6:coauthVersionMax="47" xr10:uidLastSave="{00000000-0000-0000-0000-000000000000}"/>
  <bookViews>
    <workbookView xWindow="28680" yWindow="-120" windowWidth="29040" windowHeight="15990" tabRatio="919"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83" l="1"/>
  <c r="H17" i="83"/>
  <c r="H16" i="83"/>
  <c r="H18" i="83"/>
  <c r="H15" i="83"/>
  <c r="C35" i="95" l="1"/>
  <c r="C12" i="101" l="1"/>
  <c r="C10" i="102"/>
  <c r="S21" i="90" l="1"/>
  <c r="S20" i="90"/>
  <c r="S19" i="90"/>
  <c r="S18" i="90"/>
  <c r="S17" i="90"/>
  <c r="S16" i="90"/>
  <c r="S15" i="90"/>
  <c r="S14" i="90"/>
  <c r="S13" i="90"/>
  <c r="S12" i="90"/>
  <c r="S11" i="90"/>
  <c r="S10" i="90"/>
  <c r="S9" i="90"/>
  <c r="S8" i="90"/>
  <c r="C29" i="69"/>
  <c r="C27" i="69"/>
  <c r="C20" i="69"/>
  <c r="H40" i="83" l="1"/>
  <c r="E40" i="83"/>
  <c r="H39" i="83"/>
  <c r="E39" i="83"/>
  <c r="C54" i="69" s="1"/>
  <c r="H38" i="83"/>
  <c r="E38" i="83"/>
  <c r="C53" i="69" s="1"/>
  <c r="H37" i="83"/>
  <c r="E37" i="83"/>
  <c r="C50" i="69" s="1"/>
  <c r="H36" i="83"/>
  <c r="E36" i="83"/>
  <c r="C49" i="69" s="1"/>
  <c r="H35" i="83"/>
  <c r="E35" i="83"/>
  <c r="C48" i="69" s="1"/>
  <c r="H34" i="83"/>
  <c r="E34" i="83"/>
  <c r="C47" i="69" s="1"/>
  <c r="H33" i="83"/>
  <c r="E33" i="83"/>
  <c r="C46" i="69" s="1"/>
  <c r="G31" i="83"/>
  <c r="G41" i="83" s="1"/>
  <c r="F31" i="83"/>
  <c r="D31" i="83"/>
  <c r="D41" i="83" s="1"/>
  <c r="C31" i="83"/>
  <c r="C41" i="83" s="1"/>
  <c r="H30" i="83"/>
  <c r="E30" i="83"/>
  <c r="C43" i="69" s="1"/>
  <c r="C44" i="69" s="1"/>
  <c r="H29" i="83"/>
  <c r="E29" i="83"/>
  <c r="C41" i="69" s="1"/>
  <c r="H28" i="83"/>
  <c r="E28" i="83"/>
  <c r="C40" i="69" s="1"/>
  <c r="H27" i="83"/>
  <c r="E27" i="83"/>
  <c r="C39" i="69" s="1"/>
  <c r="H26" i="83"/>
  <c r="E26" i="83"/>
  <c r="C38" i="69" s="1"/>
  <c r="H25" i="83"/>
  <c r="E25" i="83"/>
  <c r="C37" i="69" s="1"/>
  <c r="H24" i="83"/>
  <c r="E24" i="83"/>
  <c r="C36" i="69" s="1"/>
  <c r="H23" i="83"/>
  <c r="E23" i="83"/>
  <c r="C35" i="69" s="1"/>
  <c r="H22" i="83"/>
  <c r="E22" i="83"/>
  <c r="C34" i="69" s="1"/>
  <c r="C45" i="69" s="1"/>
  <c r="E19" i="83"/>
  <c r="C28" i="69" s="1"/>
  <c r="C32" i="69" s="1"/>
  <c r="E18" i="83"/>
  <c r="C26" i="69" s="1"/>
  <c r="E17" i="83"/>
  <c r="E16" i="83"/>
  <c r="C19" i="69" s="1"/>
  <c r="E15" i="83"/>
  <c r="C18" i="69" s="1"/>
  <c r="G14" i="83"/>
  <c r="G20" i="83" s="1"/>
  <c r="F14" i="83"/>
  <c r="H14" i="83" s="1"/>
  <c r="D14" i="83"/>
  <c r="D20" i="83" s="1"/>
  <c r="C14" i="83"/>
  <c r="C20" i="83" s="1"/>
  <c r="H13" i="83"/>
  <c r="E13" i="83"/>
  <c r="H12" i="83"/>
  <c r="E12" i="83"/>
  <c r="C13" i="69" s="1"/>
  <c r="C17" i="69" s="1"/>
  <c r="H11" i="83"/>
  <c r="E11" i="83"/>
  <c r="C10" i="69" s="1"/>
  <c r="C12" i="69" s="1"/>
  <c r="H10" i="83"/>
  <c r="E10" i="83"/>
  <c r="C9" i="69" s="1"/>
  <c r="H9" i="83"/>
  <c r="E9" i="83"/>
  <c r="C8" i="69" s="1"/>
  <c r="H8" i="83"/>
  <c r="E8" i="83"/>
  <c r="C7" i="69" s="1"/>
  <c r="H7" i="83"/>
  <c r="E7" i="83"/>
  <c r="C6" i="69" s="1"/>
  <c r="C33" i="69" l="1"/>
  <c r="F20" i="83"/>
  <c r="H20" i="83" s="1"/>
  <c r="E20" i="83"/>
  <c r="H31" i="83"/>
  <c r="F41" i="83"/>
  <c r="H41" i="83" s="1"/>
  <c r="E41" i="83"/>
  <c r="E31" i="83"/>
  <c r="E14" i="83"/>
  <c r="N33" i="105" l="1"/>
  <c r="M33" i="105"/>
  <c r="L33" i="105"/>
  <c r="K33" i="105"/>
  <c r="J33" i="105"/>
  <c r="I33" i="105"/>
  <c r="H33" i="105"/>
  <c r="G33" i="105"/>
  <c r="F33" i="105"/>
  <c r="E33" i="105"/>
  <c r="D33" i="105"/>
  <c r="C33" i="105"/>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16" i="93"/>
  <c r="D16" i="93"/>
  <c r="E16" i="93"/>
  <c r="F16" i="93"/>
  <c r="G16" i="93"/>
  <c r="H16" i="93"/>
  <c r="I16" i="93"/>
  <c r="J16" i="93"/>
  <c r="K16" i="93"/>
  <c r="G6" i="86"/>
  <c r="G13" i="86" s="1"/>
  <c r="F6" i="86"/>
  <c r="F13" i="86" s="1"/>
  <c r="E6" i="86"/>
  <c r="E13" i="86" s="1"/>
  <c r="D6" i="86"/>
  <c r="D13" i="86" s="1"/>
  <c r="C6" i="86"/>
  <c r="C13" i="86" s="1"/>
  <c r="H53" i="75"/>
  <c r="E53" i="75"/>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85"/>
  <c r="E66" i="85"/>
  <c r="H64" i="85"/>
  <c r="E64" i="85"/>
  <c r="G61" i="85"/>
  <c r="F61" i="85"/>
  <c r="D61" i="85"/>
  <c r="C61" i="85"/>
  <c r="H60" i="85"/>
  <c r="E60" i="85"/>
  <c r="H59" i="85"/>
  <c r="E59" i="85"/>
  <c r="H58" i="85"/>
  <c r="E58" i="85"/>
  <c r="G53" i="85"/>
  <c r="F53" i="85"/>
  <c r="D53" i="85"/>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D45" i="85" s="1"/>
  <c r="C34" i="85"/>
  <c r="C45" i="85" s="1"/>
  <c r="G30" i="85"/>
  <c r="F30" i="85"/>
  <c r="H30" i="85" s="1"/>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F9" i="85"/>
  <c r="D9" i="85"/>
  <c r="D22" i="85" s="1"/>
  <c r="C9" i="85"/>
  <c r="H8" i="85"/>
  <c r="E8" i="85"/>
  <c r="E45" i="75" l="1"/>
  <c r="D54" i="85"/>
  <c r="E9" i="85"/>
  <c r="E30" i="85"/>
  <c r="G56" i="85"/>
  <c r="G63" i="85" s="1"/>
  <c r="G65" i="85" s="1"/>
  <c r="G67" i="85" s="1"/>
  <c r="D31" i="85"/>
  <c r="H9" i="85"/>
  <c r="E53" i="85"/>
  <c r="H61" i="85"/>
  <c r="E61" i="85"/>
  <c r="H53" i="85"/>
  <c r="E45" i="85"/>
  <c r="C54" i="85"/>
  <c r="E54" i="85" s="1"/>
  <c r="F54" i="85"/>
  <c r="H54" i="85" s="1"/>
  <c r="H45" i="85"/>
  <c r="D56" i="85"/>
  <c r="D63" i="85" s="1"/>
  <c r="D65" i="85" s="1"/>
  <c r="D67" i="85" s="1"/>
  <c r="C22" i="85"/>
  <c r="E34" i="85"/>
  <c r="F22" i="85"/>
  <c r="H34" i="85"/>
  <c r="H22" i="85" l="1"/>
  <c r="F31" i="85"/>
  <c r="E22" i="85"/>
  <c r="C31" i="85"/>
  <c r="C56" i="85" l="1"/>
  <c r="E31" i="85"/>
  <c r="F56" i="85"/>
  <c r="H31" i="85"/>
  <c r="F63" i="85" l="1"/>
  <c r="H56" i="85"/>
  <c r="E56" i="85"/>
  <c r="C63" i="85"/>
  <c r="C65" i="85" l="1"/>
  <c r="E63" i="85"/>
  <c r="F65" i="85"/>
  <c r="H63" i="85"/>
  <c r="F67" i="85" l="1"/>
  <c r="H67" i="85" s="1"/>
  <c r="H65" i="85"/>
  <c r="C67" i="85"/>
  <c r="E67" i="85" s="1"/>
  <c r="E65" i="85"/>
  <c r="B2" i="107" l="1"/>
  <c r="B2" i="75" l="1"/>
  <c r="B2" i="97" l="1"/>
  <c r="B2" i="95"/>
  <c r="B2" i="92"/>
  <c r="B2" i="93"/>
  <c r="B2" i="91"/>
  <c r="B2" i="64"/>
  <c r="B2" i="90"/>
  <c r="B2" i="69"/>
  <c r="B2" i="94"/>
  <c r="B2" i="89"/>
  <c r="B2" i="73"/>
  <c r="B2" i="88"/>
  <c r="B2" i="52"/>
  <c r="B2" i="86"/>
  <c r="C19" i="102" l="1"/>
  <c r="D12" i="101"/>
  <c r="C19" i="101"/>
  <c r="D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I21" i="99" l="1"/>
  <c r="I34" i="100"/>
  <c r="D19" i="101"/>
  <c r="G22" i="98"/>
  <c r="F22" i="98"/>
  <c r="E22" i="98"/>
  <c r="D22" i="98"/>
  <c r="C22" i="98"/>
  <c r="C30" i="95"/>
  <c r="K23" i="93"/>
  <c r="J23" i="93"/>
  <c r="I23" i="93"/>
  <c r="H23" i="93"/>
  <c r="G23" i="93"/>
  <c r="F23" i="93"/>
  <c r="K21" i="93"/>
  <c r="K24" i="93" s="1"/>
  <c r="J21" i="93"/>
  <c r="I21" i="93"/>
  <c r="I24" i="93" s="1"/>
  <c r="H21" i="93"/>
  <c r="G21" i="93"/>
  <c r="G24" i="93" s="1"/>
  <c r="F21" i="93"/>
  <c r="F24" i="93" s="1"/>
  <c r="E21" i="93"/>
  <c r="D21" i="93"/>
  <c r="C21" i="93"/>
  <c r="J24" i="93"/>
  <c r="H24" i="93"/>
  <c r="G22" i="9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S22" i="90"/>
  <c r="R22" i="90"/>
  <c r="Q22" i="90"/>
  <c r="P22" i="90"/>
  <c r="O22" i="90"/>
  <c r="N22" i="90"/>
  <c r="M22" i="90"/>
  <c r="L22" i="90"/>
  <c r="K22" i="90"/>
  <c r="J22" i="90"/>
  <c r="I22" i="90"/>
  <c r="H22" i="90"/>
  <c r="G22" i="90"/>
  <c r="F22" i="90"/>
  <c r="E22" i="90"/>
  <c r="D22" i="90"/>
  <c r="C22" i="90"/>
  <c r="C55" i="69"/>
  <c r="C21" i="94"/>
  <c r="D21" i="94" s="1"/>
  <c r="C20" i="94"/>
  <c r="C19" i="94"/>
  <c r="E21" i="88"/>
  <c r="D21" i="88"/>
  <c r="C21" i="88"/>
  <c r="B2" i="85"/>
  <c r="G25" i="93" l="1"/>
  <c r="H25" i="93"/>
  <c r="H22" i="98"/>
  <c r="I25" i="93"/>
  <c r="J25" i="93"/>
  <c r="D19" i="94"/>
  <c r="H22" i="91"/>
  <c r="K25" i="93"/>
  <c r="V21" i="64"/>
  <c r="D16" i="94"/>
  <c r="D8" i="94"/>
  <c r="D7" i="94"/>
  <c r="D15" i="94"/>
  <c r="D12" i="94"/>
  <c r="D17" i="94"/>
  <c r="D13" i="94"/>
  <c r="D11" i="94"/>
  <c r="D9" i="94"/>
  <c r="D20" i="94"/>
  <c r="F25" i="93"/>
  <c r="G39" i="97"/>
  <c r="B2" i="106" l="1"/>
  <c r="B2" i="105"/>
  <c r="B2" i="104"/>
  <c r="B2" i="103"/>
  <c r="B2" i="102"/>
  <c r="B2" i="101"/>
  <c r="B2" i="100"/>
  <c r="B2" i="99"/>
  <c r="B2" i="98"/>
  <c r="B1" i="97" l="1"/>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B1" i="107" s="1"/>
  <c r="B1" i="106" l="1"/>
  <c r="B1" i="100"/>
  <c r="B1" i="105"/>
  <c r="B1" i="99"/>
  <c r="B1" i="103"/>
  <c r="B1" i="104"/>
  <c r="B1" i="102"/>
  <c r="B1" i="101"/>
  <c r="C8" i="95"/>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K21" i="92" s="1"/>
  <c r="J7" i="92"/>
  <c r="I7" i="92"/>
  <c r="H7" i="92"/>
  <c r="G7" i="92"/>
  <c r="F7" i="92"/>
  <c r="F21" i="92" s="1"/>
  <c r="C7" i="92"/>
  <c r="H21" i="92" l="1"/>
  <c r="G21" i="92"/>
  <c r="E14" i="92"/>
  <c r="N14" i="92"/>
  <c r="J21" i="92"/>
  <c r="E7" i="92"/>
  <c r="I21" i="92"/>
  <c r="M21" i="92"/>
  <c r="C21" i="92"/>
  <c r="N7" i="92"/>
  <c r="N21" i="92" l="1"/>
  <c r="E21" i="92"/>
  <c r="C12" i="95" s="1"/>
  <c r="C18" i="95" s="1"/>
  <c r="C36" i="95" s="1"/>
  <c r="C38" i="95" s="1"/>
  <c r="C5" i="73"/>
  <c r="C12" i="89" l="1"/>
  <c r="C6" i="89"/>
  <c r="C28" i="89" l="1"/>
  <c r="C31" i="89"/>
  <c r="C30" i="89" s="1"/>
  <c r="C35" i="89"/>
  <c r="C43" i="89"/>
  <c r="C47" i="89"/>
  <c r="C41" i="89" l="1"/>
  <c r="C8" i="73"/>
  <c r="C13" i="73" s="1"/>
  <c r="C52" i="89"/>
</calcChain>
</file>

<file path=xl/sharedStrings.xml><?xml version="1.0" encoding="utf-8"?>
<sst xmlns="http://schemas.openxmlformats.org/spreadsheetml/2006/main" count="1178" uniqueCount="778">
  <si>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</si>
  <si>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</si>
  <si>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</si>
  <si>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</si>
  <si>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</si>
  <si>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</si>
  <si>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</si>
  <si>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</si>
  <si>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</si>
  <si>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</si>
  <si>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</si>
  <si>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</si>
  <si>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</si>
  <si>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</si>
  <si>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</si>
  <si>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</si>
  <si>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</si>
  <si>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</si>
  <si>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</si>
  <si>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</si>
  <si>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</si>
  <si>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</si>
  <si>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</si>
  <si>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</si>
  <si>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</si>
  <si>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</si>
  <si>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</si>
  <si>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</si>
  <si>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</si>
  <si>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</si>
  <si>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</si>
  <si>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</si>
  <si>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</si>
  <si>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</si>
  <si>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</si>
  <si>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</si>
  <si>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</si>
  <si>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</si>
  <si>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</si>
  <si>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</si>
  <si>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</si>
  <si>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</si>
  <si>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</si>
  <si>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</si>
  <si>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</si>
  <si>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</si>
  <si>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</si>
  <si>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</si>
  <si>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</si>
  <si>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</si>
  <si>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</si>
  <si>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</si>
  <si>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</si>
  <si>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</si>
  <si>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</si>
  <si>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</si>
  <si>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</si>
  <si>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</si>
  <si>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</si>
  <si>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</si>
  <si>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</si>
  <si>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</si>
  <si>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</si>
  <si>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</si>
  <si>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</si>
  <si>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</si>
  <si>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</si>
  <si>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</si>
  <si>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</si>
  <si>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</si>
  <si>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</si>
  <si>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</si>
  <si>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</si>
  <si>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</si>
  <si>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</si>
  <si>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</si>
  <si>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</si>
  <si>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</si>
  <si>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</si>
  <si>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</si>
  <si>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</si>
  <si>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</si>
  <si>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</si>
  <si>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</si>
  <si>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</si>
  <si>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</si>
  <si>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</si>
  <si>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</si>
  <si>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</si>
  <si>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</si>
  <si>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</si>
  <si>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</si>
  <si>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</si>
  <si>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</si>
  <si>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</si>
  <si>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</si>
  <si>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</si>
  <si>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</si>
  <si>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</si>
  <si>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</si>
  <si>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</si>
  <si>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</si>
  <si>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</si>
  <si>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</si>
  <si>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</si>
  <si>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</si>
  <si>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</si>
  <si>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</si>
  <si>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</si>
  <si>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</si>
  <si>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</si>
  <si>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</si>
  <si>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</si>
  <si>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</si>
  <si>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</si>
  <si>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</si>
  <si>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</si>
  <si>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</si>
  <si>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</si>
  <si>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</si>
  <si>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</si>
  <si>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</si>
  <si>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</si>
  <si>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</si>
  <si>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</si>
  <si>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</si>
  <si>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</si>
  <si>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</si>
  <si>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</si>
  <si>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</si>
  <si>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</si>
  <si>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</si>
  <si>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</si>
  <si>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</si>
  <si>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</si>
  <si>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</si>
  <si>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</si>
  <si>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</si>
  <si>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</si>
  <si>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</si>
  <si>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</si>
  <si>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</si>
  <si>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</si>
  <si>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</si>
  <si>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</si>
  <si>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</si>
  <si>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</si>
  <si>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</si>
  <si>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</si>
  <si>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</si>
  <si>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</si>
  <si>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</si>
  <si>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</si>
  <si>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</si>
  <si>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</si>
  <si>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</si>
  <si>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</si>
  <si>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</si>
  <si>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</si>
  <si>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</si>
  <si>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</si>
  <si>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</si>
  <si>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</si>
  <si>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</si>
  <si>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</si>
  <si>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</si>
  <si>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</si>
  <si>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</si>
  <si>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</si>
  <si>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</si>
  <si>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</si>
  <si>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</si>
  <si>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</si>
  <si>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</si>
  <si>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</si>
  <si>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</si>
  <si>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</si>
  <si>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</si>
  <si>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</si>
  <si>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</si>
  <si>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</si>
  <si>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</si>
  <si>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</si>
  <si>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</si>
  <si>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</si>
  <si>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</si>
  <si>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</si>
  <si>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</si>
  <si>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</si>
  <si>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</si>
  <si>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</si>
  <si>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</si>
  <si>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</si>
  <si>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</si>
  <si>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</si>
  <si>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</si>
  <si>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</si>
  <si>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</si>
  <si>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</si>
  <si>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</si>
  <si>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</si>
  <si>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</si>
  <si>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</si>
  <si>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</si>
  <si>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</si>
  <si>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</si>
  <si>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</si>
  <si>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</si>
  <si>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</si>
  <si>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</si>
  <si>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</si>
  <si>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</si>
  <si>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</si>
  <si>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</si>
  <si>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</si>
  <si>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</si>
  <si>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</si>
  <si>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</si>
  <si>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</si>
  <si>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</si>
  <si>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</si>
  <si>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</si>
  <si>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</si>
  <si>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</si>
  <si>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</si>
  <si>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</si>
  <si>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</si>
  <si>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</si>
  <si>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</si>
  <si>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</si>
  <si>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</si>
  <si>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</si>
  <si>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</si>
  <si>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</si>
  <si>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</si>
  <si>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</si>
  <si>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</si>
  <si>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</si>
  <si>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</si>
  <si>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</si>
  <si>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</si>
  <si>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</si>
  <si>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</si>
  <si>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</si>
  <si>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</si>
  <si>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</si>
  <si>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</si>
  <si>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</si>
  <si>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</si>
  <si>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</si>
  <si>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</si>
  <si>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</si>
  <si>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</si>
  <si>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</si>
  <si>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</si>
  <si>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</si>
  <si>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</si>
  <si>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</si>
  <si>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</si>
  <si>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</si>
  <si>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</si>
  <si>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</si>
  <si>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</si>
  <si>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</si>
  <si>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</si>
  <si>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</si>
  <si>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</si>
  <si>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</si>
  <si>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</si>
  <si>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</si>
  <si>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</si>
  <si>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</si>
  <si>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</si>
  <si>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</si>
  <si>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</si>
  <si>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</si>
  <si>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</si>
  <si>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</si>
  <si>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</si>
  <si>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</si>
  <si>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</si>
  <si>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</si>
  <si>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</si>
  <si>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</si>
  <si>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</si>
  <si>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</si>
  <si>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</si>
  <si>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</si>
  <si>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</si>
  <si>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</si>
  <si>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</si>
  <si>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</si>
  <si>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</si>
  <si>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</si>
  <si>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</si>
  <si>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</si>
  <si>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</si>
  <si>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</si>
  <si>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</si>
  <si>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</si>
  <si>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</si>
  <si>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</si>
  <si>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</si>
  <si>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</si>
  <si>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</si>
  <si>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</si>
  <si>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</si>
  <si>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</si>
  <si>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</si>
  <si>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</si>
  <si>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</si>
  <si>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</si>
  <si>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</si>
  <si>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</si>
  <si>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</si>
  <si>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</si>
  <si>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</si>
  <si>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</si>
  <si>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</si>
  <si>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</si>
  <si>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</si>
  <si>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</si>
  <si>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</si>
  <si>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</si>
  <si>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</si>
  <si>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</si>
  <si>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</si>
  <si>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</si>
  <si>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</si>
  <si>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</si>
  <si>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</si>
  <si>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</si>
  <si>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</si>
  <si>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</si>
  <si>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</si>
  <si>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</si>
  <si>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</si>
  <si>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</si>
  <si>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</si>
  <si>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</si>
  <si>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</si>
  <si>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</si>
  <si>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</si>
  <si>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</si>
  <si>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</si>
  <si>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</si>
  <si>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</si>
  <si>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</si>
  <si>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</si>
  <si>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</si>
  <si>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</si>
  <si>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</si>
  <si>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</si>
  <si>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</si>
  <si>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</si>
  <si>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</si>
  <si>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</si>
  <si>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</si>
  <si>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</si>
  <si>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</si>
  <si>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</si>
  <si>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</si>
  <si>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</si>
  <si>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</si>
  <si>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</si>
  <si>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</si>
  <si>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</si>
  <si>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</si>
  <si>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</si>
  <si>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</si>
  <si>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</si>
  <si>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</si>
  <si>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</si>
  <si>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</si>
  <si>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</si>
  <si>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</si>
  <si>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</si>
  <si>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</si>
  <si>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</si>
  <si>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</si>
  <si>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</si>
  <si>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</si>
  <si>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</si>
  <si>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</si>
  <si>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</si>
  <si>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</si>
  <si>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</si>
  <si>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</si>
  <si>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</si>
  <si>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</si>
  <si>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</si>
  <si>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</si>
  <si>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</si>
  <si>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</si>
  <si>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</si>
  <si>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</si>
  <si>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</si>
  <si>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</si>
  <si>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</si>
  <si>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</si>
  <si>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</si>
  <si>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</si>
  <si>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</si>
  <si>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</si>
  <si>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</si>
  <si>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</si>
  <si>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</si>
  <si>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</si>
  <si>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</si>
  <si>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</si>
  <si>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</si>
  <si>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</si>
  <si>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</si>
  <si>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</si>
  <si>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</si>
  <si>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</si>
  <si>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</si>
  <si>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</si>
  <si>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</si>
  <si>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</si>
  <si>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</si>
  <si>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</si>
  <si>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</si>
  <si>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</si>
  <si>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</si>
  <si>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</si>
  <si>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</si>
  <si>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</si>
  <si>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</si>
  <si>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</si>
  <si>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</si>
  <si>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</si>
  <si>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</si>
  <si>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</si>
  <si>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</si>
  <si>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</si>
  <si>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</si>
  <si>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</si>
  <si>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</si>
  <si>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</si>
  <si>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</si>
  <si>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</si>
  <si>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</si>
  <si>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</si>
  <si>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</si>
  <si>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</si>
  <si>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</si>
  <si>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</si>
  <si>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</si>
  <si>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</si>
  <si>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</si>
  <si>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</si>
  <si>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</si>
  <si>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</si>
  <si>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</si>
  <si>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</si>
  <si>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</si>
  <si>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</si>
  <si>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</si>
  <si>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</si>
  <si>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</si>
  <si>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</si>
  <si>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</si>
  <si>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</si>
  <si>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</si>
  <si>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</si>
  <si>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</si>
  <si>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</si>
  <si>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</si>
  <si>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</si>
  <si>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</si>
  <si>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</si>
  <si>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</si>
  <si>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</si>
  <si>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</si>
  <si>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</si>
  <si>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</si>
  <si>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</si>
  <si>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</si>
  <si>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</si>
  <si>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</si>
  <si>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</si>
  <si>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</si>
  <si>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</si>
  <si>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</si>
  <si>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</si>
  <si>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</si>
  <si>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</si>
  <si>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</si>
  <si>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</si>
  <si>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</si>
  <si>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</si>
  <si>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</si>
  <si>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</si>
  <si>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</si>
  <si>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</si>
  <si>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</si>
  <si>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</si>
  <si>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</si>
  <si>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</si>
  <si>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</si>
  <si>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</si>
  <si>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</si>
  <si>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</si>
  <si>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</si>
  <si>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</si>
  <si>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</si>
  <si>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</si>
  <si>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</si>
  <si>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</si>
  <si>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</si>
  <si>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</si>
  <si>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</si>
  <si>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</si>
  <si>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</si>
  <si>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</si>
  <si>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</si>
  <si>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</si>
  <si>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</si>
  <si>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</si>
  <si>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</si>
  <si>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</si>
  <si>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</si>
  <si>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</si>
  <si>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</si>
  <si>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</si>
  <si>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</si>
  <si>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</si>
  <si>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</si>
  <si>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</si>
  <si>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</si>
  <si>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</si>
  <si>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</si>
  <si>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</si>
  <si>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</si>
  <si>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</si>
  <si>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</si>
  <si>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</si>
  <si>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</si>
  <si>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</si>
  <si>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</si>
  <si>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</si>
  <si>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</si>
  <si>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</si>
  <si>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</si>
  <si>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</si>
  <si>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</si>
  <si>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</si>
  <si>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</si>
  <si>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</si>
  <si>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</si>
  <si>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</si>
  <si>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</si>
  <si>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</si>
  <si>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</si>
  <si>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</si>
  <si>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</si>
  <si>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</si>
  <si>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</si>
  <si>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</si>
  <si>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</si>
  <si>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</si>
  <si>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</si>
  <si>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</si>
  <si>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</si>
  <si>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</si>
  <si>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</si>
  <si>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</si>
  <si>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</si>
  <si>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</si>
  <si>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</si>
  <si>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</si>
  <si>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</si>
  <si>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</si>
  <si>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</si>
  <si>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</si>
  <si>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</si>
  <si>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</si>
  <si>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</si>
  <si>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</si>
  <si>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</si>
  <si>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</si>
  <si>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</si>
  <si>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</si>
  <si>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</si>
  <si>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</si>
  <si>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</si>
  <si>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</si>
  <si>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</si>
  <si>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</si>
  <si>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</si>
  <si>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</si>
  <si>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</si>
  <si>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</si>
  <si>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</si>
  <si>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</si>
  <si>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</si>
  <si>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</si>
  <si>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</si>
  <si>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</si>
  <si>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</si>
  <si>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</si>
  <si>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</si>
  <si>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</si>
  <si>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</si>
  <si>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</si>
  <si>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</si>
  <si>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</si>
  <si>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</si>
  <si>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</si>
  <si>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</si>
  <si>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</si>
  <si>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</si>
  <si>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</si>
  <si>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</si>
  <si>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</si>
  <si>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</si>
  <si>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</si>
  <si>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</si>
  <si>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</si>
  <si>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</si>
  <si>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</si>
  <si>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</si>
  <si>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</si>
  <si>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</si>
  <si>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</si>
  <si>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</si>
  <si>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</si>
  <si>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</si>
  <si>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</si>
  <si>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</si>
  <si>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</si>
  <si>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</si>
  <si>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</si>
  <si>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</si>
  <si>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</si>
  <si>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</si>
  <si>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</si>
  <si>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</si>
  <si>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</si>
  <si>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</si>
  <si>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</si>
  <si>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</si>
  <si>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</si>
  <si>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</si>
  <si>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</si>
  <si>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</si>
  <si>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</si>
  <si>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</si>
  <si>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</si>
  <si>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</si>
  <si>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</si>
  <si>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</si>
  <si>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</si>
  <si>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</si>
  <si>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</si>
  <si>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</si>
  <si>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</si>
  <si>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</si>
  <si>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</si>
  <si>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</si>
  <si>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</si>
  <si>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</si>
  <si>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</si>
  <si>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</si>
  <si>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</si>
  <si>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</si>
  <si>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</si>
  <si>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</si>
  <si>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</si>
  <si>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</si>
  <si>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</si>
  <si>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</si>
  <si>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</si>
  <si>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</si>
  <si>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</si>
  <si>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</si>
  <si>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</si>
  <si>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</si>
  <si>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</si>
  <si>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</si>
  <si>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</si>
  <si>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</si>
  <si>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</si>
  <si>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</si>
  <si>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</si>
  <si>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</si>
  <si>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</si>
  <si>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</si>
  <si>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</si>
  <si>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</si>
  <si>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</si>
  <si>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</si>
  <si>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</si>
  <si>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</si>
  <si>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</si>
  <si>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</si>
  <si>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</si>
  <si>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</si>
  <si>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</si>
  <si>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</si>
  <si>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</si>
  <si>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</si>
  <si>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</si>
  <si>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</si>
  <si>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</si>
  <si>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</si>
  <si>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</si>
  <si>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</si>
  <si>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</si>
  <si>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</si>
  <si>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CARTU BANK</t>
  </si>
  <si>
    <t>Nikoloz Chkhetiani</t>
  </si>
  <si>
    <t>Nato Khaindrava</t>
  </si>
  <si>
    <t>www.cartubank.ge</t>
  </si>
  <si>
    <t xml:space="preserve">  </t>
  </si>
  <si>
    <t>Non-independent chair</t>
  </si>
  <si>
    <t>Besik Demetrashvili</t>
  </si>
  <si>
    <t>Non-independent member</t>
  </si>
  <si>
    <t>Temur Kobakhidze</t>
  </si>
  <si>
    <t>Independent member</t>
  </si>
  <si>
    <t>Zaza Verdzeuli</t>
  </si>
  <si>
    <t>Tea Jokhadze</t>
  </si>
  <si>
    <t>General Director</t>
  </si>
  <si>
    <t>Givi Lebanidze</t>
  </si>
  <si>
    <t>Financial Director</t>
  </si>
  <si>
    <t>Beka Kvaratskhelia</t>
  </si>
  <si>
    <t>Risk Director</t>
  </si>
  <si>
    <t xml:space="preserve">Zurab Gogua </t>
  </si>
  <si>
    <t>Commercial Director</t>
  </si>
  <si>
    <t>David Galuashvili</t>
  </si>
  <si>
    <t>Director of Operations</t>
  </si>
  <si>
    <t xml:space="preserve">N(N)LP INTERNATIONAL CHARITY FUND "CARTU"                                                           </t>
  </si>
  <si>
    <t xml:space="preserve">Uta Ivanishvili </t>
  </si>
  <si>
    <t>Table 9 (Capital), N39</t>
  </si>
  <si>
    <t>Table 9 (Capital), N15</t>
  </si>
  <si>
    <t>Table 9 (Capital), N37</t>
  </si>
  <si>
    <t>Table 9 (Capital), N2</t>
  </si>
  <si>
    <t>Table 9 (Capital), N5</t>
  </si>
  <si>
    <t>Table 9 (Capital), N6</t>
  </si>
  <si>
    <t>Of which common reserves</t>
  </si>
  <si>
    <t>Net Investment Securities</t>
  </si>
  <si>
    <t>6.2.1</t>
  </si>
  <si>
    <t>6.2.2</t>
  </si>
  <si>
    <t>Of which the COVID 19 reserve</t>
  </si>
  <si>
    <t xml:space="preserve"> Significant Investments Reserves</t>
  </si>
  <si>
    <t>Investments Reserves</t>
  </si>
  <si>
    <t>Including deferred tax assets</t>
  </si>
  <si>
    <t xml:space="preserve"> Significant Reserves</t>
  </si>
  <si>
    <t>Net Other Assets</t>
  </si>
  <si>
    <t>Of which offblance liabilities reserves</t>
  </si>
  <si>
    <t>Of which Regulatory Reserves</t>
  </si>
  <si>
    <t>Of which Special Funds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</si>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</sst>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i/>
      <sz val="10"/>
      <color rgb="FFFF0000"/>
      <name val="Calibri"/>
      <family val="2"/>
      <scheme val="minor"/>
    </font>
    <font>
      <sz val="10"/>
      <color theme="1"/>
      <name val="Sylfaen"/>
      <family val="1"/>
    </font>
    <font>
      <i/>
      <sz val="10"/>
      <name val="Sylfaen"/>
      <family val="1"/>
    </font>
    <font>
      <i/>
      <sz val="10"/>
      <color theme="1"/>
      <name val="Sylfaen"/>
      <family val="1"/>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4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3" xfId="0" applyFont="1" applyBorder="1"/>
    <xf numFmtId="193" fontId="2" fillId="36" borderId="25" xfId="7"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85" fillId="0" borderId="0" xfId="0" applyFont="1" applyAlignment="1">
      <alignment wrapText="1"/>
    </xf>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6"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4" xfId="0" applyNumberFormat="1" applyFont="1" applyBorder="1" applyAlignment="1">
      <alignment horizontal="center"/>
    </xf>
    <xf numFmtId="193" fontId="87" fillId="0" borderId="13" xfId="0" applyNumberFormat="1" applyFont="1" applyBorder="1" applyAlignment="1">
      <alignment vertical="center"/>
    </xf>
    <xf numFmtId="167" fontId="87" fillId="0" borderId="64"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7"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93" fontId="84" fillId="0" borderId="17" xfId="0" applyNumberFormat="1" applyFont="1" applyBorder="1" applyAlignment="1">
      <alignment vertic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8"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8"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4"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4" xfId="0" applyFont="1" applyFill="1" applyBorder="1" applyAlignment="1">
      <alignment horizontal="left"/>
    </xf>
    <xf numFmtId="0" fontId="99"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6" xfId="0" applyFont="1" applyBorder="1" applyAlignment="1">
      <alignment vertical="center"/>
    </xf>
    <xf numFmtId="0" fontId="4" fillId="0" borderId="86"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8"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27" xfId="20" applyBorder="1"/>
    <xf numFmtId="169" fontId="9" fillId="37" borderId="94" xfId="20" applyBorder="1"/>
    <xf numFmtId="169" fontId="9" fillId="37" borderId="28" xfId="20" applyBorder="1"/>
    <xf numFmtId="0" fontId="3" fillId="0" borderId="96" xfId="0" applyFont="1" applyBorder="1" applyAlignment="1">
      <alignment horizontal="center" vertical="center"/>
    </xf>
    <xf numFmtId="0" fontId="3" fillId="0" borderId="97" xfId="0" applyFont="1" applyBorder="1" applyAlignment="1">
      <alignment vertical="center"/>
    </xf>
    <xf numFmtId="169" fontId="9" fillId="37" borderId="33" xfId="20" applyBorder="1"/>
    <xf numFmtId="0" fontId="4" fillId="0" borderId="0" xfId="0" applyFont="1" applyAlignment="1">
      <alignment horizontal="center"/>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6" xfId="0" applyFont="1" applyBorder="1"/>
    <xf numFmtId="0" fontId="84" fillId="0" borderId="86" xfId="0" applyFont="1" applyBorder="1" applyAlignment="1">
      <alignment horizontal="left" indent="1"/>
    </xf>
    <xf numFmtId="0" fontId="87" fillId="0" borderId="86"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3" fillId="36" borderId="25"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4" xfId="20964" applyFont="1" applyFill="1" applyBorder="1">
      <alignment vertical="center"/>
    </xf>
    <xf numFmtId="0" fontId="45" fillId="77" borderId="105" xfId="20964" applyFont="1" applyFill="1" applyBorder="1">
      <alignment vertical="center"/>
    </xf>
    <xf numFmtId="0" fontId="45" fillId="77" borderId="102" xfId="20964" applyFont="1" applyFill="1" applyBorder="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164" fontId="105" fillId="0" borderId="103" xfId="7" applyNumberFormat="1" applyFont="1" applyFill="1" applyBorder="1" applyAlignment="1" applyProtection="1">
      <alignment horizontal="right" vertical="center"/>
      <protection locked="0"/>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Border="1" applyAlignment="1">
      <alignment horizontal="center" vertical="center"/>
    </xf>
    <xf numFmtId="0" fontId="105" fillId="0" borderId="102" xfId="20964" applyFont="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lignment vertical="center"/>
    </xf>
    <xf numFmtId="0" fontId="104" fillId="77" borderId="104" xfId="20964" applyFont="1" applyFill="1" applyBorder="1">
      <alignment vertical="center"/>
    </xf>
    <xf numFmtId="0" fontId="104" fillId="77" borderId="105" xfId="20964" applyFont="1" applyFill="1" applyBorder="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Border="1" applyAlignment="1">
      <alignment horizontal="left" vertical="center" wrapText="1"/>
    </xf>
    <xf numFmtId="0" fontId="4" fillId="36" borderId="103" xfId="0" applyFont="1" applyFill="1" applyBorder="1" applyAlignment="1">
      <alignment horizontal="left" vertical="center" wrapText="1"/>
    </xf>
    <xf numFmtId="0" fontId="3" fillId="0" borderId="103" xfId="0" applyFont="1" applyBorder="1" applyAlignment="1">
      <alignment horizontal="lef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0"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0" borderId="103" xfId="0" applyFont="1" applyBorder="1" applyAlignment="1">
      <alignment horizontal="center"/>
    </xf>
    <xf numFmtId="0" fontId="3" fillId="3" borderId="6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164" fontId="3" fillId="0" borderId="87" xfId="7" applyNumberFormat="1" applyFont="1" applyBorder="1"/>
    <xf numFmtId="0" fontId="99" fillId="0" borderId="103" xfId="0" applyFont="1" applyBorder="1" applyAlignment="1">
      <alignment horizontal="left" wrapText="1" indent="2"/>
    </xf>
    <xf numFmtId="0" fontId="4" fillId="0" borderId="21" xfId="0" applyFont="1" applyBorder="1"/>
    <xf numFmtId="0" fontId="4" fillId="0" borderId="103" xfId="0" applyFont="1" applyBorder="1" applyAlignment="1">
      <alignment wrapText="1"/>
    </xf>
    <xf numFmtId="164" fontId="4" fillId="0" borderId="87" xfId="7" applyNumberFormat="1" applyFont="1" applyBorder="1"/>
    <xf numFmtId="0" fontId="111" fillId="3" borderId="68"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99" fillId="0" borderId="103" xfId="0" applyFont="1" applyBorder="1" applyAlignment="1">
      <alignment horizontal="left" wrapText="1" indent="4"/>
    </xf>
    <xf numFmtId="0" fontId="3" fillId="3" borderId="0" xfId="0" applyFont="1" applyFill="1" applyAlignment="1">
      <alignment wrapText="1"/>
    </xf>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xf numFmtId="0" fontId="114" fillId="0" borderId="0" xfId="11" applyFont="1"/>
    <xf numFmtId="0" fontId="117" fillId="0" borderId="118" xfId="13" applyFont="1" applyBorder="1" applyAlignment="1" applyProtection="1">
      <alignment horizontal="left" vertical="center" wrapText="1"/>
      <protection locked="0"/>
    </xf>
    <xf numFmtId="49" fontId="117" fillId="0" borderId="118" xfId="5" applyNumberFormat="1" applyFont="1" applyBorder="1" applyAlignment="1" applyProtection="1">
      <alignment horizontal="right" vertical="center"/>
      <protection locked="0"/>
    </xf>
    <xf numFmtId="49" fontId="118" fillId="0" borderId="118" xfId="5" applyNumberFormat="1" applyFont="1" applyBorder="1" applyAlignment="1" applyProtection="1">
      <alignment horizontal="right" vertical="center"/>
      <protection locked="0"/>
    </xf>
    <xf numFmtId="0" fontId="113" fillId="0" borderId="118" xfId="0" applyFont="1" applyBorder="1"/>
    <xf numFmtId="49" fontId="117" fillId="0" borderId="118" xfId="5" applyNumberFormat="1" applyFont="1" applyBorder="1" applyAlignment="1" applyProtection="1">
      <alignment horizontal="right" vertical="center" wrapText="1"/>
      <protection locked="0"/>
    </xf>
    <xf numFmtId="49" fontId="118" fillId="0" borderId="118" xfId="5" applyNumberFormat="1" applyFont="1" applyBorder="1" applyAlignment="1" applyProtection="1">
      <alignment horizontal="right" vertical="center" wrapText="1"/>
      <protection locked="0"/>
    </xf>
    <xf numFmtId="0" fontId="113" fillId="0" borderId="0" xfId="0" applyFont="1"/>
    <xf numFmtId="0" fontId="112" fillId="0" borderId="118" xfId="0" applyFont="1" applyBorder="1" applyAlignment="1">
      <alignment horizontal="left" vertical="center" wrapText="1"/>
    </xf>
    <xf numFmtId="0" fontId="116" fillId="0" borderId="118" xfId="0" applyFont="1" applyBorder="1"/>
    <xf numFmtId="0" fontId="115" fillId="0" borderId="118" xfId="0" applyFont="1" applyBorder="1" applyAlignment="1">
      <alignment horizontal="left" indent="1"/>
    </xf>
    <xf numFmtId="0" fontId="115" fillId="0" borderId="118" xfId="0" applyFont="1" applyBorder="1" applyAlignment="1">
      <alignment horizontal="left" wrapText="1" indent="1"/>
    </xf>
    <xf numFmtId="0" fontId="112" fillId="0" borderId="118" xfId="0" applyFont="1" applyBorder="1" applyAlignment="1">
      <alignment horizontal="left" indent="1"/>
    </xf>
    <xf numFmtId="0" fontId="112" fillId="0" borderId="118" xfId="0" applyFont="1" applyBorder="1" applyAlignment="1">
      <alignment horizontal="left" wrapText="1" indent="2"/>
    </xf>
    <xf numFmtId="0" fontId="115" fillId="0" borderId="118" xfId="0" applyFont="1" applyBorder="1" applyAlignment="1">
      <alignment horizontal="left" vertical="center" indent="1"/>
    </xf>
    <xf numFmtId="0" fontId="113" fillId="0" borderId="118" xfId="0" applyFont="1" applyBorder="1" applyAlignment="1">
      <alignment horizontal="left" wrapText="1"/>
    </xf>
    <xf numFmtId="0" fontId="113" fillId="0" borderId="118" xfId="0" applyFont="1" applyBorder="1" applyAlignment="1">
      <alignment horizontal="left" wrapText="1" indent="2"/>
    </xf>
    <xf numFmtId="49" fontId="113" fillId="0" borderId="118" xfId="0" applyNumberFormat="1" applyFont="1" applyBorder="1" applyAlignment="1">
      <alignment horizontal="left" indent="3"/>
    </xf>
    <xf numFmtId="49" fontId="113" fillId="0" borderId="118" xfId="0" applyNumberFormat="1" applyFont="1" applyBorder="1" applyAlignment="1">
      <alignment horizontal="left" indent="1"/>
    </xf>
    <xf numFmtId="49" fontId="113" fillId="0" borderId="118" xfId="0" applyNumberFormat="1" applyFont="1" applyBorder="1" applyAlignment="1">
      <alignment horizontal="left" vertical="top" wrapText="1" indent="2"/>
    </xf>
    <xf numFmtId="49" fontId="113" fillId="0" borderId="118" xfId="0" applyNumberFormat="1" applyFont="1" applyBorder="1" applyAlignment="1">
      <alignment horizontal="left" wrapText="1" indent="3"/>
    </xf>
    <xf numFmtId="49" fontId="113" fillId="0" borderId="118" xfId="0" applyNumberFormat="1" applyFont="1" applyBorder="1" applyAlignment="1">
      <alignment horizontal="left" wrapText="1" indent="2"/>
    </xf>
    <xf numFmtId="0" fontId="113" fillId="0" borderId="118" xfId="0" applyFont="1" applyBorder="1" applyAlignment="1">
      <alignment horizontal="left" wrapText="1" indent="1"/>
    </xf>
    <xf numFmtId="49" fontId="113" fillId="0" borderId="118" xfId="0" applyNumberFormat="1" applyFont="1" applyBorder="1" applyAlignment="1">
      <alignment horizontal="left" wrapText="1" indent="1"/>
    </xf>
    <xf numFmtId="0" fontId="115" fillId="0" borderId="74" xfId="0" applyFont="1" applyBorder="1" applyAlignment="1">
      <alignment horizontal="left" vertical="center" wrapText="1"/>
    </xf>
    <xf numFmtId="0" fontId="113" fillId="0" borderId="119" xfId="0" applyFont="1" applyBorder="1" applyAlignment="1">
      <alignment horizontal="center" vertical="center" wrapText="1"/>
    </xf>
    <xf numFmtId="0" fontId="115" fillId="0" borderId="118" xfId="0" applyFont="1" applyBorder="1" applyAlignment="1">
      <alignment horizontal="left" vertical="center" wrapText="1"/>
    </xf>
    <xf numFmtId="0" fontId="113" fillId="0" borderId="118" xfId="0" applyFont="1" applyBorder="1" applyAlignment="1">
      <alignment horizontal="left" indent="1"/>
    </xf>
    <xf numFmtId="0" fontId="6" fillId="0" borderId="118" xfId="17" applyBorder="1" applyAlignment="1" applyProtection="1"/>
    <xf numFmtId="0" fontId="116" fillId="0" borderId="11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0" fontId="119" fillId="0" borderId="118"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8" xfId="0" applyFont="1" applyBorder="1" applyAlignment="1">
      <alignment horizontal="center" vertical="center"/>
    </xf>
    <xf numFmtId="0" fontId="113" fillId="0" borderId="118" xfId="0" applyFont="1" applyBorder="1" applyAlignment="1">
      <alignment horizontal="center" vertical="center" wrapText="1"/>
    </xf>
    <xf numFmtId="0" fontId="116" fillId="0" borderId="0" xfId="0" applyFont="1"/>
    <xf numFmtId="0" fontId="113" fillId="0" borderId="118" xfId="0" applyFont="1" applyBorder="1" applyAlignment="1">
      <alignment wrapText="1"/>
    </xf>
    <xf numFmtId="0" fontId="113" fillId="0" borderId="118"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8" xfId="0" applyNumberFormat="1" applyFont="1" applyBorder="1" applyAlignment="1">
      <alignment horizontal="center" vertical="center" wrapText="1"/>
    </xf>
    <xf numFmtId="0" fontId="113" fillId="0" borderId="118" xfId="0" applyFont="1" applyBorder="1" applyAlignment="1">
      <alignment horizontal="center"/>
    </xf>
    <xf numFmtId="0" fontId="113" fillId="0" borderId="7" xfId="0" applyFont="1" applyBorder="1"/>
    <xf numFmtId="0" fontId="113" fillId="0" borderId="118"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8" xfId="0" applyFont="1" applyBorder="1" applyAlignment="1">
      <alignment horizontal="center" vertical="center" wrapText="1"/>
    </xf>
    <xf numFmtId="0" fontId="85" fillId="0" borderId="118" xfId="0" applyFont="1" applyBorder="1"/>
    <xf numFmtId="193" fontId="3" fillId="0" borderId="118" xfId="0" applyNumberFormat="1" applyFont="1" applyBorder="1" applyAlignment="1" applyProtection="1">
      <alignment vertical="center" wrapText="1"/>
      <protection locked="0"/>
    </xf>
    <xf numFmtId="193" fontId="3" fillId="0" borderId="87" xfId="0" applyNumberFormat="1" applyFont="1" applyBorder="1" applyAlignment="1" applyProtection="1">
      <alignment vertical="center" wrapText="1"/>
      <protection locked="0"/>
    </xf>
    <xf numFmtId="169" fontId="9" fillId="37" borderId="0" xfId="20"/>
    <xf numFmtId="169" fontId="9" fillId="37" borderId="100" xfId="20" applyBorder="1"/>
    <xf numFmtId="10" fontId="3" fillId="0" borderId="118" xfId="20962" applyNumberFormat="1" applyFont="1" applyBorder="1" applyAlignment="1" applyProtection="1">
      <alignment vertical="center" wrapText="1"/>
      <protection locked="0"/>
    </xf>
    <xf numFmtId="10" fontId="3" fillId="0" borderId="87" xfId="20962" applyNumberFormat="1" applyFont="1" applyBorder="1" applyAlignment="1" applyProtection="1">
      <alignment vertical="center" wrapText="1"/>
      <protection locked="0"/>
    </xf>
    <xf numFmtId="10" fontId="3" fillId="0" borderId="118" xfId="20962" applyNumberFormat="1" applyFont="1" applyFill="1" applyBorder="1" applyAlignment="1" applyProtection="1">
      <alignment vertical="center" wrapText="1"/>
      <protection locked="0"/>
    </xf>
    <xf numFmtId="10" fontId="3" fillId="0" borderId="87" xfId="20962" applyNumberFormat="1" applyFont="1" applyFill="1" applyBorder="1" applyAlignment="1" applyProtection="1">
      <alignment vertical="center" wrapText="1"/>
      <protection locked="0"/>
    </xf>
    <xf numFmtId="10" fontId="122" fillId="2" borderId="87" xfId="20962" applyNumberFormat="1" applyFont="1" applyFill="1" applyBorder="1" applyAlignment="1" applyProtection="1">
      <alignment vertical="center"/>
      <protection locked="0"/>
    </xf>
    <xf numFmtId="193" fontId="94" fillId="2" borderId="118" xfId="0" applyNumberFormat="1" applyFont="1" applyFill="1" applyBorder="1" applyAlignment="1" applyProtection="1">
      <alignment vertical="center"/>
      <protection locked="0"/>
    </xf>
    <xf numFmtId="193" fontId="94" fillId="2" borderId="87" xfId="0" applyNumberFormat="1" applyFont="1" applyFill="1" applyBorder="1" applyAlignment="1" applyProtection="1">
      <alignment vertical="center"/>
      <protection locked="0"/>
    </xf>
    <xf numFmtId="193" fontId="122" fillId="2" borderId="118" xfId="0" applyNumberFormat="1" applyFont="1" applyFill="1" applyBorder="1" applyAlignment="1" applyProtection="1">
      <alignment vertical="center"/>
      <protection locked="0"/>
    </xf>
    <xf numFmtId="193" fontId="122" fillId="2" borderId="87" xfId="0" applyNumberFormat="1" applyFont="1" applyFill="1" applyBorder="1" applyAlignment="1" applyProtection="1">
      <alignment vertical="center"/>
      <protection locked="0"/>
    </xf>
    <xf numFmtId="9" fontId="122" fillId="2" borderId="25" xfId="20962" applyFont="1" applyFill="1" applyBorder="1" applyAlignment="1" applyProtection="1">
      <alignment vertical="center"/>
      <protection locked="0"/>
    </xf>
    <xf numFmtId="9" fontId="122" fillId="2" borderId="26" xfId="20962" applyFont="1" applyFill="1" applyBorder="1" applyAlignment="1" applyProtection="1">
      <alignment vertical="center"/>
      <protection locked="0"/>
    </xf>
    <xf numFmtId="193" fontId="94" fillId="0" borderId="118" xfId="0" applyNumberFormat="1" applyFont="1" applyBorder="1" applyAlignment="1" applyProtection="1">
      <alignment vertical="center"/>
      <protection locked="0"/>
    </xf>
    <xf numFmtId="193" fontId="94" fillId="0" borderId="87" xfId="0" applyNumberFormat="1" applyFont="1" applyBorder="1" applyAlignment="1" applyProtection="1">
      <alignment vertical="center"/>
      <protection locked="0"/>
    </xf>
    <xf numFmtId="193" fontId="122" fillId="0" borderId="118" xfId="0" applyNumberFormat="1" applyFont="1" applyBorder="1" applyAlignment="1" applyProtection="1">
      <alignment vertical="center"/>
      <protection locked="0"/>
    </xf>
    <xf numFmtId="193" fontId="122" fillId="0" borderId="87" xfId="0" applyNumberFormat="1" applyFont="1" applyBorder="1" applyAlignment="1" applyProtection="1">
      <alignment vertical="center"/>
      <protection locked="0"/>
    </xf>
    <xf numFmtId="9" fontId="122" fillId="0" borderId="25" xfId="20962" applyFont="1" applyFill="1" applyBorder="1" applyAlignment="1" applyProtection="1">
      <alignment vertical="center"/>
      <protection locked="0"/>
    </xf>
    <xf numFmtId="9" fontId="122" fillId="0" borderId="26" xfId="20962" applyFont="1" applyFill="1" applyBorder="1" applyAlignment="1" applyProtection="1">
      <alignment vertical="center"/>
      <protection locked="0"/>
    </xf>
    <xf numFmtId="193" fontId="94" fillId="0" borderId="118" xfId="7" applyNumberFormat="1" applyFont="1" applyFill="1" applyBorder="1" applyAlignment="1" applyProtection="1">
      <alignment horizontal="right"/>
    </xf>
    <xf numFmtId="193" fontId="94" fillId="36" borderId="118" xfId="7" applyNumberFormat="1" applyFont="1" applyFill="1" applyBorder="1" applyAlignment="1" applyProtection="1">
      <alignment horizontal="right"/>
    </xf>
    <xf numFmtId="193" fontId="94" fillId="0" borderId="122" xfId="0" applyNumberFormat="1" applyFont="1" applyBorder="1" applyAlignment="1">
      <alignment horizontal="right"/>
    </xf>
    <xf numFmtId="193" fontId="94" fillId="0" borderId="118" xfId="0" applyNumberFormat="1" applyFont="1" applyBorder="1" applyAlignment="1">
      <alignment horizontal="right"/>
    </xf>
    <xf numFmtId="193" fontId="2" fillId="36" borderId="87" xfId="0" applyNumberFormat="1" applyFont="1" applyFill="1" applyBorder="1" applyAlignment="1">
      <alignment horizontal="right"/>
    </xf>
    <xf numFmtId="193" fontId="94" fillId="0" borderId="118" xfId="7" applyNumberFormat="1" applyFont="1" applyFill="1" applyBorder="1" applyAlignment="1" applyProtection="1">
      <alignment horizontal="right"/>
      <protection locked="0"/>
    </xf>
    <xf numFmtId="193" fontId="94" fillId="0" borderId="122" xfId="0" applyNumberFormat="1" applyFont="1" applyBorder="1" applyAlignment="1" applyProtection="1">
      <alignment horizontal="right"/>
      <protection locked="0"/>
    </xf>
    <xf numFmtId="193" fontId="94" fillId="0" borderId="118" xfId="0" applyNumberFormat="1" applyFont="1" applyBorder="1" applyAlignment="1" applyProtection="1">
      <alignment horizontal="right"/>
      <protection locked="0"/>
    </xf>
    <xf numFmtId="193" fontId="2" fillId="0" borderId="87" xfId="0" applyNumberFormat="1" applyFont="1" applyBorder="1" applyAlignment="1">
      <alignment horizontal="right"/>
    </xf>
    <xf numFmtId="193" fontId="2" fillId="36" borderId="26" xfId="0" applyNumberFormat="1" applyFont="1" applyFill="1" applyBorder="1" applyAlignment="1">
      <alignment horizontal="right"/>
    </xf>
    <xf numFmtId="0" fontId="2" fillId="0" borderId="120" xfId="0" applyFont="1" applyBorder="1" applyAlignment="1">
      <alignment wrapText="1"/>
    </xf>
    <xf numFmtId="0" fontId="84" fillId="0" borderId="90" xfId="0" applyFont="1" applyBorder="1"/>
    <xf numFmtId="0" fontId="2" fillId="0" borderId="90" xfId="0" applyFont="1" applyBorder="1"/>
    <xf numFmtId="9" fontId="84" fillId="0" borderId="90" xfId="20962" applyFont="1" applyBorder="1" applyAlignment="1"/>
    <xf numFmtId="167" fontId="3" fillId="0" borderId="118" xfId="0" applyNumberFormat="1" applyFont="1" applyBorder="1" applyAlignment="1">
      <alignment horizontal="center" vertical="center"/>
    </xf>
    <xf numFmtId="167" fontId="3" fillId="0" borderId="87" xfId="0" applyNumberFormat="1" applyFont="1" applyBorder="1" applyAlignment="1">
      <alignment horizontal="center" vertical="center"/>
    </xf>
    <xf numFmtId="167" fontId="99" fillId="0" borderId="118" xfId="0" applyNumberFormat="1" applyFont="1" applyBorder="1" applyAlignment="1">
      <alignment horizontal="center" vertical="center"/>
    </xf>
    <xf numFmtId="167" fontId="125" fillId="0" borderId="118" xfId="0" applyNumberFormat="1" applyFont="1" applyBorder="1" applyAlignment="1">
      <alignment horizontal="center" vertical="center"/>
    </xf>
    <xf numFmtId="167" fontId="7" fillId="0" borderId="118" xfId="0" applyNumberFormat="1" applyFont="1" applyBorder="1" applyAlignment="1">
      <alignment horizontal="center" vertical="center"/>
    </xf>
    <xf numFmtId="167" fontId="7" fillId="0" borderId="87" xfId="0" applyNumberFormat="1" applyFont="1" applyBorder="1" applyAlignment="1">
      <alignment horizontal="center" vertical="center"/>
    </xf>
    <xf numFmtId="193" fontId="0" fillId="0" borderId="87" xfId="0" applyNumberFormat="1" applyBorder="1"/>
    <xf numFmtId="193" fontId="0" fillId="0" borderId="87" xfId="0" applyNumberFormat="1" applyBorder="1" applyAlignment="1">
      <alignment wrapText="1"/>
    </xf>
    <xf numFmtId="193" fontId="96" fillId="3" borderId="87" xfId="2" applyNumberFormat="1" applyFont="1" applyFill="1" applyBorder="1" applyAlignment="1" applyProtection="1">
      <alignment vertical="top"/>
      <protection locked="0"/>
    </xf>
    <xf numFmtId="193" fontId="96" fillId="3" borderId="87" xfId="2" applyNumberFormat="1" applyFont="1" applyFill="1" applyBorder="1" applyAlignment="1" applyProtection="1">
      <alignment vertical="top" wrapText="1"/>
      <protection locked="0"/>
    </xf>
    <xf numFmtId="10" fontId="96" fillId="0" borderId="118" xfId="20962" applyNumberFormat="1" applyFont="1" applyFill="1" applyBorder="1" applyAlignment="1">
      <alignment horizontal="center" vertical="center" wrapText="1"/>
    </xf>
    <xf numFmtId="164" fontId="3" fillId="0" borderId="87" xfId="7" applyNumberFormat="1" applyFont="1" applyFill="1" applyBorder="1" applyAlignment="1">
      <alignment horizontal="right" vertical="center" wrapText="1"/>
    </xf>
    <xf numFmtId="10" fontId="3" fillId="0" borderId="118" xfId="20962" applyNumberFormat="1" applyFont="1" applyFill="1" applyBorder="1" applyAlignment="1">
      <alignment horizontal="center" vertical="center" wrapText="1"/>
    </xf>
    <xf numFmtId="10" fontId="4" fillId="36" borderId="118" xfId="0" applyNumberFormat="1" applyFont="1" applyFill="1" applyBorder="1" applyAlignment="1">
      <alignment horizontal="center" vertical="center" wrapText="1"/>
    </xf>
    <xf numFmtId="164" fontId="4" fillId="36" borderId="87" xfId="7" applyNumberFormat="1" applyFont="1" applyFill="1" applyBorder="1" applyAlignment="1">
      <alignment horizontal="left" vertical="center" wrapText="1"/>
    </xf>
    <xf numFmtId="10" fontId="100" fillId="0" borderId="118" xfId="20962" applyNumberFormat="1" applyFont="1" applyFill="1" applyBorder="1" applyAlignment="1">
      <alignment horizontal="center" vertical="center" wrapText="1"/>
    </xf>
    <xf numFmtId="10" fontId="4" fillId="36" borderId="118" xfId="20962" applyNumberFormat="1" applyFont="1" applyFill="1" applyBorder="1" applyAlignment="1">
      <alignment horizontal="center" vertical="center" wrapText="1"/>
    </xf>
    <xf numFmtId="164" fontId="4" fillId="36" borderId="87" xfId="7"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center" vertical="center"/>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94" fillId="0" borderId="34" xfId="0" applyNumberFormat="1" applyFont="1" applyBorder="1" applyAlignment="1">
      <alignment vertical="center"/>
    </xf>
    <xf numFmtId="167" fontId="127" fillId="76" borderId="64" xfId="0" applyNumberFormat="1" applyFont="1" applyFill="1" applyBorder="1" applyAlignment="1">
      <alignment horizontal="center"/>
    </xf>
    <xf numFmtId="193" fontId="128" fillId="0" borderId="13" xfId="0" applyNumberFormat="1" applyFont="1" applyBorder="1" applyAlignment="1">
      <alignment vertical="center"/>
    </xf>
    <xf numFmtId="193" fontId="126" fillId="36" borderId="13" xfId="0" applyNumberFormat="1" applyFont="1" applyFill="1" applyBorder="1" applyAlignment="1">
      <alignment vertical="center"/>
    </xf>
    <xf numFmtId="167" fontId="126" fillId="0" borderId="64" xfId="0" applyNumberFormat="1" applyFont="1" applyBorder="1" applyAlignment="1">
      <alignment horizontal="center"/>
    </xf>
    <xf numFmtId="167" fontId="46" fillId="76" borderId="67" xfId="0" applyNumberFormat="1" applyFont="1" applyFill="1" applyBorder="1" applyAlignment="1">
      <alignment horizontal="center"/>
    </xf>
    <xf numFmtId="0" fontId="84" fillId="0" borderId="11" xfId="0" applyFont="1" applyBorder="1" applyAlignment="1">
      <alignment horizontal="left" wrapText="1" indent="2"/>
    </xf>
    <xf numFmtId="0" fontId="87" fillId="0" borderId="11" xfId="0" applyFont="1" applyBorder="1" applyAlignment="1">
      <alignment horizontal="left" wrapText="1" indent="3"/>
    </xf>
    <xf numFmtId="0" fontId="84" fillId="0" borderId="92" xfId="0" applyFont="1" applyBorder="1" applyAlignment="1">
      <alignment horizontal="center"/>
    </xf>
    <xf numFmtId="0" fontId="84" fillId="0" borderId="118" xfId="0" applyFont="1" applyBorder="1" applyAlignment="1">
      <alignment horizontal="center"/>
    </xf>
    <xf numFmtId="0" fontId="84" fillId="0" borderId="118" xfId="0" applyFont="1" applyBorder="1" applyAlignment="1">
      <alignment wrapText="1"/>
    </xf>
    <xf numFmtId="0" fontId="84" fillId="0" borderId="118" xfId="0" applyFont="1" applyBorder="1" applyAlignment="1">
      <alignment horizontal="right" wrapText="1"/>
    </xf>
    <xf numFmtId="0" fontId="84" fillId="0" borderId="12" xfId="0" applyFont="1" applyBorder="1" applyAlignment="1">
      <alignment horizontal="right" wrapText="1" indent="3"/>
    </xf>
    <xf numFmtId="0" fontId="84" fillId="0" borderId="12" xfId="0" applyFont="1" applyBorder="1" applyAlignment="1">
      <alignment horizontal="left" wrapText="1" indent="2"/>
    </xf>
    <xf numFmtId="193" fontId="3" fillId="0" borderId="118" xfId="0" applyNumberFormat="1" applyFont="1" applyBorder="1"/>
    <xf numFmtId="193" fontId="3" fillId="0" borderId="120" xfId="0" applyNumberFormat="1" applyFont="1" applyBorder="1"/>
    <xf numFmtId="167" fontId="84" fillId="0" borderId="118" xfId="0" applyNumberFormat="1" applyFont="1" applyBorder="1"/>
    <xf numFmtId="193" fontId="3" fillId="0" borderId="87" xfId="0" applyNumberFormat="1" applyFont="1" applyBorder="1"/>
    <xf numFmtId="193" fontId="3" fillId="0" borderId="90" xfId="0" applyNumberFormat="1" applyFont="1" applyBorder="1" applyAlignment="1">
      <alignment wrapText="1"/>
    </xf>
    <xf numFmtId="193" fontId="3" fillId="0" borderId="90" xfId="0" applyNumberFormat="1" applyFont="1" applyBorder="1"/>
    <xf numFmtId="193" fontId="84" fillId="36" borderId="56" xfId="0" applyNumberFormat="1" applyFont="1" applyFill="1" applyBorder="1"/>
    <xf numFmtId="193" fontId="3" fillId="0" borderId="21" xfId="0" applyNumberFormat="1" applyFont="1" applyBorder="1"/>
    <xf numFmtId="9" fontId="3" fillId="0" borderId="87" xfId="20962" applyFont="1" applyBorder="1"/>
    <xf numFmtId="14" fontId="84" fillId="0" borderId="0" xfId="0" applyNumberFormat="1" applyFont="1" applyAlignment="1">
      <alignment horizontal="right"/>
    </xf>
    <xf numFmtId="164" fontId="3" fillId="0" borderId="118"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87" xfId="7" applyNumberFormat="1" applyFont="1" applyFill="1" applyBorder="1" applyAlignment="1">
      <alignment vertical="center"/>
    </xf>
    <xf numFmtId="0" fontId="3" fillId="3" borderId="121" xfId="0" applyFont="1" applyFill="1" applyBorder="1" applyAlignment="1">
      <alignment vertical="center"/>
    </xf>
    <xf numFmtId="164" fontId="4" fillId="0" borderId="118"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0" xfId="7" applyNumberFormat="1" applyFont="1" applyFill="1" applyBorder="1" applyAlignment="1">
      <alignment vertical="center"/>
    </xf>
    <xf numFmtId="164" fontId="3" fillId="0" borderId="95" xfId="7" applyNumberFormat="1" applyFont="1" applyFill="1" applyBorder="1" applyAlignment="1">
      <alignment vertical="center"/>
    </xf>
    <xf numFmtId="10" fontId="3" fillId="0" borderId="98" xfId="20962" applyNumberFormat="1" applyFont="1" applyFill="1" applyBorder="1" applyAlignment="1">
      <alignment vertical="center"/>
    </xf>
    <xf numFmtId="10" fontId="3" fillId="0" borderId="99" xfId="20962" applyNumberFormat="1" applyFont="1" applyFill="1" applyBorder="1" applyAlignment="1">
      <alignment vertical="center"/>
    </xf>
    <xf numFmtId="164" fontId="105" fillId="0" borderId="118" xfId="948" applyNumberFormat="1" applyFont="1" applyFill="1" applyBorder="1" applyAlignment="1" applyProtection="1">
      <alignment horizontal="right" vertical="center"/>
      <protection locked="0"/>
    </xf>
    <xf numFmtId="164" fontId="105" fillId="78" borderId="118" xfId="948" applyNumberFormat="1" applyFont="1" applyFill="1" applyBorder="1" applyAlignment="1" applyProtection="1">
      <alignment horizontal="right" vertical="center"/>
    </xf>
    <xf numFmtId="164" fontId="104" fillId="77" borderId="122" xfId="948" applyNumberFormat="1" applyFont="1" applyFill="1" applyBorder="1" applyAlignment="1" applyProtection="1">
      <alignment horizontal="right" vertical="center"/>
      <protection locked="0"/>
    </xf>
    <xf numFmtId="164" fontId="45" fillId="77" borderId="122" xfId="948" applyNumberFormat="1" applyFont="1" applyFill="1" applyBorder="1" applyAlignment="1" applyProtection="1">
      <alignment horizontal="right" vertical="center"/>
      <protection locked="0"/>
    </xf>
    <xf numFmtId="164" fontId="105" fillId="3" borderId="118" xfId="948" applyNumberFormat="1" applyFont="1" applyFill="1" applyBorder="1" applyAlignment="1" applyProtection="1">
      <alignment horizontal="right" vertical="center"/>
      <protection locked="0"/>
    </xf>
    <xf numFmtId="10" fontId="105" fillId="78" borderId="118" xfId="20962" applyNumberFormat="1" applyFont="1" applyFill="1" applyBorder="1" applyAlignment="1" applyProtection="1">
      <alignment horizontal="right" vertical="center"/>
    </xf>
    <xf numFmtId="164" fontId="3" fillId="0" borderId="118" xfId="7" applyNumberFormat="1" applyFont="1" applyBorder="1"/>
    <xf numFmtId="169" fontId="9" fillId="37" borderId="118" xfId="20" applyBorder="1"/>
    <xf numFmtId="164" fontId="3" fillId="0" borderId="118" xfId="7" applyNumberFormat="1" applyFont="1" applyBorder="1" applyAlignment="1">
      <alignment vertical="center"/>
    </xf>
    <xf numFmtId="164" fontId="3" fillId="0" borderId="118" xfId="7" applyNumberFormat="1" applyFont="1" applyFill="1" applyBorder="1"/>
    <xf numFmtId="0" fontId="3" fillId="3" borderId="0" xfId="0" applyFont="1" applyFill="1"/>
    <xf numFmtId="164" fontId="113" fillId="0" borderId="118" xfId="7" applyNumberFormat="1" applyFont="1" applyBorder="1"/>
    <xf numFmtId="164" fontId="116" fillId="0" borderId="118" xfId="7" applyNumberFormat="1" applyFont="1" applyBorder="1"/>
    <xf numFmtId="164" fontId="112" fillId="36" borderId="118" xfId="7" applyNumberFormat="1" applyFont="1" applyFill="1" applyBorder="1"/>
    <xf numFmtId="164" fontId="113" fillId="79" borderId="118" xfId="7" applyNumberFormat="1" applyFont="1" applyFill="1" applyBorder="1"/>
    <xf numFmtId="164" fontId="116" fillId="79" borderId="118" xfId="7" applyNumberFormat="1" applyFont="1" applyFill="1" applyBorder="1"/>
    <xf numFmtId="164" fontId="113" fillId="0" borderId="118" xfId="7" applyNumberFormat="1" applyFont="1" applyBorder="1" applyAlignment="1">
      <alignment horizontal="left" indent="1"/>
    </xf>
    <xf numFmtId="164" fontId="113" fillId="80" borderId="118" xfId="7" applyNumberFormat="1" applyFont="1" applyFill="1" applyBorder="1"/>
    <xf numFmtId="164" fontId="116" fillId="0" borderId="7" xfId="7" applyNumberFormat="1" applyFont="1" applyBorder="1"/>
    <xf numFmtId="164" fontId="113" fillId="0" borderId="118" xfId="7" applyNumberFormat="1" applyFont="1" applyBorder="1" applyAlignment="1">
      <alignment horizontal="left" indent="2"/>
    </xf>
    <xf numFmtId="164" fontId="113" fillId="0" borderId="118" xfId="7" applyNumberFormat="1" applyFont="1" applyBorder="1" applyAlignment="1">
      <alignment horizontal="left" indent="3"/>
    </xf>
    <xf numFmtId="164" fontId="113" fillId="81" borderId="118" xfId="7" applyNumberFormat="1" applyFont="1" applyFill="1" applyBorder="1"/>
    <xf numFmtId="164" fontId="113" fillId="0" borderId="118" xfId="7" applyNumberFormat="1" applyFont="1" applyBorder="1" applyAlignment="1">
      <alignment horizontal="left" vertical="top" wrapText="1" indent="2"/>
    </xf>
    <xf numFmtId="164" fontId="113" fillId="0" borderId="118" xfId="7" applyNumberFormat="1" applyFont="1" applyBorder="1" applyAlignment="1">
      <alignment horizontal="left" wrapText="1" indent="3"/>
    </xf>
    <xf numFmtId="164" fontId="113" fillId="0" borderId="118" xfId="7" applyNumberFormat="1" applyFont="1" applyBorder="1" applyAlignment="1">
      <alignment horizontal="left" wrapText="1" indent="2"/>
    </xf>
    <xf numFmtId="164" fontId="113" fillId="0" borderId="118" xfId="7" applyNumberFormat="1" applyFont="1" applyBorder="1" applyAlignment="1">
      <alignment horizontal="left" wrapText="1" indent="1"/>
    </xf>
    <xf numFmtId="164" fontId="112" fillId="0" borderId="118" xfId="7" applyNumberFormat="1" applyFont="1" applyBorder="1" applyAlignment="1">
      <alignment horizontal="left" vertical="center" wrapText="1"/>
    </xf>
    <xf numFmtId="164" fontId="113" fillId="0" borderId="118" xfId="7" applyNumberFormat="1" applyFont="1" applyBorder="1" applyAlignment="1">
      <alignment horizontal="center" vertical="center" wrapText="1"/>
    </xf>
    <xf numFmtId="164" fontId="113" fillId="0" borderId="118" xfId="7" applyNumberFormat="1" applyFont="1" applyBorder="1" applyAlignment="1">
      <alignment horizontal="center" vertical="center"/>
    </xf>
    <xf numFmtId="164" fontId="115" fillId="0" borderId="118" xfId="7" applyNumberFormat="1" applyFont="1" applyBorder="1" applyAlignment="1">
      <alignment horizontal="left" vertical="center" wrapText="1"/>
    </xf>
    <xf numFmtId="0" fontId="0" fillId="0" borderId="7" xfId="0" applyBorder="1"/>
    <xf numFmtId="0" fontId="113" fillId="0" borderId="127" xfId="0" applyFont="1" applyBorder="1" applyAlignment="1">
      <alignment horizontal="center" vertical="center" wrapText="1"/>
    </xf>
    <xf numFmtId="0" fontId="113" fillId="0" borderId="125" xfId="0" applyFont="1" applyBorder="1" applyAlignment="1">
      <alignment horizontal="center" vertical="center" wrapText="1"/>
    </xf>
    <xf numFmtId="0" fontId="0" fillId="0" borderId="126" xfId="0" applyBorder="1" applyAlignment="1">
      <alignment horizontal="left" indent="2"/>
    </xf>
    <xf numFmtId="0" fontId="131" fillId="0" borderId="128" xfId="0" applyFont="1" applyBorder="1" applyAlignment="1">
      <alignment vertical="center" wrapText="1" readingOrder="1"/>
    </xf>
    <xf numFmtId="0" fontId="121" fillId="0" borderId="126" xfId="0" applyFont="1" applyBorder="1"/>
    <xf numFmtId="0" fontId="131" fillId="0" borderId="129" xfId="0" applyFont="1" applyBorder="1" applyAlignment="1">
      <alignment vertical="center" wrapText="1" readingOrder="1"/>
    </xf>
    <xf numFmtId="0" fontId="0" fillId="0" borderId="126" xfId="0" applyBorder="1" applyAlignment="1">
      <alignment horizontal="left" indent="3"/>
    </xf>
    <xf numFmtId="0" fontId="131" fillId="0" borderId="129" xfId="0" applyFont="1" applyBorder="1" applyAlignment="1">
      <alignment horizontal="left" vertical="center" wrapText="1" indent="1" readingOrder="1"/>
    </xf>
    <xf numFmtId="0" fontId="0" fillId="0" borderId="127" xfId="0" applyBorder="1" applyAlignment="1">
      <alignment horizontal="left" indent="2"/>
    </xf>
    <xf numFmtId="0" fontId="131" fillId="0" borderId="130" xfId="0" applyFont="1" applyBorder="1" applyAlignment="1">
      <alignment vertical="center" wrapText="1" readingOrder="1"/>
    </xf>
    <xf numFmtId="0" fontId="121" fillId="0" borderId="127" xfId="0" applyFont="1" applyBorder="1"/>
    <xf numFmtId="0" fontId="132" fillId="0" borderId="126" xfId="0" applyFont="1" applyBorder="1" applyAlignment="1">
      <alignment vertical="center" wrapText="1" readingOrder="1"/>
    </xf>
    <xf numFmtId="0" fontId="84" fillId="0" borderId="126" xfId="0" applyFont="1" applyBorder="1"/>
    <xf numFmtId="0" fontId="6" fillId="0" borderId="126" xfId="17" applyFill="1" applyBorder="1" applyAlignment="1" applyProtection="1"/>
    <xf numFmtId="193" fontId="123" fillId="0" borderId="126" xfId="0" applyNumberFormat="1" applyFont="1" applyBorder="1" applyAlignment="1" applyProtection="1">
      <alignment horizontal="right"/>
      <protection locked="0"/>
    </xf>
    <xf numFmtId="193" fontId="94" fillId="36" borderId="126" xfId="7" applyNumberFormat="1" applyFont="1" applyFill="1" applyBorder="1" applyAlignment="1" applyProtection="1">
      <alignment horizontal="right"/>
    </xf>
    <xf numFmtId="193" fontId="94" fillId="36" borderId="131" xfId="7" applyNumberFormat="1" applyFont="1" applyFill="1" applyBorder="1" applyAlignment="1" applyProtection="1">
      <alignment horizontal="right"/>
    </xf>
    <xf numFmtId="193" fontId="123" fillId="36" borderId="126" xfId="0" applyNumberFormat="1" applyFont="1" applyFill="1" applyBorder="1" applyAlignment="1">
      <alignment horizontal="right"/>
    </xf>
    <xf numFmtId="193" fontId="94" fillId="0" borderId="126" xfId="7" applyNumberFormat="1" applyFont="1" applyFill="1" applyBorder="1" applyAlignment="1" applyProtection="1">
      <alignment horizontal="right"/>
    </xf>
    <xf numFmtId="193" fontId="94" fillId="0" borderId="131" xfId="7" applyNumberFormat="1" applyFont="1" applyFill="1" applyBorder="1" applyAlignment="1" applyProtection="1">
      <alignment horizontal="right"/>
    </xf>
    <xf numFmtId="193" fontId="124" fillId="0" borderId="126" xfId="0" applyNumberFormat="1" applyFont="1" applyBorder="1" applyAlignment="1">
      <alignment horizontal="center"/>
    </xf>
    <xf numFmtId="193" fontId="124" fillId="0" borderId="131" xfId="0" applyNumberFormat="1" applyFont="1" applyBorder="1" applyAlignment="1">
      <alignment horizontal="center"/>
    </xf>
    <xf numFmtId="193" fontId="123" fillId="0" borderId="131" xfId="0" applyNumberFormat="1" applyFont="1" applyBorder="1" applyAlignment="1" applyProtection="1">
      <alignment horizontal="right"/>
      <protection locked="0"/>
    </xf>
    <xf numFmtId="193" fontId="123" fillId="0" borderId="126" xfId="0" applyNumberFormat="1" applyFont="1" applyBorder="1" applyAlignment="1" applyProtection="1">
      <alignment horizontal="left" indent="1"/>
      <protection locked="0"/>
    </xf>
    <xf numFmtId="193" fontId="94" fillId="36" borderId="126" xfId="7" applyNumberFormat="1" applyFont="1" applyFill="1" applyBorder="1" applyAlignment="1" applyProtection="1"/>
    <xf numFmtId="193" fontId="123" fillId="0" borderId="126" xfId="0" applyNumberFormat="1" applyFont="1" applyBorder="1" applyProtection="1">
      <protection locked="0"/>
    </xf>
    <xf numFmtId="193" fontId="94" fillId="36" borderId="131" xfId="7" applyNumberFormat="1" applyFont="1" applyFill="1" applyBorder="1" applyAlignment="1" applyProtection="1"/>
    <xf numFmtId="193" fontId="123" fillId="0" borderId="126" xfId="0" applyNumberFormat="1" applyFont="1" applyBorder="1" applyAlignment="1" applyProtection="1">
      <alignment horizontal="right" vertical="center"/>
      <protection locked="0"/>
    </xf>
    <xf numFmtId="193" fontId="123" fillId="36" borderId="25" xfId="0" applyNumberFormat="1" applyFont="1" applyFill="1" applyBorder="1" applyAlignment="1">
      <alignment horizontal="right"/>
    </xf>
    <xf numFmtId="193" fontId="94" fillId="36" borderId="25" xfId="7" applyNumberFormat="1" applyFont="1" applyFill="1" applyBorder="1" applyAlignment="1" applyProtection="1">
      <alignment horizontal="right"/>
    </xf>
    <xf numFmtId="193" fontId="94" fillId="36" borderId="26" xfId="7" applyNumberFormat="1" applyFont="1" applyFill="1" applyBorder="1" applyAlignment="1" applyProtection="1">
      <alignment horizontal="right"/>
    </xf>
    <xf numFmtId="193" fontId="94" fillId="0" borderId="126" xfId="0" applyNumberFormat="1" applyFont="1" applyBorder="1" applyAlignment="1">
      <alignment horizontal="right"/>
    </xf>
    <xf numFmtId="193" fontId="94" fillId="36" borderId="126" xfId="0" applyNumberFormat="1" applyFont="1" applyFill="1" applyBorder="1" applyAlignment="1">
      <alignment horizontal="right"/>
    </xf>
    <xf numFmtId="193" fontId="94" fillId="36" borderId="131"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193" fontId="94" fillId="36" borderId="26" xfId="0" applyNumberFormat="1" applyFont="1" applyFill="1" applyBorder="1" applyAlignment="1">
      <alignment horizontal="right"/>
    </xf>
    <xf numFmtId="3" fontId="103" fillId="36" borderId="126" xfId="0" applyNumberFormat="1" applyFont="1" applyFill="1" applyBorder="1" applyAlignment="1">
      <alignment vertical="center" wrapText="1"/>
    </xf>
    <xf numFmtId="3" fontId="103" fillId="36" borderId="132" xfId="0" applyNumberFormat="1" applyFont="1" applyFill="1" applyBorder="1" applyAlignment="1">
      <alignment vertical="center" wrapText="1"/>
    </xf>
    <xf numFmtId="3" fontId="103" fillId="36" borderId="133" xfId="0" applyNumberFormat="1" applyFont="1" applyFill="1" applyBorder="1" applyAlignment="1">
      <alignment vertical="center" wrapText="1"/>
    </xf>
    <xf numFmtId="3" fontId="103" fillId="0" borderId="126" xfId="0" applyNumberFormat="1" applyFont="1" applyBorder="1" applyAlignment="1">
      <alignment vertical="center" wrapText="1"/>
    </xf>
    <xf numFmtId="3" fontId="103" fillId="0" borderId="132" xfId="0" applyNumberFormat="1" applyFont="1" applyBorder="1" applyAlignment="1">
      <alignment vertical="center" wrapText="1"/>
    </xf>
    <xf numFmtId="3" fontId="103" fillId="0" borderId="133" xfId="0" applyNumberFormat="1" applyFont="1" applyBorder="1" applyAlignment="1">
      <alignment vertical="center" wrapText="1"/>
    </xf>
    <xf numFmtId="164" fontId="121" fillId="0" borderId="126" xfId="7" applyNumberFormat="1" applyFont="1" applyBorder="1"/>
    <xf numFmtId="9" fontId="121" fillId="0" borderId="126" xfId="20962" applyFont="1" applyBorder="1"/>
    <xf numFmtId="2" fontId="121" fillId="0" borderId="126" xfId="0" applyNumberFormat="1" applyFont="1" applyBorder="1"/>
    <xf numFmtId="164" fontId="121" fillId="0" borderId="127" xfId="7" applyNumberFormat="1" applyFont="1" applyBorder="1"/>
    <xf numFmtId="9" fontId="121" fillId="0" borderId="127" xfId="20962" applyFont="1" applyBorder="1"/>
    <xf numFmtId="2" fontId="121" fillId="0" borderId="127" xfId="0" applyNumberFormat="1" applyFont="1" applyBorder="1"/>
    <xf numFmtId="164" fontId="133" fillId="0" borderId="126" xfId="7" applyNumberFormat="1" applyFont="1" applyBorder="1"/>
    <xf numFmtId="0" fontId="133" fillId="0" borderId="126" xfId="0" applyFont="1" applyBorder="1"/>
    <xf numFmtId="9" fontId="133" fillId="0" borderId="126" xfId="20962" applyFont="1" applyBorder="1"/>
    <xf numFmtId="2" fontId="133" fillId="0" borderId="126" xfId="0" applyNumberFormat="1" applyFont="1" applyBorder="1"/>
    <xf numFmtId="164" fontId="116" fillId="80" borderId="118" xfId="7" applyNumberFormat="1" applyFont="1" applyFill="1" applyBorder="1"/>
    <xf numFmtId="0" fontId="93" fillId="0" borderId="71" xfId="0" applyFont="1" applyBorder="1" applyAlignment="1">
      <alignment horizontal="left" wrapText="1"/>
    </xf>
    <xf numFmtId="0" fontId="93" fillId="0" borderId="70"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Border="1" applyAlignment="1">
      <alignment horizontal="center" vertical="center" wrapText="1"/>
    </xf>
    <xf numFmtId="0" fontId="84" fillId="0" borderId="86" xfId="0" applyFont="1" applyBorder="1" applyAlignment="1">
      <alignment horizontal="center" vertical="center" wrapText="1"/>
    </xf>
    <xf numFmtId="0" fontId="45" fillId="0" borderId="86" xfId="11" applyFont="1" applyBorder="1" applyAlignment="1">
      <alignment horizontal="center" vertical="center" wrapText="1"/>
    </xf>
    <xf numFmtId="0" fontId="45" fillId="0" borderId="87"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7" xfId="13" applyFont="1" applyFill="1" applyBorder="1" applyAlignment="1" applyProtection="1">
      <alignment horizontal="center" vertical="center" wrapText="1"/>
      <protection locked="0"/>
    </xf>
    <xf numFmtId="0" fontId="98"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Border="1" applyAlignment="1">
      <alignment horizontal="center" vertical="center" wrapText="1"/>
    </xf>
    <xf numFmtId="0" fontId="3" fillId="0" borderId="69" xfId="0" applyFont="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8" xfId="0" applyFont="1" applyBorder="1" applyAlignment="1">
      <alignment horizontal="left" vertical="center" wrapText="1"/>
    </xf>
    <xf numFmtId="0" fontId="115" fillId="0" borderId="109" xfId="0" applyFont="1" applyBorder="1" applyAlignment="1">
      <alignment horizontal="left" vertical="center" wrapText="1"/>
    </xf>
    <xf numFmtId="0" fontId="115" fillId="0" borderId="113"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7" xfId="0" applyFont="1" applyBorder="1" applyAlignment="1">
      <alignment horizontal="left" vertical="center" wrapText="1"/>
    </xf>
    <xf numFmtId="0" fontId="116" fillId="0" borderId="110"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91"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81" xfId="0" applyFont="1" applyBorder="1" applyAlignment="1">
      <alignment horizontal="center" vertical="center" wrapText="1"/>
    </xf>
    <xf numFmtId="0" fontId="113"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8" xfId="0" applyFont="1" applyBorder="1" applyAlignment="1">
      <alignment horizontal="center" vertical="center" wrapText="1"/>
    </xf>
    <xf numFmtId="0" fontId="120" fillId="0" borderId="118" xfId="0" applyFont="1" applyBorder="1" applyAlignment="1">
      <alignment horizontal="center" vertical="center"/>
    </xf>
    <xf numFmtId="0" fontId="120" fillId="0" borderId="110" xfId="0" applyFont="1" applyBorder="1" applyAlignment="1">
      <alignment horizontal="center" vertical="center"/>
    </xf>
    <xf numFmtId="0" fontId="120" fillId="0" borderId="112" xfId="0" applyFont="1" applyBorder="1" applyAlignment="1">
      <alignment horizontal="center" vertical="center"/>
    </xf>
    <xf numFmtId="0" fontId="120" fillId="0" borderId="91" xfId="0" applyFont="1" applyBorder="1" applyAlignment="1">
      <alignment horizontal="center" vertical="center"/>
    </xf>
    <xf numFmtId="0" fontId="120" fillId="0" borderId="81" xfId="0" applyFont="1" applyBorder="1" applyAlignment="1">
      <alignment horizontal="center" vertical="center"/>
    </xf>
    <xf numFmtId="0" fontId="116" fillId="0" borderId="118"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2"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0" xfId="0" applyFont="1" applyAlignment="1">
      <alignment horizontal="center" vertical="center" wrapText="1"/>
    </xf>
    <xf numFmtId="0" fontId="113" fillId="0" borderId="74" xfId="0" applyFont="1" applyBorder="1" applyAlignment="1">
      <alignment horizontal="center" vertical="center" wrapText="1"/>
    </xf>
    <xf numFmtId="0" fontId="113" fillId="0" borderId="81" xfId="0" applyFont="1" applyBorder="1" applyAlignment="1">
      <alignment horizontal="center" vertical="center" wrapText="1"/>
    </xf>
    <xf numFmtId="0" fontId="116" fillId="0" borderId="110" xfId="0" applyFont="1" applyBorder="1" applyAlignment="1">
      <alignment horizontal="center" vertical="top" wrapText="1"/>
    </xf>
    <xf numFmtId="0" fontId="116" fillId="0" borderId="112" xfId="0" applyFont="1" applyBorder="1" applyAlignment="1">
      <alignment horizontal="center" vertical="top" wrapText="1"/>
    </xf>
    <xf numFmtId="0" fontId="116" fillId="0" borderId="76" xfId="0" applyFont="1" applyBorder="1" applyAlignment="1">
      <alignment horizontal="center" vertical="top" wrapText="1"/>
    </xf>
    <xf numFmtId="0" fontId="116" fillId="0" borderId="74" xfId="0" applyFont="1" applyBorder="1" applyAlignment="1">
      <alignment horizontal="center" vertical="top" wrapText="1"/>
    </xf>
    <xf numFmtId="0" fontId="116" fillId="0" borderId="91" xfId="0" applyFont="1" applyBorder="1" applyAlignment="1">
      <alignment horizontal="center" vertical="top" wrapText="1"/>
    </xf>
    <xf numFmtId="0" fontId="116" fillId="0" borderId="81" xfId="0" applyFont="1" applyBorder="1" applyAlignment="1">
      <alignment horizontal="center" vertical="top" wrapText="1"/>
    </xf>
    <xf numFmtId="0" fontId="113" fillId="0" borderId="0" xfId="0" applyFont="1" applyAlignment="1">
      <alignment horizontal="center" vertical="center"/>
    </xf>
    <xf numFmtId="0" fontId="113" fillId="0" borderId="74" xfId="0" applyFont="1" applyBorder="1" applyAlignment="1">
      <alignment horizontal="center" vertical="center"/>
    </xf>
    <xf numFmtId="0" fontId="113" fillId="0" borderId="76" xfId="0" applyFont="1" applyBorder="1" applyAlignment="1">
      <alignment horizontal="center" vertical="center"/>
    </xf>
    <xf numFmtId="0" fontId="113" fillId="0" borderId="120"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10" xfId="0" applyFont="1" applyBorder="1" applyAlignment="1">
      <alignment horizontal="center" vertical="top" wrapText="1"/>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21"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19" xfId="0" applyFont="1" applyBorder="1" applyAlignment="1">
      <alignment horizontal="center" vertical="top" wrapText="1"/>
    </xf>
    <xf numFmtId="0" fontId="113" fillId="0" borderId="7" xfId="0" applyFont="1" applyBorder="1" applyAlignment="1">
      <alignment horizontal="center" vertical="top" wrapText="1"/>
    </xf>
    <xf numFmtId="0" fontId="115" fillId="0" borderId="123" xfId="0" applyFont="1" applyBorder="1" applyAlignment="1">
      <alignment horizontal="left" vertical="top" wrapText="1"/>
    </xf>
    <xf numFmtId="0" fontId="115" fillId="0" borderId="124" xfId="0" applyFont="1" applyBorder="1" applyAlignment="1">
      <alignment horizontal="left" vertical="top" wrapText="1"/>
    </xf>
    <xf numFmtId="0" fontId="130" fillId="0" borderId="126" xfId="0" applyFont="1" applyBorder="1" applyAlignment="1">
      <alignment horizontal="center" vertical="center" wrapText="1"/>
    </xf>
    <xf numFmtId="0" fontId="129" fillId="0" borderId="118" xfId="0" applyFont="1" applyBorder="1" applyAlignment="1">
      <alignment horizontal="center" vertical="center"/>
    </xf>
    <xf numFmtId="0" fontId="129" fillId="0" borderId="126" xfId="0" applyFont="1" applyBorder="1" applyAlignment="1">
      <alignment horizontal="center" vertical="center"/>
    </xf>
    <xf numFmtId="0" fontId="121" fillId="0" borderId="119" xfId="0" applyFont="1" applyBorder="1" applyAlignment="1">
      <alignment horizontal="center" vertical="center" wrapText="1"/>
    </xf>
    <xf numFmtId="0" fontId="121" fillId="0" borderId="125"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B2" sqref="B2"/>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52"/>
      <c r="B1" s="195" t="s">
        <v>344</v>
      </c>
      <c r="C1" s="152"/>
    </row>
    <row r="2" spans="1:3">
      <c r="A2" s="196">
        <v>1</v>
      </c>
      <c r="B2" s="315" t="s">
        <v>345</v>
      </c>
      <c r="C2" s="459" t="s">
        <v>711</v>
      </c>
    </row>
    <row r="3" spans="1:3">
      <c r="A3" s="196">
        <v>2</v>
      </c>
      <c r="B3" s="316" t="s">
        <v>341</v>
      </c>
      <c r="C3" s="459" t="s">
        <v>712</v>
      </c>
    </row>
    <row r="4" spans="1:3">
      <c r="A4" s="196">
        <v>3</v>
      </c>
      <c r="B4" s="317" t="s">
        <v>346</v>
      </c>
      <c r="C4" s="459" t="s">
        <v>713</v>
      </c>
    </row>
    <row r="5" spans="1:3">
      <c r="A5" s="197">
        <v>4</v>
      </c>
      <c r="B5" s="318" t="s">
        <v>342</v>
      </c>
      <c r="C5" s="459" t="s">
        <v>714</v>
      </c>
    </row>
    <row r="6" spans="1:3" s="198" customFormat="1" ht="45.75" customHeight="1">
      <c r="A6" s="640" t="s">
        <v>420</v>
      </c>
      <c r="B6" s="641"/>
      <c r="C6" s="641"/>
    </row>
    <row r="7" spans="1:3" ht="15">
      <c r="A7" s="199" t="s">
        <v>29</v>
      </c>
      <c r="B7" s="195" t="s">
        <v>343</v>
      </c>
    </row>
    <row r="8" spans="1:3">
      <c r="A8" s="152">
        <v>1</v>
      </c>
      <c r="B8" s="238" t="s">
        <v>20</v>
      </c>
    </row>
    <row r="9" spans="1:3">
      <c r="A9" s="152">
        <v>2</v>
      </c>
      <c r="B9" s="239" t="s">
        <v>21</v>
      </c>
    </row>
    <row r="10" spans="1:3">
      <c r="A10" s="152">
        <v>3</v>
      </c>
      <c r="B10" s="239" t="s">
        <v>22</v>
      </c>
    </row>
    <row r="11" spans="1:3">
      <c r="A11" s="152">
        <v>4</v>
      </c>
      <c r="B11" s="239" t="s">
        <v>23</v>
      </c>
    </row>
    <row r="12" spans="1:3">
      <c r="A12" s="152">
        <v>5</v>
      </c>
      <c r="B12" s="239" t="s">
        <v>24</v>
      </c>
    </row>
    <row r="13" spans="1:3">
      <c r="A13" s="152">
        <v>6</v>
      </c>
      <c r="B13" s="240" t="s">
        <v>353</v>
      </c>
    </row>
    <row r="14" spans="1:3">
      <c r="A14" s="152">
        <v>7</v>
      </c>
      <c r="B14" s="239" t="s">
        <v>347</v>
      </c>
    </row>
    <row r="15" spans="1:3">
      <c r="A15" s="152">
        <v>8</v>
      </c>
      <c r="B15" s="239" t="s">
        <v>348</v>
      </c>
    </row>
    <row r="16" spans="1:3">
      <c r="A16" s="152">
        <v>9</v>
      </c>
      <c r="B16" s="239" t="s">
        <v>25</v>
      </c>
    </row>
    <row r="17" spans="1:2">
      <c r="A17" s="314" t="s">
        <v>419</v>
      </c>
      <c r="B17" s="313" t="s">
        <v>406</v>
      </c>
    </row>
    <row r="18" spans="1:2">
      <c r="A18" s="152">
        <v>10</v>
      </c>
      <c r="B18" s="239" t="s">
        <v>26</v>
      </c>
    </row>
    <row r="19" spans="1:2">
      <c r="A19" s="152">
        <v>11</v>
      </c>
      <c r="B19" s="240" t="s">
        <v>349</v>
      </c>
    </row>
    <row r="20" spans="1:2">
      <c r="A20" s="152">
        <v>12</v>
      </c>
      <c r="B20" s="240" t="s">
        <v>27</v>
      </c>
    </row>
    <row r="21" spans="1:2">
      <c r="A21" s="356">
        <v>13</v>
      </c>
      <c r="B21" s="357" t="s">
        <v>350</v>
      </c>
    </row>
    <row r="22" spans="1:2">
      <c r="A22" s="356">
        <v>14</v>
      </c>
      <c r="B22" s="358" t="s">
        <v>377</v>
      </c>
    </row>
    <row r="23" spans="1:2">
      <c r="A23" s="356">
        <v>15</v>
      </c>
      <c r="B23" s="359" t="s">
        <v>28</v>
      </c>
    </row>
    <row r="24" spans="1:2">
      <c r="A24" s="356">
        <v>15.1</v>
      </c>
      <c r="B24" s="360" t="s">
        <v>433</v>
      </c>
    </row>
    <row r="25" spans="1:2">
      <c r="A25" s="356">
        <v>16</v>
      </c>
      <c r="B25" s="360" t="s">
        <v>497</v>
      </c>
    </row>
    <row r="26" spans="1:2">
      <c r="A26" s="356">
        <v>17</v>
      </c>
      <c r="B26" s="360" t="s">
        <v>538</v>
      </c>
    </row>
    <row r="27" spans="1:2">
      <c r="A27" s="356">
        <v>18</v>
      </c>
      <c r="B27" s="360" t="s">
        <v>708</v>
      </c>
    </row>
    <row r="28" spans="1:2">
      <c r="A28" s="356">
        <v>19</v>
      </c>
      <c r="B28" s="360" t="s">
        <v>709</v>
      </c>
    </row>
    <row r="29" spans="1:2">
      <c r="A29" s="356">
        <v>20</v>
      </c>
      <c r="B29" s="436" t="s">
        <v>539</v>
      </c>
    </row>
    <row r="30" spans="1:2">
      <c r="A30" s="356">
        <v>21</v>
      </c>
      <c r="B30" s="360" t="s">
        <v>705</v>
      </c>
    </row>
    <row r="31" spans="1:2">
      <c r="A31" s="356">
        <v>22</v>
      </c>
      <c r="B31" s="360" t="s">
        <v>540</v>
      </c>
    </row>
    <row r="32" spans="1:2">
      <c r="A32" s="356">
        <v>23</v>
      </c>
      <c r="B32" s="360" t="s">
        <v>541</v>
      </c>
    </row>
    <row r="33" spans="1:2">
      <c r="A33" s="356">
        <v>24</v>
      </c>
      <c r="B33" s="360" t="s">
        <v>542</v>
      </c>
    </row>
    <row r="34" spans="1:2">
      <c r="A34" s="356">
        <v>25</v>
      </c>
      <c r="B34" s="360" t="s">
        <v>543</v>
      </c>
    </row>
    <row r="35" spans="1:2">
      <c r="A35" s="598">
        <v>26</v>
      </c>
      <c r="B35" s="599" t="s">
        <v>776</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CARTU BANK</v>
      </c>
    </row>
    <row r="2" spans="1:3" s="2" customFormat="1" ht="15.75" customHeight="1">
      <c r="A2" s="2" t="s">
        <v>31</v>
      </c>
      <c r="B2" s="370">
        <f>'1. key ratios '!B2</f>
        <v>44561</v>
      </c>
    </row>
    <row r="3" spans="1:3" s="2" customFormat="1" ht="15.75" customHeight="1"/>
    <row r="4" spans="1:3" ht="13.5" thickBot="1">
      <c r="A4" s="4" t="s">
        <v>246</v>
      </c>
      <c r="B4" s="137" t="s">
        <v>245</v>
      </c>
    </row>
    <row r="5" spans="1:3">
      <c r="A5" s="80" t="s">
        <v>6</v>
      </c>
      <c r="B5" s="81"/>
      <c r="C5" s="82" t="s">
        <v>73</v>
      </c>
    </row>
    <row r="6" spans="1:3">
      <c r="A6" s="83">
        <v>1</v>
      </c>
      <c r="B6" s="84" t="s">
        <v>244</v>
      </c>
      <c r="C6" s="85">
        <f>SUM(C7:C11)</f>
        <v>193275698</v>
      </c>
    </row>
    <row r="7" spans="1:3">
      <c r="A7" s="83">
        <v>2</v>
      </c>
      <c r="B7" s="86" t="s">
        <v>243</v>
      </c>
      <c r="C7" s="503">
        <v>114430000</v>
      </c>
    </row>
    <row r="8" spans="1:3">
      <c r="A8" s="83">
        <v>3</v>
      </c>
      <c r="B8" s="87" t="s">
        <v>242</v>
      </c>
      <c r="C8" s="503"/>
    </row>
    <row r="9" spans="1:3">
      <c r="A9" s="83">
        <v>4</v>
      </c>
      <c r="B9" s="87" t="s">
        <v>241</v>
      </c>
      <c r="C9" s="503"/>
    </row>
    <row r="10" spans="1:3">
      <c r="A10" s="83">
        <v>5</v>
      </c>
      <c r="B10" s="87" t="s">
        <v>240</v>
      </c>
      <c r="C10" s="503">
        <v>7438034</v>
      </c>
    </row>
    <row r="11" spans="1:3">
      <c r="A11" s="83">
        <v>6</v>
      </c>
      <c r="B11" s="88" t="s">
        <v>239</v>
      </c>
      <c r="C11" s="503">
        <v>71407664</v>
      </c>
    </row>
    <row r="12" spans="1:3" s="56" customFormat="1">
      <c r="A12" s="83">
        <v>7</v>
      </c>
      <c r="B12" s="84" t="s">
        <v>238</v>
      </c>
      <c r="C12" s="89">
        <f>SUM(C13:C27)</f>
        <v>4035809</v>
      </c>
    </row>
    <row r="13" spans="1:3" s="56" customFormat="1">
      <c r="A13" s="83">
        <v>8</v>
      </c>
      <c r="B13" s="90" t="s">
        <v>237</v>
      </c>
      <c r="C13" s="504">
        <v>132660</v>
      </c>
    </row>
    <row r="14" spans="1:3" s="56" customFormat="1" ht="25.5">
      <c r="A14" s="83">
        <v>9</v>
      </c>
      <c r="B14" s="92" t="s">
        <v>236</v>
      </c>
      <c r="C14" s="504"/>
    </row>
    <row r="15" spans="1:3" s="56" customFormat="1">
      <c r="A15" s="83">
        <v>10</v>
      </c>
      <c r="B15" s="93" t="s">
        <v>235</v>
      </c>
      <c r="C15" s="504">
        <v>3903149</v>
      </c>
    </row>
    <row r="16" spans="1:3" s="56" customFormat="1">
      <c r="A16" s="83">
        <v>11</v>
      </c>
      <c r="B16" s="94" t="s">
        <v>234</v>
      </c>
      <c r="C16" s="504"/>
    </row>
    <row r="17" spans="1:3" s="56" customFormat="1">
      <c r="A17" s="83">
        <v>12</v>
      </c>
      <c r="B17" s="93" t="s">
        <v>233</v>
      </c>
      <c r="C17" s="504"/>
    </row>
    <row r="18" spans="1:3" s="56" customFormat="1">
      <c r="A18" s="83">
        <v>13</v>
      </c>
      <c r="B18" s="93" t="s">
        <v>232</v>
      </c>
      <c r="C18" s="504"/>
    </row>
    <row r="19" spans="1:3" s="56" customFormat="1">
      <c r="A19" s="83">
        <v>14</v>
      </c>
      <c r="B19" s="93" t="s">
        <v>231</v>
      </c>
      <c r="C19" s="504"/>
    </row>
    <row r="20" spans="1:3" s="56" customFormat="1">
      <c r="A20" s="83">
        <v>15</v>
      </c>
      <c r="B20" s="93" t="s">
        <v>230</v>
      </c>
      <c r="C20" s="504">
        <v>0</v>
      </c>
    </row>
    <row r="21" spans="1:3" s="56" customFormat="1" ht="25.5">
      <c r="A21" s="83">
        <v>16</v>
      </c>
      <c r="B21" s="92" t="s">
        <v>229</v>
      </c>
      <c r="C21" s="504"/>
    </row>
    <row r="22" spans="1:3" s="56" customFormat="1">
      <c r="A22" s="83">
        <v>17</v>
      </c>
      <c r="B22" s="95" t="s">
        <v>228</v>
      </c>
      <c r="C22" s="504"/>
    </row>
    <row r="23" spans="1:3" s="56" customFormat="1">
      <c r="A23" s="83">
        <v>18</v>
      </c>
      <c r="B23" s="92" t="s">
        <v>227</v>
      </c>
      <c r="C23" s="504"/>
    </row>
    <row r="24" spans="1:3" s="56" customFormat="1" ht="25.5">
      <c r="A24" s="83">
        <v>19</v>
      </c>
      <c r="B24" s="92" t="s">
        <v>204</v>
      </c>
      <c r="C24" s="504"/>
    </row>
    <row r="25" spans="1:3" s="56" customFormat="1">
      <c r="A25" s="83">
        <v>20</v>
      </c>
      <c r="B25" s="94" t="s">
        <v>226</v>
      </c>
      <c r="C25" s="504"/>
    </row>
    <row r="26" spans="1:3" s="56" customFormat="1">
      <c r="A26" s="83">
        <v>21</v>
      </c>
      <c r="B26" s="94" t="s">
        <v>225</v>
      </c>
      <c r="C26" s="504"/>
    </row>
    <row r="27" spans="1:3" s="56" customFormat="1">
      <c r="A27" s="83">
        <v>22</v>
      </c>
      <c r="B27" s="94" t="s">
        <v>224</v>
      </c>
      <c r="C27" s="504"/>
    </row>
    <row r="28" spans="1:3" s="56" customFormat="1">
      <c r="A28" s="83">
        <v>23</v>
      </c>
      <c r="B28" s="96" t="s">
        <v>223</v>
      </c>
      <c r="C28" s="89">
        <f>C6-C12</f>
        <v>189239889</v>
      </c>
    </row>
    <row r="29" spans="1:3" s="56" customFormat="1">
      <c r="A29" s="97"/>
      <c r="B29" s="98"/>
      <c r="C29" s="91"/>
    </row>
    <row r="30" spans="1:3" s="56" customFormat="1">
      <c r="A30" s="97">
        <v>24</v>
      </c>
      <c r="B30" s="96" t="s">
        <v>222</v>
      </c>
      <c r="C30" s="89">
        <f>C31+C34</f>
        <v>83635200</v>
      </c>
    </row>
    <row r="31" spans="1:3" s="56" customFormat="1">
      <c r="A31" s="97">
        <v>25</v>
      </c>
      <c r="B31" s="87" t="s">
        <v>221</v>
      </c>
      <c r="C31" s="99">
        <f>C32+C33</f>
        <v>83635200</v>
      </c>
    </row>
    <row r="32" spans="1:3" s="56" customFormat="1">
      <c r="A32" s="97">
        <v>26</v>
      </c>
      <c r="B32" s="100" t="s">
        <v>302</v>
      </c>
      <c r="C32" s="504"/>
    </row>
    <row r="33" spans="1:3" s="56" customFormat="1">
      <c r="A33" s="97">
        <v>27</v>
      </c>
      <c r="B33" s="100" t="s">
        <v>220</v>
      </c>
      <c r="C33" s="504">
        <v>83635200</v>
      </c>
    </row>
    <row r="34" spans="1:3" s="56" customFormat="1">
      <c r="A34" s="97">
        <v>28</v>
      </c>
      <c r="B34" s="87" t="s">
        <v>219</v>
      </c>
      <c r="C34" s="504"/>
    </row>
    <row r="35" spans="1:3" s="56" customFormat="1">
      <c r="A35" s="97">
        <v>29</v>
      </c>
      <c r="B35" s="96" t="s">
        <v>218</v>
      </c>
      <c r="C35" s="89">
        <f>SUM(C36:C40)</f>
        <v>0</v>
      </c>
    </row>
    <row r="36" spans="1:3" s="56" customFormat="1">
      <c r="A36" s="97">
        <v>30</v>
      </c>
      <c r="B36" s="92" t="s">
        <v>217</v>
      </c>
      <c r="C36" s="91"/>
    </row>
    <row r="37" spans="1:3" s="56" customFormat="1">
      <c r="A37" s="97">
        <v>31</v>
      </c>
      <c r="B37" s="93" t="s">
        <v>216</v>
      </c>
      <c r="C37" s="91"/>
    </row>
    <row r="38" spans="1:3" s="56" customFormat="1" ht="25.5">
      <c r="A38" s="97">
        <v>32</v>
      </c>
      <c r="B38" s="92" t="s">
        <v>215</v>
      </c>
      <c r="C38" s="91"/>
    </row>
    <row r="39" spans="1:3" s="56" customFormat="1" ht="25.5">
      <c r="A39" s="97">
        <v>33</v>
      </c>
      <c r="B39" s="92" t="s">
        <v>204</v>
      </c>
      <c r="C39" s="91"/>
    </row>
    <row r="40" spans="1:3" s="56" customFormat="1">
      <c r="A40" s="97">
        <v>34</v>
      </c>
      <c r="B40" s="94" t="s">
        <v>214</v>
      </c>
      <c r="C40" s="91"/>
    </row>
    <row r="41" spans="1:3" s="56" customFormat="1">
      <c r="A41" s="97">
        <v>35</v>
      </c>
      <c r="B41" s="96" t="s">
        <v>213</v>
      </c>
      <c r="C41" s="89">
        <f>C30-C35</f>
        <v>83635200</v>
      </c>
    </row>
    <row r="42" spans="1:3" s="56" customFormat="1">
      <c r="A42" s="97"/>
      <c r="B42" s="98"/>
      <c r="C42" s="91"/>
    </row>
    <row r="43" spans="1:3" s="56" customFormat="1">
      <c r="A43" s="97">
        <v>36</v>
      </c>
      <c r="B43" s="101" t="s">
        <v>212</v>
      </c>
      <c r="C43" s="89">
        <f>SUM(C44:C46)</f>
        <v>49522516</v>
      </c>
    </row>
    <row r="44" spans="1:3" s="56" customFormat="1">
      <c r="A44" s="97">
        <v>37</v>
      </c>
      <c r="B44" s="87" t="s">
        <v>211</v>
      </c>
      <c r="C44" s="504">
        <v>37171200</v>
      </c>
    </row>
    <row r="45" spans="1:3" s="56" customFormat="1">
      <c r="A45" s="97">
        <v>38</v>
      </c>
      <c r="B45" s="87" t="s">
        <v>210</v>
      </c>
      <c r="C45" s="504"/>
    </row>
    <row r="46" spans="1:3" s="56" customFormat="1">
      <c r="A46" s="97">
        <v>39</v>
      </c>
      <c r="B46" s="87" t="s">
        <v>209</v>
      </c>
      <c r="C46" s="504">
        <v>12351316</v>
      </c>
    </row>
    <row r="47" spans="1:3" s="56" customFormat="1">
      <c r="A47" s="97">
        <v>40</v>
      </c>
      <c r="B47" s="101" t="s">
        <v>208</v>
      </c>
      <c r="C47" s="89">
        <f>SUM(C48:C51)</f>
        <v>0</v>
      </c>
    </row>
    <row r="48" spans="1:3" s="56" customFormat="1">
      <c r="A48" s="97">
        <v>41</v>
      </c>
      <c r="B48" s="92" t="s">
        <v>207</v>
      </c>
      <c r="C48" s="91"/>
    </row>
    <row r="49" spans="1:3" s="56" customFormat="1">
      <c r="A49" s="97">
        <v>42</v>
      </c>
      <c r="B49" s="93" t="s">
        <v>206</v>
      </c>
      <c r="C49" s="91"/>
    </row>
    <row r="50" spans="1:3" s="56" customFormat="1">
      <c r="A50" s="97">
        <v>43</v>
      </c>
      <c r="B50" s="92" t="s">
        <v>205</v>
      </c>
      <c r="C50" s="91"/>
    </row>
    <row r="51" spans="1:3" s="56" customFormat="1" ht="25.5">
      <c r="A51" s="97">
        <v>44</v>
      </c>
      <c r="B51" s="92" t="s">
        <v>204</v>
      </c>
      <c r="C51" s="91"/>
    </row>
    <row r="52" spans="1:3" s="56" customFormat="1" ht="13.5" thickBot="1">
      <c r="A52" s="102">
        <v>45</v>
      </c>
      <c r="B52" s="103" t="s">
        <v>203</v>
      </c>
      <c r="C52" s="104">
        <f>C43-C47</f>
        <v>49522516</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B2" sqref="B2"/>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ht="15">
      <c r="A1" s="223" t="s">
        <v>30</v>
      </c>
      <c r="B1" s="3" t="str">
        <f>'Info '!C2</f>
        <v>JSC CARTU BANK</v>
      </c>
    </row>
    <row r="2" spans="1:4" s="223" customFormat="1" ht="15.75" customHeight="1">
      <c r="A2" s="223" t="s">
        <v>31</v>
      </c>
      <c r="B2" s="370">
        <f>'1. key ratios '!B2</f>
        <v>44561</v>
      </c>
    </row>
    <row r="3" spans="1:4" s="223" customFormat="1" ht="15.75" customHeight="1"/>
    <row r="4" spans="1:4" ht="13.5" thickBot="1">
      <c r="A4" s="225" t="s">
        <v>405</v>
      </c>
      <c r="B4" s="305" t="s">
        <v>406</v>
      </c>
    </row>
    <row r="5" spans="1:4" s="230" customFormat="1" ht="12.75" customHeight="1">
      <c r="A5" s="354"/>
      <c r="B5" s="355" t="s">
        <v>409</v>
      </c>
      <c r="C5" s="298" t="s">
        <v>407</v>
      </c>
      <c r="D5" s="299" t="s">
        <v>408</v>
      </c>
    </row>
    <row r="6" spans="1:4" s="306" customFormat="1">
      <c r="A6" s="300">
        <v>1</v>
      </c>
      <c r="B6" s="350" t="s">
        <v>410</v>
      </c>
      <c r="C6" s="350"/>
      <c r="D6" s="301"/>
    </row>
    <row r="7" spans="1:4" s="306" customFormat="1">
      <c r="A7" s="302" t="s">
        <v>396</v>
      </c>
      <c r="B7" s="351" t="s">
        <v>411</v>
      </c>
      <c r="C7" s="505">
        <v>4.4999999999999998E-2</v>
      </c>
      <c r="D7" s="506">
        <f>C7*'5. RWA '!$C$13</f>
        <v>58461460.962541722</v>
      </c>
    </row>
    <row r="8" spans="1:4" s="306" customFormat="1">
      <c r="A8" s="302" t="s">
        <v>397</v>
      </c>
      <c r="B8" s="351" t="s">
        <v>412</v>
      </c>
      <c r="C8" s="507">
        <v>0.06</v>
      </c>
      <c r="D8" s="506">
        <f>C8*'5. RWA '!$C$13</f>
        <v>77948614.616722301</v>
      </c>
    </row>
    <row r="9" spans="1:4" s="306" customFormat="1">
      <c r="A9" s="302" t="s">
        <v>398</v>
      </c>
      <c r="B9" s="351" t="s">
        <v>413</v>
      </c>
      <c r="C9" s="507">
        <v>0.08</v>
      </c>
      <c r="D9" s="506">
        <f>C9*'5. RWA '!$C$13</f>
        <v>103931486.15562974</v>
      </c>
    </row>
    <row r="10" spans="1:4" s="306" customFormat="1">
      <c r="A10" s="300" t="s">
        <v>399</v>
      </c>
      <c r="B10" s="350" t="s">
        <v>414</v>
      </c>
      <c r="C10" s="508"/>
      <c r="D10" s="509"/>
    </row>
    <row r="11" spans="1:4" s="307" customFormat="1">
      <c r="A11" s="303" t="s">
        <v>400</v>
      </c>
      <c r="B11" s="349" t="s">
        <v>480</v>
      </c>
      <c r="C11" s="510">
        <v>2.5000000000000001E-2</v>
      </c>
      <c r="D11" s="506">
        <f>C11*'5. RWA '!$C$13</f>
        <v>32478589.423634291</v>
      </c>
    </row>
    <row r="12" spans="1:4" s="307" customFormat="1">
      <c r="A12" s="303" t="s">
        <v>401</v>
      </c>
      <c r="B12" s="349" t="s">
        <v>415</v>
      </c>
      <c r="C12" s="510">
        <v>0</v>
      </c>
      <c r="D12" s="506">
        <f>C12*'5. RWA '!$C$13</f>
        <v>0</v>
      </c>
    </row>
    <row r="13" spans="1:4" s="307" customFormat="1">
      <c r="A13" s="303" t="s">
        <v>402</v>
      </c>
      <c r="B13" s="349" t="s">
        <v>416</v>
      </c>
      <c r="C13" s="510"/>
      <c r="D13" s="506">
        <f>C13*'5. RWA '!$C$13</f>
        <v>0</v>
      </c>
    </row>
    <row r="14" spans="1:4" s="307" customFormat="1">
      <c r="A14" s="300" t="s">
        <v>403</v>
      </c>
      <c r="B14" s="350" t="s">
        <v>477</v>
      </c>
      <c r="C14" s="511"/>
      <c r="D14" s="509"/>
    </row>
    <row r="15" spans="1:4" s="307" customFormat="1">
      <c r="A15" s="303">
        <v>3.1</v>
      </c>
      <c r="B15" s="349" t="s">
        <v>421</v>
      </c>
      <c r="C15" s="510">
        <v>3.5128869722028201E-2</v>
      </c>
      <c r="D15" s="506">
        <f>C15*'5. RWA '!$C$13</f>
        <v>45637445.464723676</v>
      </c>
    </row>
    <row r="16" spans="1:4" s="307" customFormat="1">
      <c r="A16" s="303">
        <v>3.2</v>
      </c>
      <c r="B16" s="349" t="s">
        <v>422</v>
      </c>
      <c r="C16" s="510">
        <v>4.6912480042465503E-2</v>
      </c>
      <c r="D16" s="506">
        <f>C16*'5. RWA '!$C$13</f>
        <v>60946047.125746995</v>
      </c>
    </row>
    <row r="17" spans="1:4" s="306" customFormat="1">
      <c r="A17" s="303">
        <v>3.3</v>
      </c>
      <c r="B17" s="349" t="s">
        <v>423</v>
      </c>
      <c r="C17" s="510">
        <v>9.785959166883941E-2</v>
      </c>
      <c r="D17" s="506">
        <f>C17*'5. RWA '!$C$13</f>
        <v>127133659.95906952</v>
      </c>
    </row>
    <row r="18" spans="1:4" s="230" customFormat="1" ht="12.75" customHeight="1">
      <c r="A18" s="352"/>
      <c r="B18" s="353" t="s">
        <v>476</v>
      </c>
      <c r="C18" s="508" t="s">
        <v>407</v>
      </c>
      <c r="D18" s="512" t="s">
        <v>408</v>
      </c>
    </row>
    <row r="19" spans="1:4" s="306" customFormat="1">
      <c r="A19" s="304">
        <v>4</v>
      </c>
      <c r="B19" s="349" t="s">
        <v>417</v>
      </c>
      <c r="C19" s="510">
        <f>C7+C11+C12+C13+C15</f>
        <v>0.1051288697220282</v>
      </c>
      <c r="D19" s="506">
        <f>C19*'5. RWA '!$C$13</f>
        <v>136577495.8508997</v>
      </c>
    </row>
    <row r="20" spans="1:4" s="306" customFormat="1">
      <c r="A20" s="304">
        <v>5</v>
      </c>
      <c r="B20" s="349" t="s">
        <v>137</v>
      </c>
      <c r="C20" s="510">
        <f>C8+C11+C12+C13+C16</f>
        <v>0.1319124800424655</v>
      </c>
      <c r="D20" s="506">
        <f>C20*'5. RWA '!$C$13</f>
        <v>171373251.16610357</v>
      </c>
    </row>
    <row r="21" spans="1:4" s="306" customFormat="1" ht="13.5" thickBot="1">
      <c r="A21" s="308" t="s">
        <v>404</v>
      </c>
      <c r="B21" s="309" t="s">
        <v>418</v>
      </c>
      <c r="C21" s="513">
        <f>C9+C11+C12+C13+C17</f>
        <v>0.20285959166883943</v>
      </c>
      <c r="D21" s="514">
        <f>C21*'5. RWA '!$C$13</f>
        <v>263543735.53833356</v>
      </c>
    </row>
    <row r="23" spans="1:4" ht="51">
      <c r="B23" s="265"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CARTU BANK</v>
      </c>
      <c r="E1" s="4"/>
      <c r="F1" s="4"/>
    </row>
    <row r="2" spans="1:6" s="2" customFormat="1" ht="15.75" customHeight="1">
      <c r="A2" s="2" t="s">
        <v>31</v>
      </c>
      <c r="B2" s="370">
        <f>'1. key ratios '!B2</f>
        <v>44561</v>
      </c>
    </row>
    <row r="3" spans="1:6" s="2" customFormat="1" ht="15.75" customHeight="1">
      <c r="A3" s="105"/>
    </row>
    <row r="4" spans="1:6" s="2" customFormat="1" ht="15.75" customHeight="1" thickBot="1">
      <c r="A4" s="2" t="s">
        <v>86</v>
      </c>
      <c r="B4" s="215" t="s">
        <v>286</v>
      </c>
      <c r="D4" s="32" t="s">
        <v>73</v>
      </c>
    </row>
    <row r="5" spans="1:6" ht="25.5">
      <c r="A5" s="106" t="s">
        <v>6</v>
      </c>
      <c r="B5" s="242" t="s">
        <v>340</v>
      </c>
      <c r="C5" s="107" t="s">
        <v>93</v>
      </c>
      <c r="D5" s="108" t="s">
        <v>94</v>
      </c>
    </row>
    <row r="6" spans="1:6" ht="15">
      <c r="A6" s="74">
        <v>1</v>
      </c>
      <c r="B6" s="109" t="s">
        <v>35</v>
      </c>
      <c r="C6" s="515">
        <f>'2.RC'!E7</f>
        <v>26986427</v>
      </c>
      <c r="D6" s="110"/>
      <c r="E6" s="111"/>
    </row>
    <row r="7" spans="1:6" ht="15">
      <c r="A7" s="74">
        <v>2</v>
      </c>
      <c r="B7" s="112" t="s">
        <v>36</v>
      </c>
      <c r="C7" s="516">
        <f>'2.RC'!E8</f>
        <v>203907519</v>
      </c>
      <c r="D7" s="114"/>
      <c r="E7" s="111"/>
    </row>
    <row r="8" spans="1:6" ht="15">
      <c r="A8" s="74">
        <v>3</v>
      </c>
      <c r="B8" s="112" t="s">
        <v>37</v>
      </c>
      <c r="C8" s="516">
        <f>'2.RC'!E9</f>
        <v>53942316</v>
      </c>
      <c r="D8" s="114"/>
      <c r="E8" s="111"/>
    </row>
    <row r="9" spans="1:6" ht="15">
      <c r="A9" s="74">
        <v>4</v>
      </c>
      <c r="B9" s="112" t="s">
        <v>38</v>
      </c>
      <c r="C9" s="516">
        <f>'2.RC'!E10</f>
        <v>0</v>
      </c>
      <c r="D9" s="114"/>
      <c r="E9" s="111"/>
    </row>
    <row r="10" spans="1:6" ht="15">
      <c r="A10" s="74">
        <v>5</v>
      </c>
      <c r="B10" s="112" t="s">
        <v>39</v>
      </c>
      <c r="C10" s="516">
        <f>'2.RC'!E11-C11</f>
        <v>50022340</v>
      </c>
      <c r="D10" s="114"/>
      <c r="E10" s="111"/>
    </row>
    <row r="11" spans="1:6" ht="15.75">
      <c r="A11" s="74">
        <v>5.0999999999999996</v>
      </c>
      <c r="B11" s="523" t="s">
        <v>740</v>
      </c>
      <c r="C11" s="517">
        <v>-369760</v>
      </c>
      <c r="D11" s="518" t="s">
        <v>734</v>
      </c>
      <c r="E11" s="117"/>
    </row>
    <row r="12" spans="1:6" ht="15">
      <c r="A12" s="74">
        <v>5.2</v>
      </c>
      <c r="B12" s="112" t="s">
        <v>741</v>
      </c>
      <c r="C12" s="517">
        <f>C10+C11</f>
        <v>49652580</v>
      </c>
      <c r="D12" s="114"/>
      <c r="E12" s="117"/>
    </row>
    <row r="13" spans="1:6" ht="15">
      <c r="A13" s="74">
        <v>6.1</v>
      </c>
      <c r="B13" s="216" t="s">
        <v>40</v>
      </c>
      <c r="C13" s="519">
        <f>'2.RC'!E12</f>
        <v>965168857</v>
      </c>
      <c r="D13" s="116"/>
      <c r="E13" s="111"/>
    </row>
    <row r="14" spans="1:6" ht="15">
      <c r="A14" s="74">
        <v>6.2</v>
      </c>
      <c r="B14" s="217" t="s">
        <v>41</v>
      </c>
      <c r="C14" s="519">
        <v>-159165792</v>
      </c>
      <c r="D14" s="116"/>
      <c r="E14" s="111"/>
    </row>
    <row r="15" spans="1:6" ht="15.75">
      <c r="A15" s="74" t="s">
        <v>742</v>
      </c>
      <c r="B15" s="524" t="s">
        <v>740</v>
      </c>
      <c r="C15" s="519">
        <v>-11534117</v>
      </c>
      <c r="D15" s="518" t="s">
        <v>734</v>
      </c>
      <c r="E15" s="111"/>
    </row>
    <row r="16" spans="1:6" ht="15">
      <c r="A16" s="74" t="s">
        <v>743</v>
      </c>
      <c r="B16" s="524" t="s">
        <v>744</v>
      </c>
      <c r="C16" s="519">
        <v>0</v>
      </c>
      <c r="D16" s="116"/>
      <c r="E16" s="111"/>
    </row>
    <row r="17" spans="1:5" ht="15">
      <c r="A17" s="74">
        <v>6</v>
      </c>
      <c r="B17" s="112" t="s">
        <v>42</v>
      </c>
      <c r="C17" s="520">
        <f>C13+C14</f>
        <v>806003065</v>
      </c>
      <c r="D17" s="116"/>
      <c r="E17" s="111"/>
    </row>
    <row r="18" spans="1:5" ht="15">
      <c r="A18" s="74">
        <v>7</v>
      </c>
      <c r="B18" s="112" t="s">
        <v>43</v>
      </c>
      <c r="C18" s="516">
        <f>'2.RC'!E15</f>
        <v>20136682</v>
      </c>
      <c r="D18" s="114"/>
      <c r="E18" s="111"/>
    </row>
    <row r="19" spans="1:5" ht="15">
      <c r="A19" s="74">
        <v>8</v>
      </c>
      <c r="B19" s="112" t="s">
        <v>199</v>
      </c>
      <c r="C19" s="516">
        <f>'2.RC'!E16</f>
        <v>15691955</v>
      </c>
      <c r="D19" s="114"/>
      <c r="E19" s="111"/>
    </row>
    <row r="20" spans="1:5" ht="15">
      <c r="A20" s="74">
        <v>9</v>
      </c>
      <c r="B20" s="112" t="s">
        <v>44</v>
      </c>
      <c r="C20" s="516">
        <f>SUM(C22:C25)</f>
        <v>7793239</v>
      </c>
      <c r="D20" s="114"/>
      <c r="E20" s="111"/>
    </row>
    <row r="21" spans="1:5">
      <c r="A21" s="74">
        <v>9.1</v>
      </c>
      <c r="B21" s="118" t="s">
        <v>88</v>
      </c>
      <c r="C21" s="115"/>
      <c r="D21" s="114"/>
      <c r="E21" s="111"/>
    </row>
    <row r="22" spans="1:5" ht="15.75">
      <c r="A22" s="74">
        <v>9.1999999999999993</v>
      </c>
      <c r="B22" s="118" t="s">
        <v>89</v>
      </c>
      <c r="C22" s="115">
        <v>9372300</v>
      </c>
      <c r="D22" s="521"/>
      <c r="E22" s="111"/>
    </row>
    <row r="23" spans="1:5" ht="15.75">
      <c r="A23" s="74">
        <v>9.3000000000000007</v>
      </c>
      <c r="B23" s="118" t="s">
        <v>745</v>
      </c>
      <c r="C23" s="115">
        <v>-1634921</v>
      </c>
      <c r="D23" s="521"/>
      <c r="E23" s="125"/>
    </row>
    <row r="24" spans="1:5" ht="15.75">
      <c r="A24" s="74">
        <v>9.4</v>
      </c>
      <c r="B24" s="118" t="s">
        <v>268</v>
      </c>
      <c r="C24" s="113">
        <v>57000</v>
      </c>
      <c r="D24" s="521"/>
      <c r="E24" s="111"/>
    </row>
    <row r="25" spans="1:5" ht="15.75">
      <c r="A25" s="74">
        <v>9.5</v>
      </c>
      <c r="B25" s="118" t="s">
        <v>746</v>
      </c>
      <c r="C25" s="113">
        <v>-1140</v>
      </c>
      <c r="D25" s="518" t="s">
        <v>734</v>
      </c>
      <c r="E25" s="111"/>
    </row>
    <row r="26" spans="1:5">
      <c r="A26" s="74">
        <v>10</v>
      </c>
      <c r="B26" s="112" t="s">
        <v>45</v>
      </c>
      <c r="C26" s="120">
        <f>'2.RC'!E18</f>
        <v>20363424</v>
      </c>
      <c r="D26" s="114"/>
      <c r="E26" s="111"/>
    </row>
    <row r="27" spans="1:5">
      <c r="A27" s="525">
        <v>10.1</v>
      </c>
      <c r="B27" s="127" t="s">
        <v>90</v>
      </c>
      <c r="C27" s="120">
        <f>'9.Capital'!C15</f>
        <v>3903149</v>
      </c>
      <c r="D27" s="522" t="s">
        <v>92</v>
      </c>
      <c r="E27" s="111"/>
    </row>
    <row r="28" spans="1:5">
      <c r="A28" s="526">
        <v>11</v>
      </c>
      <c r="B28" s="527" t="s">
        <v>46</v>
      </c>
      <c r="C28" s="120">
        <f>'2.RC'!E19-C30-C31</f>
        <v>21153823</v>
      </c>
      <c r="D28" s="121"/>
      <c r="E28" s="111"/>
    </row>
    <row r="29" spans="1:5">
      <c r="A29" s="526">
        <v>11.1</v>
      </c>
      <c r="B29" s="528" t="s">
        <v>747</v>
      </c>
      <c r="C29" s="120">
        <f>'9.Capital'!C20</f>
        <v>0</v>
      </c>
      <c r="D29" s="522" t="s">
        <v>735</v>
      </c>
      <c r="E29" s="111"/>
    </row>
    <row r="30" spans="1:5">
      <c r="A30" s="526">
        <v>11.2</v>
      </c>
      <c r="B30" s="528" t="s">
        <v>740</v>
      </c>
      <c r="C30" s="120">
        <v>0</v>
      </c>
      <c r="D30" s="522" t="s">
        <v>734</v>
      </c>
      <c r="E30" s="111"/>
    </row>
    <row r="31" spans="1:5">
      <c r="A31" s="526">
        <v>11.3</v>
      </c>
      <c r="B31" s="528" t="s">
        <v>748</v>
      </c>
      <c r="C31" s="120">
        <v>-1739723</v>
      </c>
      <c r="D31" s="121"/>
      <c r="E31" s="111"/>
    </row>
    <row r="32" spans="1:5">
      <c r="A32" s="526"/>
      <c r="B32" s="527" t="s">
        <v>749</v>
      </c>
      <c r="C32" s="120">
        <f>SUM(C28,C30:C31)</f>
        <v>19414100</v>
      </c>
      <c r="D32" s="121"/>
      <c r="E32" s="111"/>
    </row>
    <row r="33" spans="1:5">
      <c r="A33" s="74">
        <v>12</v>
      </c>
      <c r="B33" s="122" t="s">
        <v>47</v>
      </c>
      <c r="C33" s="123">
        <f>SUM(C6:C9,C12,C17:C20,C26,C32)</f>
        <v>1223891307</v>
      </c>
      <c r="D33" s="124"/>
      <c r="E33" s="111"/>
    </row>
    <row r="34" spans="1:5" ht="15">
      <c r="A34" s="74">
        <v>13</v>
      </c>
      <c r="B34" s="112" t="s">
        <v>49</v>
      </c>
      <c r="C34" s="126">
        <f>'2.RC'!E22</f>
        <v>162283</v>
      </c>
      <c r="D34" s="124"/>
      <c r="E34" s="125"/>
    </row>
    <row r="35" spans="1:5">
      <c r="A35" s="74">
        <v>14</v>
      </c>
      <c r="B35" s="112" t="s">
        <v>50</v>
      </c>
      <c r="C35" s="113">
        <f>'2.RC'!E23</f>
        <v>317377486</v>
      </c>
      <c r="D35" s="114"/>
      <c r="E35" s="111"/>
    </row>
    <row r="36" spans="1:5">
      <c r="A36" s="74">
        <v>15</v>
      </c>
      <c r="B36" s="112" t="s">
        <v>51</v>
      </c>
      <c r="C36" s="113">
        <f>'2.RC'!E24</f>
        <v>58791108</v>
      </c>
      <c r="D36" s="114"/>
      <c r="E36" s="111"/>
    </row>
    <row r="37" spans="1:5">
      <c r="A37" s="74">
        <v>16</v>
      </c>
      <c r="B37" s="112" t="s">
        <v>52</v>
      </c>
      <c r="C37" s="113">
        <f>'2.RC'!E25</f>
        <v>498156601</v>
      </c>
      <c r="D37" s="114"/>
      <c r="E37" s="111"/>
    </row>
    <row r="38" spans="1:5">
      <c r="A38" s="74">
        <v>17</v>
      </c>
      <c r="B38" s="112" t="s">
        <v>53</v>
      </c>
      <c r="C38" s="113">
        <f>'2.RC'!E26</f>
        <v>0</v>
      </c>
      <c r="D38" s="114"/>
      <c r="E38" s="111"/>
    </row>
    <row r="39" spans="1:5">
      <c r="A39" s="74">
        <v>18</v>
      </c>
      <c r="B39" s="112" t="s">
        <v>54</v>
      </c>
      <c r="C39" s="113">
        <f>'2.RC'!E27</f>
        <v>0</v>
      </c>
      <c r="D39" s="114"/>
      <c r="E39" s="111"/>
    </row>
    <row r="40" spans="1:5">
      <c r="A40" s="74">
        <v>19</v>
      </c>
      <c r="B40" s="112" t="s">
        <v>55</v>
      </c>
      <c r="C40" s="113">
        <f>'2.RC'!E28</f>
        <v>13847323</v>
      </c>
      <c r="D40" s="114"/>
      <c r="E40" s="111"/>
    </row>
    <row r="41" spans="1:5">
      <c r="A41" s="74">
        <v>20</v>
      </c>
      <c r="B41" s="112" t="s">
        <v>56</v>
      </c>
      <c r="C41" s="113">
        <f>'2.RC'!E29</f>
        <v>21607068</v>
      </c>
      <c r="D41" s="114"/>
      <c r="E41" s="111"/>
    </row>
    <row r="42" spans="1:5" ht="15.75">
      <c r="A42" s="74">
        <v>20.100000000000001</v>
      </c>
      <c r="B42" s="529" t="s">
        <v>750</v>
      </c>
      <c r="C42" s="120">
        <v>446299</v>
      </c>
      <c r="D42" s="518" t="s">
        <v>734</v>
      </c>
      <c r="E42" s="125"/>
    </row>
    <row r="43" spans="1:5" ht="15.75">
      <c r="A43" s="74">
        <v>21</v>
      </c>
      <c r="B43" s="119" t="s">
        <v>57</v>
      </c>
      <c r="C43" s="120">
        <f>'2.RC'!E30</f>
        <v>120806400</v>
      </c>
      <c r="D43" s="521"/>
    </row>
    <row r="44" spans="1:5" ht="15.75">
      <c r="A44" s="74">
        <v>21.1</v>
      </c>
      <c r="B44" s="127" t="s">
        <v>91</v>
      </c>
      <c r="C44" s="128">
        <f>C43-'9.Capital'!C33</f>
        <v>37171200</v>
      </c>
      <c r="D44" s="518" t="s">
        <v>736</v>
      </c>
    </row>
    <row r="45" spans="1:5">
      <c r="A45" s="74">
        <v>22</v>
      </c>
      <c r="B45" s="122" t="s">
        <v>58</v>
      </c>
      <c r="C45" s="123">
        <f>SUM(C34:C41,C43)</f>
        <v>1030748269</v>
      </c>
      <c r="D45" s="124"/>
    </row>
    <row r="46" spans="1:5" ht="15.75">
      <c r="A46" s="74">
        <v>23</v>
      </c>
      <c r="B46" s="119" t="s">
        <v>60</v>
      </c>
      <c r="C46" s="113">
        <f>'2.RC'!E33</f>
        <v>114430000</v>
      </c>
      <c r="D46" s="518" t="s">
        <v>737</v>
      </c>
    </row>
    <row r="47" spans="1:5">
      <c r="A47" s="74">
        <v>24</v>
      </c>
      <c r="B47" s="119" t="s">
        <v>61</v>
      </c>
      <c r="C47" s="113">
        <f>'2.RC'!E34</f>
        <v>0</v>
      </c>
      <c r="D47" s="114"/>
    </row>
    <row r="48" spans="1:5">
      <c r="A48" s="74">
        <v>25</v>
      </c>
      <c r="B48" s="119" t="s">
        <v>62</v>
      </c>
      <c r="C48" s="113">
        <f>'2.RC'!E35</f>
        <v>0</v>
      </c>
      <c r="D48" s="114"/>
    </row>
    <row r="49" spans="1:4">
      <c r="A49" s="74">
        <v>26</v>
      </c>
      <c r="B49" s="119" t="s">
        <v>63</v>
      </c>
      <c r="C49" s="113">
        <f>'2.RC'!E36</f>
        <v>0</v>
      </c>
      <c r="D49" s="114"/>
    </row>
    <row r="50" spans="1:4">
      <c r="A50" s="74">
        <v>27</v>
      </c>
      <c r="B50" s="119" t="s">
        <v>64</v>
      </c>
      <c r="C50" s="113">
        <f>'2.RC'!E37</f>
        <v>7438034</v>
      </c>
      <c r="D50" s="114"/>
    </row>
    <row r="51" spans="1:4" ht="15.75">
      <c r="A51" s="74">
        <v>27.1</v>
      </c>
      <c r="B51" s="530" t="s">
        <v>751</v>
      </c>
      <c r="C51" s="516">
        <v>6838034</v>
      </c>
      <c r="D51" s="518" t="s">
        <v>738</v>
      </c>
    </row>
    <row r="52" spans="1:4" ht="15.75">
      <c r="A52" s="74">
        <v>27.2</v>
      </c>
      <c r="B52" s="530" t="s">
        <v>752</v>
      </c>
      <c r="C52" s="516">
        <v>600000</v>
      </c>
      <c r="D52" s="518" t="s">
        <v>738</v>
      </c>
    </row>
    <row r="53" spans="1:4" ht="15.75">
      <c r="A53" s="74">
        <v>28</v>
      </c>
      <c r="B53" s="119" t="s">
        <v>65</v>
      </c>
      <c r="C53" s="113">
        <f>'2.RC'!E38</f>
        <v>71407664</v>
      </c>
      <c r="D53" s="518" t="s">
        <v>739</v>
      </c>
    </row>
    <row r="54" spans="1:4">
      <c r="A54" s="74">
        <v>29</v>
      </c>
      <c r="B54" s="119" t="s">
        <v>66</v>
      </c>
      <c r="C54" s="113">
        <f>'2.RC'!E39</f>
        <v>-132660</v>
      </c>
      <c r="D54" s="114"/>
    </row>
    <row r="55" spans="1:4" ht="15" thickBot="1">
      <c r="A55" s="129">
        <v>30</v>
      </c>
      <c r="B55" s="130" t="s">
        <v>266</v>
      </c>
      <c r="C55" s="131">
        <f>SUM(C46:C50,C53:C54)</f>
        <v>193143038</v>
      </c>
      <c r="D55" s="13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1" ySplit="4" topLeftCell="G5"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1" bestFit="1" customWidth="1"/>
    <col min="17" max="17" width="14.7109375" style="31" customWidth="1"/>
    <col min="18" max="18" width="13" style="31" bestFit="1" customWidth="1"/>
    <col min="19" max="19" width="34.7109375" style="31" customWidth="1"/>
    <col min="20" max="16384" width="9.28515625" style="31"/>
  </cols>
  <sheetData>
    <row r="1" spans="1:19">
      <c r="A1" s="2" t="s">
        <v>30</v>
      </c>
      <c r="B1" s="3" t="str">
        <f>'Info '!C2</f>
        <v>JSC CARTU BANK</v>
      </c>
    </row>
    <row r="2" spans="1:19">
      <c r="A2" s="2" t="s">
        <v>31</v>
      </c>
      <c r="B2" s="370">
        <f>'1. key ratios '!B2</f>
        <v>44561</v>
      </c>
    </row>
    <row r="4" spans="1:19" ht="26.25" thickBot="1">
      <c r="A4" s="4" t="s">
        <v>249</v>
      </c>
      <c r="B4" s="258" t="s">
        <v>375</v>
      </c>
    </row>
    <row r="5" spans="1:19" s="250" customFormat="1">
      <c r="A5" s="245"/>
      <c r="B5" s="246"/>
      <c r="C5" s="247" t="s">
        <v>0</v>
      </c>
      <c r="D5" s="247" t="s">
        <v>1</v>
      </c>
      <c r="E5" s="247" t="s">
        <v>2</v>
      </c>
      <c r="F5" s="247" t="s">
        <v>3</v>
      </c>
      <c r="G5" s="247" t="s">
        <v>4</v>
      </c>
      <c r="H5" s="247" t="s">
        <v>5</v>
      </c>
      <c r="I5" s="247" t="s">
        <v>8</v>
      </c>
      <c r="J5" s="247" t="s">
        <v>9</v>
      </c>
      <c r="K5" s="247" t="s">
        <v>10</v>
      </c>
      <c r="L5" s="247" t="s">
        <v>11</v>
      </c>
      <c r="M5" s="247" t="s">
        <v>12</v>
      </c>
      <c r="N5" s="247" t="s">
        <v>13</v>
      </c>
      <c r="O5" s="247" t="s">
        <v>358</v>
      </c>
      <c r="P5" s="247" t="s">
        <v>359</v>
      </c>
      <c r="Q5" s="247" t="s">
        <v>360</v>
      </c>
      <c r="R5" s="248" t="s">
        <v>361</v>
      </c>
      <c r="S5" s="249" t="s">
        <v>362</v>
      </c>
    </row>
    <row r="6" spans="1:19" s="250" customFormat="1" ht="99" customHeight="1">
      <c r="A6" s="251"/>
      <c r="B6" s="662" t="s">
        <v>363</v>
      </c>
      <c r="C6" s="658">
        <v>0</v>
      </c>
      <c r="D6" s="659"/>
      <c r="E6" s="658">
        <v>0.2</v>
      </c>
      <c r="F6" s="659"/>
      <c r="G6" s="658">
        <v>0.35</v>
      </c>
      <c r="H6" s="659"/>
      <c r="I6" s="658">
        <v>0.5</v>
      </c>
      <c r="J6" s="659"/>
      <c r="K6" s="658">
        <v>0.75</v>
      </c>
      <c r="L6" s="659"/>
      <c r="M6" s="658">
        <v>1</v>
      </c>
      <c r="N6" s="659"/>
      <c r="O6" s="658">
        <v>1.5</v>
      </c>
      <c r="P6" s="659"/>
      <c r="Q6" s="658">
        <v>2.5</v>
      </c>
      <c r="R6" s="659"/>
      <c r="S6" s="660" t="s">
        <v>248</v>
      </c>
    </row>
    <row r="7" spans="1:19" s="250" customFormat="1" ht="30.75" customHeight="1">
      <c r="A7" s="251"/>
      <c r="B7" s="663"/>
      <c r="C7" s="241" t="s">
        <v>251</v>
      </c>
      <c r="D7" s="241" t="s">
        <v>250</v>
      </c>
      <c r="E7" s="241" t="s">
        <v>251</v>
      </c>
      <c r="F7" s="241" t="s">
        <v>250</v>
      </c>
      <c r="G7" s="241" t="s">
        <v>251</v>
      </c>
      <c r="H7" s="241" t="s">
        <v>250</v>
      </c>
      <c r="I7" s="241" t="s">
        <v>251</v>
      </c>
      <c r="J7" s="241" t="s">
        <v>250</v>
      </c>
      <c r="K7" s="241" t="s">
        <v>251</v>
      </c>
      <c r="L7" s="241" t="s">
        <v>250</v>
      </c>
      <c r="M7" s="241" t="s">
        <v>251</v>
      </c>
      <c r="N7" s="241" t="s">
        <v>250</v>
      </c>
      <c r="O7" s="241" t="s">
        <v>251</v>
      </c>
      <c r="P7" s="241" t="s">
        <v>250</v>
      </c>
      <c r="Q7" s="241" t="s">
        <v>251</v>
      </c>
      <c r="R7" s="241" t="s">
        <v>250</v>
      </c>
      <c r="S7" s="661"/>
    </row>
    <row r="8" spans="1:19">
      <c r="A8" s="133">
        <v>1</v>
      </c>
      <c r="B8" s="1" t="s">
        <v>96</v>
      </c>
      <c r="C8" s="531">
        <v>34333606</v>
      </c>
      <c r="D8" s="531"/>
      <c r="E8" s="531"/>
      <c r="F8" s="532"/>
      <c r="G8" s="531"/>
      <c r="H8" s="531"/>
      <c r="I8" s="531"/>
      <c r="J8" s="531"/>
      <c r="K8" s="531"/>
      <c r="L8" s="531"/>
      <c r="M8" s="531">
        <v>202242638</v>
      </c>
      <c r="N8" s="531"/>
      <c r="O8" s="531"/>
      <c r="P8" s="531"/>
      <c r="Q8" s="531"/>
      <c r="R8" s="532"/>
      <c r="S8" s="533">
        <f>$C$6*SUM(C8:D8)+$E$6*SUM(E8:F8)+$G$6*SUM(G8:H8)+$I$6*SUM(I8:J8)+$K$6*SUM(K8:L8)+$M$6*SUM(M8:N8)+$O$6*SUM(O8:P8)+$Q$6*SUM(Q8:R8)</f>
        <v>202242638</v>
      </c>
    </row>
    <row r="9" spans="1:19">
      <c r="A9" s="133">
        <v>2</v>
      </c>
      <c r="B9" s="1" t="s">
        <v>97</v>
      </c>
      <c r="C9" s="531"/>
      <c r="D9" s="531"/>
      <c r="E9" s="531"/>
      <c r="F9" s="531"/>
      <c r="G9" s="531"/>
      <c r="H9" s="531"/>
      <c r="I9" s="531"/>
      <c r="J9" s="531"/>
      <c r="K9" s="531"/>
      <c r="L9" s="531"/>
      <c r="M9" s="531">
        <v>0</v>
      </c>
      <c r="N9" s="531"/>
      <c r="O9" s="531"/>
      <c r="P9" s="531"/>
      <c r="Q9" s="531"/>
      <c r="R9" s="532"/>
      <c r="S9" s="533">
        <f t="shared" ref="S9:S21" si="0">$C$6*SUM(C9:D9)+$E$6*SUM(E9:F9)+$G$6*SUM(G9:H9)+$I$6*SUM(I9:J9)+$K$6*SUM(K9:L9)+$M$6*SUM(M9:N9)+$O$6*SUM(O9:P9)+$Q$6*SUM(Q9:R9)</f>
        <v>0</v>
      </c>
    </row>
    <row r="10" spans="1:19">
      <c r="A10" s="133">
        <v>3</v>
      </c>
      <c r="B10" s="1" t="s">
        <v>269</v>
      </c>
      <c r="C10" s="531"/>
      <c r="D10" s="531"/>
      <c r="E10" s="531"/>
      <c r="F10" s="531"/>
      <c r="G10" s="531"/>
      <c r="H10" s="531"/>
      <c r="I10" s="531"/>
      <c r="J10" s="531"/>
      <c r="K10" s="531"/>
      <c r="L10" s="531"/>
      <c r="M10" s="531">
        <v>0</v>
      </c>
      <c r="N10" s="531"/>
      <c r="O10" s="531"/>
      <c r="P10" s="531"/>
      <c r="Q10" s="531"/>
      <c r="R10" s="532"/>
      <c r="S10" s="533">
        <f t="shared" si="0"/>
        <v>0</v>
      </c>
    </row>
    <row r="11" spans="1:19">
      <c r="A11" s="133">
        <v>4</v>
      </c>
      <c r="B11" s="1" t="s">
        <v>98</v>
      </c>
      <c r="C11" s="531"/>
      <c r="D11" s="531"/>
      <c r="E11" s="531"/>
      <c r="F11" s="531"/>
      <c r="G11" s="531"/>
      <c r="H11" s="531"/>
      <c r="I11" s="531"/>
      <c r="J11" s="531"/>
      <c r="K11" s="531"/>
      <c r="L11" s="531"/>
      <c r="M11" s="531">
        <v>0</v>
      </c>
      <c r="N11" s="531"/>
      <c r="O11" s="531"/>
      <c r="P11" s="531"/>
      <c r="Q11" s="531"/>
      <c r="R11" s="532"/>
      <c r="S11" s="533">
        <f t="shared" si="0"/>
        <v>0</v>
      </c>
    </row>
    <row r="12" spans="1:19">
      <c r="A12" s="133">
        <v>5</v>
      </c>
      <c r="B12" s="1" t="s">
        <v>99</v>
      </c>
      <c r="C12" s="531"/>
      <c r="D12" s="531"/>
      <c r="E12" s="531"/>
      <c r="F12" s="531"/>
      <c r="G12" s="531"/>
      <c r="H12" s="531"/>
      <c r="I12" s="531"/>
      <c r="J12" s="531"/>
      <c r="K12" s="531"/>
      <c r="L12" s="531"/>
      <c r="M12" s="531">
        <v>0</v>
      </c>
      <c r="N12" s="531"/>
      <c r="O12" s="531"/>
      <c r="P12" s="531"/>
      <c r="Q12" s="531"/>
      <c r="R12" s="532"/>
      <c r="S12" s="533">
        <f t="shared" si="0"/>
        <v>0</v>
      </c>
    </row>
    <row r="13" spans="1:19">
      <c r="A13" s="133">
        <v>6</v>
      </c>
      <c r="B13" s="1" t="s">
        <v>100</v>
      </c>
      <c r="C13" s="531">
        <v>0</v>
      </c>
      <c r="D13" s="531"/>
      <c r="E13" s="531">
        <v>22143110.460000001</v>
      </c>
      <c r="F13" s="531"/>
      <c r="G13" s="531"/>
      <c r="H13" s="531"/>
      <c r="I13" s="531">
        <v>31649213.75999999</v>
      </c>
      <c r="J13" s="531"/>
      <c r="K13" s="531"/>
      <c r="L13" s="531"/>
      <c r="M13" s="531">
        <v>149991.78000000864</v>
      </c>
      <c r="N13" s="531"/>
      <c r="O13" s="531">
        <v>0</v>
      </c>
      <c r="P13" s="531"/>
      <c r="Q13" s="531"/>
      <c r="R13" s="532"/>
      <c r="S13" s="533">
        <f t="shared" si="0"/>
        <v>20403220.752000004</v>
      </c>
    </row>
    <row r="14" spans="1:19">
      <c r="A14" s="133">
        <v>7</v>
      </c>
      <c r="B14" s="1" t="s">
        <v>101</v>
      </c>
      <c r="C14" s="531"/>
      <c r="D14" s="531"/>
      <c r="E14" s="531"/>
      <c r="F14" s="531"/>
      <c r="G14" s="531"/>
      <c r="H14" s="531"/>
      <c r="I14" s="531"/>
      <c r="J14" s="531"/>
      <c r="K14" s="531"/>
      <c r="L14" s="531"/>
      <c r="M14" s="531">
        <v>725846273.51024318</v>
      </c>
      <c r="N14" s="531">
        <v>33068063.937791999</v>
      </c>
      <c r="O14" s="531">
        <v>0</v>
      </c>
      <c r="P14" s="531"/>
      <c r="Q14" s="531">
        <v>0</v>
      </c>
      <c r="R14" s="532">
        <v>0</v>
      </c>
      <c r="S14" s="533">
        <f t="shared" si="0"/>
        <v>758914337.44803512</v>
      </c>
    </row>
    <row r="15" spans="1:19">
      <c r="A15" s="133">
        <v>8</v>
      </c>
      <c r="B15" s="1" t="s">
        <v>102</v>
      </c>
      <c r="C15" s="531"/>
      <c r="D15" s="531"/>
      <c r="E15" s="531"/>
      <c r="F15" s="531"/>
      <c r="G15" s="531"/>
      <c r="H15" s="531"/>
      <c r="I15" s="531"/>
      <c r="J15" s="531"/>
      <c r="K15" s="531"/>
      <c r="L15" s="531"/>
      <c r="M15" s="531"/>
      <c r="N15" s="531"/>
      <c r="O15" s="531"/>
      <c r="P15" s="531"/>
      <c r="Q15" s="531"/>
      <c r="R15" s="532"/>
      <c r="S15" s="533">
        <f t="shared" si="0"/>
        <v>0</v>
      </c>
    </row>
    <row r="16" spans="1:19">
      <c r="A16" s="133">
        <v>9</v>
      </c>
      <c r="B16" s="1" t="s">
        <v>103</v>
      </c>
      <c r="C16" s="531"/>
      <c r="D16" s="531"/>
      <c r="E16" s="531"/>
      <c r="F16" s="531"/>
      <c r="G16" s="531"/>
      <c r="H16" s="531"/>
      <c r="I16" s="531"/>
      <c r="J16" s="531"/>
      <c r="K16" s="531"/>
      <c r="L16" s="531"/>
      <c r="M16" s="531">
        <v>0</v>
      </c>
      <c r="N16" s="531"/>
      <c r="O16" s="531"/>
      <c r="P16" s="531"/>
      <c r="Q16" s="531"/>
      <c r="R16" s="532"/>
      <c r="S16" s="533">
        <f t="shared" si="0"/>
        <v>0</v>
      </c>
    </row>
    <row r="17" spans="1:19">
      <c r="A17" s="133">
        <v>10</v>
      </c>
      <c r="B17" s="1" t="s">
        <v>104</v>
      </c>
      <c r="C17" s="531"/>
      <c r="D17" s="531"/>
      <c r="E17" s="531"/>
      <c r="F17" s="531"/>
      <c r="G17" s="531"/>
      <c r="H17" s="531"/>
      <c r="I17" s="531"/>
      <c r="J17" s="531"/>
      <c r="K17" s="531"/>
      <c r="L17" s="531"/>
      <c r="M17" s="531">
        <v>105427669.17196693</v>
      </c>
      <c r="N17" s="531">
        <v>207760.01000000536</v>
      </c>
      <c r="O17" s="531">
        <v>0</v>
      </c>
      <c r="P17" s="531"/>
      <c r="Q17" s="531">
        <v>0</v>
      </c>
      <c r="R17" s="532"/>
      <c r="S17" s="533">
        <f t="shared" si="0"/>
        <v>105635429.18196693</v>
      </c>
    </row>
    <row r="18" spans="1:19">
      <c r="A18" s="133">
        <v>11</v>
      </c>
      <c r="B18" s="1" t="s">
        <v>105</v>
      </c>
      <c r="C18" s="531"/>
      <c r="D18" s="531"/>
      <c r="E18" s="531"/>
      <c r="F18" s="531"/>
      <c r="G18" s="531"/>
      <c r="H18" s="531"/>
      <c r="I18" s="531"/>
      <c r="J18" s="531"/>
      <c r="K18" s="531"/>
      <c r="L18" s="531"/>
      <c r="M18" s="531">
        <v>0</v>
      </c>
      <c r="N18" s="531"/>
      <c r="O18" s="531"/>
      <c r="P18" s="531"/>
      <c r="Q18" s="531"/>
      <c r="R18" s="532"/>
      <c r="S18" s="533">
        <f t="shared" si="0"/>
        <v>0</v>
      </c>
    </row>
    <row r="19" spans="1:19">
      <c r="A19" s="133">
        <v>12</v>
      </c>
      <c r="B19" s="1" t="s">
        <v>106</v>
      </c>
      <c r="C19" s="531"/>
      <c r="D19" s="531"/>
      <c r="E19" s="531"/>
      <c r="F19" s="531"/>
      <c r="G19" s="531"/>
      <c r="H19" s="531"/>
      <c r="I19" s="531"/>
      <c r="J19" s="531"/>
      <c r="K19" s="531"/>
      <c r="L19" s="531"/>
      <c r="M19" s="531">
        <v>0</v>
      </c>
      <c r="N19" s="531"/>
      <c r="O19" s="531"/>
      <c r="P19" s="531"/>
      <c r="Q19" s="531"/>
      <c r="R19" s="532"/>
      <c r="S19" s="533">
        <f t="shared" si="0"/>
        <v>0</v>
      </c>
    </row>
    <row r="20" spans="1:19">
      <c r="A20" s="133">
        <v>13</v>
      </c>
      <c r="B20" s="1" t="s">
        <v>247</v>
      </c>
      <c r="C20" s="531"/>
      <c r="D20" s="531"/>
      <c r="E20" s="531"/>
      <c r="F20" s="531"/>
      <c r="G20" s="531"/>
      <c r="H20" s="531"/>
      <c r="I20" s="531"/>
      <c r="J20" s="531"/>
      <c r="K20" s="531"/>
      <c r="L20" s="531"/>
      <c r="M20" s="531">
        <v>0</v>
      </c>
      <c r="N20" s="531"/>
      <c r="O20" s="531"/>
      <c r="P20" s="531"/>
      <c r="Q20" s="531"/>
      <c r="R20" s="532"/>
      <c r="S20" s="533">
        <f t="shared" si="0"/>
        <v>0</v>
      </c>
    </row>
    <row r="21" spans="1:19">
      <c r="A21" s="133">
        <v>14</v>
      </c>
      <c r="B21" s="1" t="s">
        <v>108</v>
      </c>
      <c r="C21" s="531">
        <v>29881416</v>
      </c>
      <c r="D21" s="531"/>
      <c r="E21" s="531">
        <v>0</v>
      </c>
      <c r="F21" s="531"/>
      <c r="G21" s="531"/>
      <c r="H21" s="531">
        <v>0</v>
      </c>
      <c r="I21" s="531">
        <v>0</v>
      </c>
      <c r="J21" s="531"/>
      <c r="K21" s="531"/>
      <c r="L21" s="531"/>
      <c r="M21" s="531">
        <v>64190842.462004989</v>
      </c>
      <c r="N21" s="531">
        <v>1352359.6899499914</v>
      </c>
      <c r="O21" s="531">
        <v>0</v>
      </c>
      <c r="P21" s="531"/>
      <c r="Q21" s="531">
        <v>16161063</v>
      </c>
      <c r="R21" s="532"/>
      <c r="S21" s="533">
        <f t="shared" si="0"/>
        <v>105945859.65195498</v>
      </c>
    </row>
    <row r="22" spans="1:19" ht="13.5" thickBot="1">
      <c r="A22" s="134"/>
      <c r="B22" s="135" t="s">
        <v>109</v>
      </c>
      <c r="C22" s="136">
        <f>SUM(C8:C21)</f>
        <v>64215022</v>
      </c>
      <c r="D22" s="136">
        <f t="shared" ref="D22:S22" si="1">SUM(D8:D21)</f>
        <v>0</v>
      </c>
      <c r="E22" s="136">
        <f t="shared" si="1"/>
        <v>22143110.460000001</v>
      </c>
      <c r="F22" s="136">
        <f t="shared" si="1"/>
        <v>0</v>
      </c>
      <c r="G22" s="136">
        <f t="shared" si="1"/>
        <v>0</v>
      </c>
      <c r="H22" s="136">
        <f t="shared" si="1"/>
        <v>0</v>
      </c>
      <c r="I22" s="136">
        <f t="shared" si="1"/>
        <v>31649213.75999999</v>
      </c>
      <c r="J22" s="136">
        <f t="shared" si="1"/>
        <v>0</v>
      </c>
      <c r="K22" s="136">
        <f t="shared" si="1"/>
        <v>0</v>
      </c>
      <c r="L22" s="136">
        <f t="shared" si="1"/>
        <v>0</v>
      </c>
      <c r="M22" s="136">
        <f t="shared" si="1"/>
        <v>1097857414.9242151</v>
      </c>
      <c r="N22" s="136">
        <f t="shared" si="1"/>
        <v>34628183.637741998</v>
      </c>
      <c r="O22" s="136">
        <f t="shared" si="1"/>
        <v>0</v>
      </c>
      <c r="P22" s="136">
        <f t="shared" si="1"/>
        <v>0</v>
      </c>
      <c r="Q22" s="136">
        <f t="shared" si="1"/>
        <v>16161063</v>
      </c>
      <c r="R22" s="136">
        <f t="shared" si="1"/>
        <v>0</v>
      </c>
      <c r="S22" s="259">
        <f t="shared" si="1"/>
        <v>1193141485.033957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R7"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1"/>
  </cols>
  <sheetData>
    <row r="1" spans="1:22">
      <c r="A1" s="2" t="s">
        <v>30</v>
      </c>
      <c r="B1" s="3" t="str">
        <f>'Info '!C2</f>
        <v>JSC CARTU BANK</v>
      </c>
    </row>
    <row r="2" spans="1:22">
      <c r="A2" s="2" t="s">
        <v>31</v>
      </c>
      <c r="B2" s="370">
        <f>'1. key ratios '!B2</f>
        <v>44561</v>
      </c>
    </row>
    <row r="4" spans="1:22" ht="13.5" thickBot="1">
      <c r="A4" s="4" t="s">
        <v>366</v>
      </c>
      <c r="B4" s="137" t="s">
        <v>95</v>
      </c>
      <c r="V4" s="32" t="s">
        <v>73</v>
      </c>
    </row>
    <row r="5" spans="1:22" ht="12.75" customHeight="1">
      <c r="A5" s="138"/>
      <c r="B5" s="139"/>
      <c r="C5" s="664" t="s">
        <v>277</v>
      </c>
      <c r="D5" s="665"/>
      <c r="E5" s="665"/>
      <c r="F5" s="665"/>
      <c r="G5" s="665"/>
      <c r="H5" s="665"/>
      <c r="I5" s="665"/>
      <c r="J5" s="665"/>
      <c r="K5" s="665"/>
      <c r="L5" s="666"/>
      <c r="M5" s="667" t="s">
        <v>278</v>
      </c>
      <c r="N5" s="668"/>
      <c r="O5" s="668"/>
      <c r="P5" s="668"/>
      <c r="Q5" s="668"/>
      <c r="R5" s="668"/>
      <c r="S5" s="669"/>
      <c r="T5" s="672" t="s">
        <v>364</v>
      </c>
      <c r="U5" s="672" t="s">
        <v>365</v>
      </c>
      <c r="V5" s="670" t="s">
        <v>121</v>
      </c>
    </row>
    <row r="6" spans="1:22" s="79" customFormat="1" ht="102">
      <c r="A6" s="77"/>
      <c r="B6" s="140"/>
      <c r="C6" s="141" t="s">
        <v>110</v>
      </c>
      <c r="D6" s="220" t="s">
        <v>111</v>
      </c>
      <c r="E6" s="164" t="s">
        <v>280</v>
      </c>
      <c r="F6" s="164" t="s">
        <v>281</v>
      </c>
      <c r="G6" s="220" t="s">
        <v>284</v>
      </c>
      <c r="H6" s="220" t="s">
        <v>279</v>
      </c>
      <c r="I6" s="220" t="s">
        <v>112</v>
      </c>
      <c r="J6" s="220" t="s">
        <v>113</v>
      </c>
      <c r="K6" s="142" t="s">
        <v>114</v>
      </c>
      <c r="L6" s="143" t="s">
        <v>115</v>
      </c>
      <c r="M6" s="141" t="s">
        <v>282</v>
      </c>
      <c r="N6" s="142" t="s">
        <v>116</v>
      </c>
      <c r="O6" s="142" t="s">
        <v>117</v>
      </c>
      <c r="P6" s="142" t="s">
        <v>118</v>
      </c>
      <c r="Q6" s="142" t="s">
        <v>119</v>
      </c>
      <c r="R6" s="142" t="s">
        <v>120</v>
      </c>
      <c r="S6" s="243" t="s">
        <v>283</v>
      </c>
      <c r="T6" s="673"/>
      <c r="U6" s="673"/>
      <c r="V6" s="671"/>
    </row>
    <row r="7" spans="1:22">
      <c r="A7" s="144">
        <v>1</v>
      </c>
      <c r="B7" s="1" t="s">
        <v>96</v>
      </c>
      <c r="C7" s="538"/>
      <c r="D7" s="531"/>
      <c r="E7" s="531"/>
      <c r="F7" s="531"/>
      <c r="G7" s="531"/>
      <c r="H7" s="531"/>
      <c r="I7" s="531"/>
      <c r="J7" s="531"/>
      <c r="K7" s="531"/>
      <c r="L7" s="534"/>
      <c r="M7" s="538"/>
      <c r="N7" s="531"/>
      <c r="O7" s="531"/>
      <c r="P7" s="531"/>
      <c r="Q7" s="531"/>
      <c r="R7" s="531"/>
      <c r="S7" s="534"/>
      <c r="T7" s="535"/>
      <c r="U7" s="536"/>
      <c r="V7" s="537">
        <f>SUM(C7:S7)</f>
        <v>0</v>
      </c>
    </row>
    <row r="8" spans="1:22">
      <c r="A8" s="144">
        <v>2</v>
      </c>
      <c r="B8" s="1" t="s">
        <v>97</v>
      </c>
      <c r="C8" s="538"/>
      <c r="D8" s="531"/>
      <c r="E8" s="531"/>
      <c r="F8" s="531"/>
      <c r="G8" s="531"/>
      <c r="H8" s="531"/>
      <c r="I8" s="531"/>
      <c r="J8" s="531"/>
      <c r="K8" s="531"/>
      <c r="L8" s="534"/>
      <c r="M8" s="538"/>
      <c r="N8" s="531"/>
      <c r="O8" s="531"/>
      <c r="P8" s="531"/>
      <c r="Q8" s="531"/>
      <c r="R8" s="531"/>
      <c r="S8" s="534"/>
      <c r="T8" s="536"/>
      <c r="U8" s="536"/>
      <c r="V8" s="537">
        <f t="shared" ref="V8:V20" si="0">SUM(C8:S8)</f>
        <v>0</v>
      </c>
    </row>
    <row r="9" spans="1:22">
      <c r="A9" s="144">
        <v>3</v>
      </c>
      <c r="B9" s="1" t="s">
        <v>270</v>
      </c>
      <c r="C9" s="538"/>
      <c r="D9" s="531"/>
      <c r="E9" s="531"/>
      <c r="F9" s="531"/>
      <c r="G9" s="531"/>
      <c r="H9" s="531"/>
      <c r="I9" s="531"/>
      <c r="J9" s="531"/>
      <c r="K9" s="531"/>
      <c r="L9" s="534"/>
      <c r="M9" s="538"/>
      <c r="N9" s="531"/>
      <c r="O9" s="531"/>
      <c r="P9" s="531"/>
      <c r="Q9" s="531"/>
      <c r="R9" s="531"/>
      <c r="S9" s="534"/>
      <c r="T9" s="536"/>
      <c r="U9" s="536"/>
      <c r="V9" s="537">
        <f t="shared" si="0"/>
        <v>0</v>
      </c>
    </row>
    <row r="10" spans="1:22">
      <c r="A10" s="144">
        <v>4</v>
      </c>
      <c r="B10" s="1" t="s">
        <v>98</v>
      </c>
      <c r="C10" s="538"/>
      <c r="D10" s="531"/>
      <c r="E10" s="531"/>
      <c r="F10" s="531"/>
      <c r="G10" s="531"/>
      <c r="H10" s="531"/>
      <c r="I10" s="531"/>
      <c r="J10" s="531"/>
      <c r="K10" s="531"/>
      <c r="L10" s="534"/>
      <c r="M10" s="538"/>
      <c r="N10" s="531"/>
      <c r="O10" s="531"/>
      <c r="P10" s="531"/>
      <c r="Q10" s="531"/>
      <c r="R10" s="531"/>
      <c r="S10" s="534"/>
      <c r="T10" s="536"/>
      <c r="U10" s="536"/>
      <c r="V10" s="537">
        <f t="shared" si="0"/>
        <v>0</v>
      </c>
    </row>
    <row r="11" spans="1:22">
      <c r="A11" s="144">
        <v>5</v>
      </c>
      <c r="B11" s="1" t="s">
        <v>99</v>
      </c>
      <c r="C11" s="538"/>
      <c r="D11" s="531"/>
      <c r="E11" s="531"/>
      <c r="F11" s="531"/>
      <c r="G11" s="531"/>
      <c r="H11" s="531"/>
      <c r="I11" s="531"/>
      <c r="J11" s="531"/>
      <c r="K11" s="531"/>
      <c r="L11" s="534"/>
      <c r="M11" s="538"/>
      <c r="N11" s="531"/>
      <c r="O11" s="531"/>
      <c r="P11" s="531"/>
      <c r="Q11" s="531"/>
      <c r="R11" s="531"/>
      <c r="S11" s="534"/>
      <c r="T11" s="536"/>
      <c r="U11" s="536"/>
      <c r="V11" s="537">
        <f t="shared" si="0"/>
        <v>0</v>
      </c>
    </row>
    <row r="12" spans="1:22">
      <c r="A12" s="144">
        <v>6</v>
      </c>
      <c r="B12" s="1" t="s">
        <v>100</v>
      </c>
      <c r="C12" s="538"/>
      <c r="D12" s="531"/>
      <c r="E12" s="531"/>
      <c r="F12" s="531"/>
      <c r="G12" s="531"/>
      <c r="H12" s="531"/>
      <c r="I12" s="531"/>
      <c r="J12" s="531"/>
      <c r="K12" s="531"/>
      <c r="L12" s="534"/>
      <c r="M12" s="538"/>
      <c r="N12" s="531"/>
      <c r="O12" s="531"/>
      <c r="P12" s="531"/>
      <c r="Q12" s="531"/>
      <c r="R12" s="531"/>
      <c r="S12" s="534"/>
      <c r="T12" s="536"/>
      <c r="U12" s="536"/>
      <c r="V12" s="537">
        <f t="shared" si="0"/>
        <v>0</v>
      </c>
    </row>
    <row r="13" spans="1:22">
      <c r="A13" s="144">
        <v>7</v>
      </c>
      <c r="B13" s="1" t="s">
        <v>101</v>
      </c>
      <c r="C13" s="538"/>
      <c r="D13" s="531">
        <v>31398082.112942714</v>
      </c>
      <c r="E13" s="531"/>
      <c r="F13" s="531"/>
      <c r="G13" s="531"/>
      <c r="H13" s="531"/>
      <c r="I13" s="531"/>
      <c r="J13" s="531"/>
      <c r="K13" s="531"/>
      <c r="L13" s="534"/>
      <c r="M13" s="538"/>
      <c r="N13" s="531"/>
      <c r="O13" s="531"/>
      <c r="P13" s="531"/>
      <c r="Q13" s="531"/>
      <c r="R13" s="531"/>
      <c r="S13" s="534"/>
      <c r="T13" s="536">
        <v>29231509.063901875</v>
      </c>
      <c r="U13" s="536">
        <v>2166573.04904084</v>
      </c>
      <c r="V13" s="537">
        <f t="shared" si="0"/>
        <v>31398082.112942714</v>
      </c>
    </row>
    <row r="14" spans="1:22">
      <c r="A14" s="144">
        <v>8</v>
      </c>
      <c r="B14" s="1" t="s">
        <v>102</v>
      </c>
      <c r="C14" s="538"/>
      <c r="D14" s="531"/>
      <c r="E14" s="531"/>
      <c r="F14" s="531"/>
      <c r="G14" s="531"/>
      <c r="H14" s="531"/>
      <c r="I14" s="531"/>
      <c r="J14" s="531"/>
      <c r="K14" s="531"/>
      <c r="L14" s="534"/>
      <c r="M14" s="538"/>
      <c r="N14" s="531"/>
      <c r="O14" s="531"/>
      <c r="P14" s="531"/>
      <c r="Q14" s="531"/>
      <c r="R14" s="531"/>
      <c r="S14" s="534"/>
      <c r="T14" s="536"/>
      <c r="U14" s="536"/>
      <c r="V14" s="537">
        <f t="shared" si="0"/>
        <v>0</v>
      </c>
    </row>
    <row r="15" spans="1:22">
      <c r="A15" s="144">
        <v>9</v>
      </c>
      <c r="B15" s="1" t="s">
        <v>103</v>
      </c>
      <c r="C15" s="538"/>
      <c r="D15" s="531"/>
      <c r="E15" s="531"/>
      <c r="F15" s="531"/>
      <c r="G15" s="531"/>
      <c r="H15" s="531"/>
      <c r="I15" s="531"/>
      <c r="J15" s="531"/>
      <c r="K15" s="531"/>
      <c r="L15" s="534"/>
      <c r="M15" s="538"/>
      <c r="N15" s="531"/>
      <c r="O15" s="531"/>
      <c r="P15" s="531"/>
      <c r="Q15" s="531"/>
      <c r="R15" s="531"/>
      <c r="S15" s="534"/>
      <c r="T15" s="536"/>
      <c r="U15" s="536"/>
      <c r="V15" s="537">
        <f t="shared" si="0"/>
        <v>0</v>
      </c>
    </row>
    <row r="16" spans="1:22">
      <c r="A16" s="144">
        <v>10</v>
      </c>
      <c r="B16" s="1" t="s">
        <v>104</v>
      </c>
      <c r="C16" s="538"/>
      <c r="D16" s="531">
        <v>24967.840096383668</v>
      </c>
      <c r="E16" s="531"/>
      <c r="F16" s="531"/>
      <c r="G16" s="531"/>
      <c r="H16" s="531"/>
      <c r="I16" s="531"/>
      <c r="J16" s="531"/>
      <c r="K16" s="531"/>
      <c r="L16" s="534"/>
      <c r="M16" s="538"/>
      <c r="N16" s="531"/>
      <c r="O16" s="531"/>
      <c r="P16" s="531"/>
      <c r="Q16" s="531"/>
      <c r="R16" s="531"/>
      <c r="S16" s="534"/>
      <c r="T16" s="536">
        <v>24598.137275114233</v>
      </c>
      <c r="U16" s="536">
        <v>369.70282126943619</v>
      </c>
      <c r="V16" s="537">
        <f t="shared" si="0"/>
        <v>24967.840096383668</v>
      </c>
    </row>
    <row r="17" spans="1:22">
      <c r="A17" s="144">
        <v>11</v>
      </c>
      <c r="B17" s="1" t="s">
        <v>105</v>
      </c>
      <c r="C17" s="538"/>
      <c r="D17" s="531"/>
      <c r="E17" s="531"/>
      <c r="F17" s="531"/>
      <c r="G17" s="531"/>
      <c r="H17" s="531"/>
      <c r="I17" s="531"/>
      <c r="J17" s="531"/>
      <c r="K17" s="531"/>
      <c r="L17" s="534"/>
      <c r="M17" s="538"/>
      <c r="N17" s="531"/>
      <c r="O17" s="531"/>
      <c r="P17" s="531"/>
      <c r="Q17" s="531"/>
      <c r="R17" s="531"/>
      <c r="S17" s="534"/>
      <c r="T17" s="536"/>
      <c r="U17" s="536"/>
      <c r="V17" s="537">
        <f t="shared" si="0"/>
        <v>0</v>
      </c>
    </row>
    <row r="18" spans="1:22">
      <c r="A18" s="144">
        <v>12</v>
      </c>
      <c r="B18" s="1" t="s">
        <v>106</v>
      </c>
      <c r="C18" s="538"/>
      <c r="D18" s="531"/>
      <c r="E18" s="531"/>
      <c r="F18" s="531"/>
      <c r="G18" s="531"/>
      <c r="H18" s="531"/>
      <c r="I18" s="531"/>
      <c r="J18" s="531"/>
      <c r="K18" s="531"/>
      <c r="L18" s="534"/>
      <c r="M18" s="538"/>
      <c r="N18" s="531"/>
      <c r="O18" s="531"/>
      <c r="P18" s="531"/>
      <c r="Q18" s="531"/>
      <c r="R18" s="531"/>
      <c r="S18" s="534"/>
      <c r="T18" s="536"/>
      <c r="U18" s="536"/>
      <c r="V18" s="537">
        <f t="shared" si="0"/>
        <v>0</v>
      </c>
    </row>
    <row r="19" spans="1:22">
      <c r="A19" s="144">
        <v>13</v>
      </c>
      <c r="B19" s="1" t="s">
        <v>107</v>
      </c>
      <c r="C19" s="538"/>
      <c r="D19" s="531"/>
      <c r="E19" s="531"/>
      <c r="F19" s="531"/>
      <c r="G19" s="531"/>
      <c r="H19" s="531"/>
      <c r="I19" s="531"/>
      <c r="J19" s="531"/>
      <c r="K19" s="531"/>
      <c r="L19" s="534"/>
      <c r="M19" s="538"/>
      <c r="N19" s="531"/>
      <c r="O19" s="531"/>
      <c r="P19" s="531"/>
      <c r="Q19" s="531"/>
      <c r="R19" s="531"/>
      <c r="S19" s="534"/>
      <c r="T19" s="536"/>
      <c r="U19" s="536"/>
      <c r="V19" s="537">
        <f t="shared" si="0"/>
        <v>0</v>
      </c>
    </row>
    <row r="20" spans="1:22">
      <c r="A20" s="144">
        <v>14</v>
      </c>
      <c r="B20" s="1" t="s">
        <v>108</v>
      </c>
      <c r="C20" s="538"/>
      <c r="D20" s="531">
        <v>1165325.9470178687</v>
      </c>
      <c r="E20" s="531"/>
      <c r="F20" s="531"/>
      <c r="G20" s="531"/>
      <c r="H20" s="531"/>
      <c r="I20" s="531"/>
      <c r="J20" s="531"/>
      <c r="K20" s="531"/>
      <c r="L20" s="534"/>
      <c r="M20" s="538"/>
      <c r="N20" s="531"/>
      <c r="O20" s="531"/>
      <c r="P20" s="531"/>
      <c r="Q20" s="531"/>
      <c r="R20" s="531"/>
      <c r="S20" s="534"/>
      <c r="T20" s="536">
        <v>1164825.8220178687</v>
      </c>
      <c r="U20" s="536">
        <v>500.125</v>
      </c>
      <c r="V20" s="537">
        <f t="shared" si="0"/>
        <v>1165325.9470178687</v>
      </c>
    </row>
    <row r="21" spans="1:22" ht="13.5" thickBot="1">
      <c r="A21" s="134"/>
      <c r="B21" s="145" t="s">
        <v>109</v>
      </c>
      <c r="C21" s="146">
        <f>SUM(C7:C20)</f>
        <v>0</v>
      </c>
      <c r="D21" s="136">
        <f t="shared" ref="D21:V21" si="1">SUM(D7:D20)</f>
        <v>32588375.900056966</v>
      </c>
      <c r="E21" s="136">
        <f t="shared" si="1"/>
        <v>0</v>
      </c>
      <c r="F21" s="136">
        <f t="shared" si="1"/>
        <v>0</v>
      </c>
      <c r="G21" s="136">
        <f t="shared" si="1"/>
        <v>0</v>
      </c>
      <c r="H21" s="136">
        <f t="shared" si="1"/>
        <v>0</v>
      </c>
      <c r="I21" s="136">
        <f t="shared" si="1"/>
        <v>0</v>
      </c>
      <c r="J21" s="136">
        <f t="shared" si="1"/>
        <v>0</v>
      </c>
      <c r="K21" s="136">
        <f t="shared" si="1"/>
        <v>0</v>
      </c>
      <c r="L21" s="147">
        <f t="shared" si="1"/>
        <v>0</v>
      </c>
      <c r="M21" s="146">
        <f t="shared" si="1"/>
        <v>0</v>
      </c>
      <c r="N21" s="136">
        <f t="shared" si="1"/>
        <v>0</v>
      </c>
      <c r="O21" s="136">
        <f t="shared" si="1"/>
        <v>0</v>
      </c>
      <c r="P21" s="136">
        <f t="shared" si="1"/>
        <v>0</v>
      </c>
      <c r="Q21" s="136">
        <f t="shared" si="1"/>
        <v>0</v>
      </c>
      <c r="R21" s="136">
        <f t="shared" si="1"/>
        <v>0</v>
      </c>
      <c r="S21" s="147">
        <f>SUM(S7:S20)</f>
        <v>0</v>
      </c>
      <c r="T21" s="147">
        <f>SUM(T7:T20)</f>
        <v>30420933.023194857</v>
      </c>
      <c r="U21" s="147">
        <f t="shared" ref="U21" si="2">SUM(U7:U20)</f>
        <v>2167442.8768621096</v>
      </c>
      <c r="V21" s="148">
        <f t="shared" si="1"/>
        <v>32588375.900056966</v>
      </c>
    </row>
    <row r="24" spans="1:22">
      <c r="C24" s="54"/>
      <c r="D24" s="54"/>
      <c r="E24" s="54"/>
    </row>
    <row r="25" spans="1:22">
      <c r="A25" s="76"/>
      <c r="B25" s="76"/>
      <c r="D25" s="54"/>
      <c r="E25" s="54"/>
    </row>
    <row r="26" spans="1:22">
      <c r="A26" s="76"/>
      <c r="B26" s="55"/>
      <c r="D26" s="54"/>
      <c r="E26" s="54"/>
    </row>
    <row r="27" spans="1:22">
      <c r="A27" s="76"/>
      <c r="B27" s="76"/>
      <c r="D27" s="54"/>
      <c r="E27" s="54"/>
    </row>
    <row r="28" spans="1:22">
      <c r="A28" s="76"/>
      <c r="B28" s="55"/>
      <c r="D28" s="54"/>
      <c r="E28" s="5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C8"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4" bestFit="1" customWidth="1"/>
    <col min="2" max="2" width="101.7109375" style="4"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1"/>
  </cols>
  <sheetData>
    <row r="1" spans="1:9">
      <c r="A1" s="2" t="s">
        <v>30</v>
      </c>
      <c r="B1" s="4" t="str">
        <f>'Info '!C2</f>
        <v>JSC CARTU BANK</v>
      </c>
      <c r="C1" s="3"/>
    </row>
    <row r="2" spans="1:9">
      <c r="A2" s="2" t="s">
        <v>31</v>
      </c>
      <c r="B2" s="540">
        <f>'1. key ratios '!B2</f>
        <v>44561</v>
      </c>
      <c r="C2" s="370"/>
    </row>
    <row r="4" spans="1:9" ht="13.5" thickBot="1">
      <c r="A4" s="2" t="s">
        <v>253</v>
      </c>
      <c r="B4" s="137" t="s">
        <v>376</v>
      </c>
    </row>
    <row r="5" spans="1:9">
      <c r="A5" s="138"/>
      <c r="B5" s="149"/>
      <c r="C5" s="252" t="s">
        <v>0</v>
      </c>
      <c r="D5" s="252" t="s">
        <v>1</v>
      </c>
      <c r="E5" s="252" t="s">
        <v>2</v>
      </c>
      <c r="F5" s="252" t="s">
        <v>3</v>
      </c>
      <c r="G5" s="253" t="s">
        <v>4</v>
      </c>
      <c r="H5" s="254" t="s">
        <v>5</v>
      </c>
      <c r="I5" s="150"/>
    </row>
    <row r="6" spans="1:9" s="150" customFormat="1" ht="12.75" customHeight="1">
      <c r="A6" s="151"/>
      <c r="B6" s="676" t="s">
        <v>252</v>
      </c>
      <c r="C6" s="662" t="s">
        <v>368</v>
      </c>
      <c r="D6" s="678" t="s">
        <v>367</v>
      </c>
      <c r="E6" s="679"/>
      <c r="F6" s="662" t="s">
        <v>372</v>
      </c>
      <c r="G6" s="662" t="s">
        <v>373</v>
      </c>
      <c r="H6" s="674" t="s">
        <v>371</v>
      </c>
    </row>
    <row r="7" spans="1:9" ht="38.25">
      <c r="A7" s="153"/>
      <c r="B7" s="677"/>
      <c r="C7" s="663"/>
      <c r="D7" s="255" t="s">
        <v>370</v>
      </c>
      <c r="E7" s="255" t="s">
        <v>369</v>
      </c>
      <c r="F7" s="663"/>
      <c r="G7" s="663"/>
      <c r="H7" s="675"/>
      <c r="I7" s="150"/>
    </row>
    <row r="8" spans="1:9">
      <c r="A8" s="151">
        <v>1</v>
      </c>
      <c r="B8" s="1" t="s">
        <v>96</v>
      </c>
      <c r="C8" s="531">
        <v>236576244</v>
      </c>
      <c r="D8" s="531"/>
      <c r="E8" s="531"/>
      <c r="F8" s="531">
        <v>202242638</v>
      </c>
      <c r="G8" s="532">
        <v>202242638</v>
      </c>
      <c r="H8" s="539">
        <v>0.85487297701792919</v>
      </c>
    </row>
    <row r="9" spans="1:9" ht="15" customHeight="1">
      <c r="A9" s="151">
        <v>2</v>
      </c>
      <c r="B9" s="1" t="s">
        <v>97</v>
      </c>
      <c r="C9" s="531">
        <v>0</v>
      </c>
      <c r="D9" s="531"/>
      <c r="E9" s="531"/>
      <c r="F9" s="531">
        <v>0</v>
      </c>
      <c r="G9" s="532">
        <v>0</v>
      </c>
      <c r="H9" s="539">
        <v>0</v>
      </c>
    </row>
    <row r="10" spans="1:9">
      <c r="A10" s="151">
        <v>3</v>
      </c>
      <c r="B10" s="1" t="s">
        <v>270</v>
      </c>
      <c r="C10" s="531">
        <v>0</v>
      </c>
      <c r="D10" s="531"/>
      <c r="E10" s="531"/>
      <c r="F10" s="531">
        <v>0</v>
      </c>
      <c r="G10" s="532">
        <v>0</v>
      </c>
      <c r="H10" s="539">
        <v>0</v>
      </c>
    </row>
    <row r="11" spans="1:9">
      <c r="A11" s="151">
        <v>4</v>
      </c>
      <c r="B11" s="1" t="s">
        <v>98</v>
      </c>
      <c r="C11" s="531">
        <v>0</v>
      </c>
      <c r="D11" s="531"/>
      <c r="E11" s="531"/>
      <c r="F11" s="531">
        <v>0</v>
      </c>
      <c r="G11" s="532">
        <v>0</v>
      </c>
      <c r="H11" s="539">
        <v>0</v>
      </c>
    </row>
    <row r="12" spans="1:9">
      <c r="A12" s="151">
        <v>5</v>
      </c>
      <c r="B12" s="1" t="s">
        <v>99</v>
      </c>
      <c r="C12" s="531">
        <v>0</v>
      </c>
      <c r="D12" s="531"/>
      <c r="E12" s="531"/>
      <c r="F12" s="531">
        <v>0</v>
      </c>
      <c r="G12" s="532">
        <v>0</v>
      </c>
      <c r="H12" s="539">
        <v>0</v>
      </c>
    </row>
    <row r="13" spans="1:9">
      <c r="A13" s="151">
        <v>6</v>
      </c>
      <c r="B13" s="1" t="s">
        <v>100</v>
      </c>
      <c r="C13" s="531">
        <v>53942316</v>
      </c>
      <c r="D13" s="531"/>
      <c r="E13" s="531"/>
      <c r="F13" s="531">
        <v>20403220.752000004</v>
      </c>
      <c r="G13" s="532">
        <v>20403220.752000004</v>
      </c>
      <c r="H13" s="539">
        <v>0.37824146727404145</v>
      </c>
    </row>
    <row r="14" spans="1:9">
      <c r="A14" s="151">
        <v>7</v>
      </c>
      <c r="B14" s="1" t="s">
        <v>101</v>
      </c>
      <c r="C14" s="531">
        <v>725846273.51024318</v>
      </c>
      <c r="D14" s="531">
        <v>61776706.441471994</v>
      </c>
      <c r="E14" s="531">
        <v>33068063.937791999</v>
      </c>
      <c r="F14" s="531">
        <v>758914337.44803512</v>
      </c>
      <c r="G14" s="532">
        <v>727516255.33509243</v>
      </c>
      <c r="H14" s="539">
        <v>0.95862763349744651</v>
      </c>
    </row>
    <row r="15" spans="1:9">
      <c r="A15" s="151">
        <v>8</v>
      </c>
      <c r="B15" s="1" t="s">
        <v>102</v>
      </c>
      <c r="C15" s="531">
        <v>0</v>
      </c>
      <c r="D15" s="531"/>
      <c r="E15" s="531">
        <v>0</v>
      </c>
      <c r="F15" s="531">
        <v>0</v>
      </c>
      <c r="G15" s="532">
        <v>0</v>
      </c>
      <c r="H15" s="539">
        <v>0</v>
      </c>
    </row>
    <row r="16" spans="1:9">
      <c r="A16" s="151">
        <v>9</v>
      </c>
      <c r="B16" s="1" t="s">
        <v>103</v>
      </c>
      <c r="C16" s="531">
        <v>0</v>
      </c>
      <c r="D16" s="531"/>
      <c r="E16" s="531">
        <v>0</v>
      </c>
      <c r="F16" s="531">
        <v>0</v>
      </c>
      <c r="G16" s="532">
        <v>0</v>
      </c>
      <c r="H16" s="539">
        <v>0</v>
      </c>
    </row>
    <row r="17" spans="1:8">
      <c r="A17" s="151">
        <v>10</v>
      </c>
      <c r="B17" s="1" t="s">
        <v>104</v>
      </c>
      <c r="C17" s="531">
        <v>105427669.17196693</v>
      </c>
      <c r="D17" s="531">
        <v>415520.02000001073</v>
      </c>
      <c r="E17" s="531">
        <v>207760.01000000536</v>
      </c>
      <c r="F17" s="531">
        <v>105635429.18196693</v>
      </c>
      <c r="G17" s="532">
        <v>105610461.34187055</v>
      </c>
      <c r="H17" s="539">
        <v>0.99976364141945806</v>
      </c>
    </row>
    <row r="18" spans="1:8">
      <c r="A18" s="151">
        <v>11</v>
      </c>
      <c r="B18" s="1" t="s">
        <v>105</v>
      </c>
      <c r="C18" s="531">
        <v>0</v>
      </c>
      <c r="D18" s="531"/>
      <c r="E18" s="531">
        <v>0</v>
      </c>
      <c r="F18" s="531">
        <v>0</v>
      </c>
      <c r="G18" s="532">
        <v>0</v>
      </c>
      <c r="H18" s="539">
        <v>0</v>
      </c>
    </row>
    <row r="19" spans="1:8">
      <c r="A19" s="151">
        <v>12</v>
      </c>
      <c r="B19" s="1" t="s">
        <v>106</v>
      </c>
      <c r="C19" s="531">
        <v>0</v>
      </c>
      <c r="D19" s="531"/>
      <c r="E19" s="531">
        <v>0</v>
      </c>
      <c r="F19" s="531">
        <v>0</v>
      </c>
      <c r="G19" s="532">
        <v>0</v>
      </c>
      <c r="H19" s="539">
        <v>0</v>
      </c>
    </row>
    <row r="20" spans="1:8">
      <c r="A20" s="151">
        <v>13</v>
      </c>
      <c r="B20" s="1" t="s">
        <v>247</v>
      </c>
      <c r="C20" s="531">
        <v>0</v>
      </c>
      <c r="D20" s="531"/>
      <c r="E20" s="531">
        <v>0</v>
      </c>
      <c r="F20" s="531">
        <v>0</v>
      </c>
      <c r="G20" s="532">
        <v>0</v>
      </c>
      <c r="H20" s="539">
        <v>0</v>
      </c>
    </row>
    <row r="21" spans="1:8">
      <c r="A21" s="151">
        <v>14</v>
      </c>
      <c r="B21" s="1" t="s">
        <v>108</v>
      </c>
      <c r="C21" s="531">
        <v>110233321.46200499</v>
      </c>
      <c r="D21" s="531">
        <v>2704719.3798999828</v>
      </c>
      <c r="E21" s="531">
        <v>1352359.6899499914</v>
      </c>
      <c r="F21" s="531">
        <v>105945859.65195498</v>
      </c>
      <c r="G21" s="532">
        <v>104780533.70493712</v>
      </c>
      <c r="H21" s="539">
        <v>0.93901415148641909</v>
      </c>
    </row>
    <row r="22" spans="1:8" ht="13.5" thickBot="1">
      <c r="A22" s="154"/>
      <c r="B22" s="155" t="s">
        <v>109</v>
      </c>
      <c r="C22" s="256">
        <f>SUM(C8:C21)</f>
        <v>1232025824.1442151</v>
      </c>
      <c r="D22" s="256">
        <f>SUM(D8:D21)</f>
        <v>64896945.841371991</v>
      </c>
      <c r="E22" s="256">
        <f>SUM(E8:E21)</f>
        <v>34628183.637741998</v>
      </c>
      <c r="F22" s="256">
        <f>SUM(F8:F21)</f>
        <v>1193141485.033957</v>
      </c>
      <c r="G22" s="256">
        <f>SUM(G8:G21)</f>
        <v>1160553109.1339002</v>
      </c>
      <c r="H22" s="257">
        <f>G22/(C22+E22)</f>
        <v>0.91623529551384697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Normal="100" workbookViewId="0">
      <pane xSplit="2" ySplit="6" topLeftCell="E7"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225" bestFit="1" customWidth="1"/>
    <col min="2" max="2" width="104.28515625" style="225" customWidth="1"/>
    <col min="3" max="3" width="12.7109375" style="225" customWidth="1"/>
    <col min="4" max="5" width="13.5703125" style="225" bestFit="1" customWidth="1"/>
    <col min="6" max="11" width="12.7109375" style="225" customWidth="1"/>
    <col min="12" max="16384" width="9.28515625" style="225"/>
  </cols>
  <sheetData>
    <row r="1" spans="1:11">
      <c r="A1" s="225" t="s">
        <v>30</v>
      </c>
      <c r="B1" s="3" t="str">
        <f>'Info '!C2</f>
        <v>JSC CARTU BANK</v>
      </c>
    </row>
    <row r="2" spans="1:11">
      <c r="A2" s="225" t="s">
        <v>31</v>
      </c>
      <c r="B2" s="370">
        <f>'1. key ratios '!B2</f>
        <v>44561</v>
      </c>
    </row>
    <row r="4" spans="1:11" ht="13.5" thickBot="1">
      <c r="A4" s="225" t="s">
        <v>249</v>
      </c>
      <c r="B4" s="291" t="s">
        <v>377</v>
      </c>
    </row>
    <row r="5" spans="1:11" ht="30" customHeight="1">
      <c r="A5" s="680"/>
      <c r="B5" s="681"/>
      <c r="C5" s="682" t="s">
        <v>429</v>
      </c>
      <c r="D5" s="682"/>
      <c r="E5" s="682"/>
      <c r="F5" s="682" t="s">
        <v>430</v>
      </c>
      <c r="G5" s="682"/>
      <c r="H5" s="682"/>
      <c r="I5" s="682" t="s">
        <v>431</v>
      </c>
      <c r="J5" s="682"/>
      <c r="K5" s="683"/>
    </row>
    <row r="6" spans="1:11">
      <c r="A6" s="266"/>
      <c r="B6" s="267"/>
      <c r="C6" s="21" t="s">
        <v>69</v>
      </c>
      <c r="D6" s="21" t="s">
        <v>70</v>
      </c>
      <c r="E6" s="21" t="s">
        <v>71</v>
      </c>
      <c r="F6" s="21" t="s">
        <v>69</v>
      </c>
      <c r="G6" s="21" t="s">
        <v>70</v>
      </c>
      <c r="H6" s="21" t="s">
        <v>71</v>
      </c>
      <c r="I6" s="21" t="s">
        <v>69</v>
      </c>
      <c r="J6" s="21" t="s">
        <v>70</v>
      </c>
      <c r="K6" s="21" t="s">
        <v>71</v>
      </c>
    </row>
    <row r="7" spans="1:11">
      <c r="A7" s="268" t="s">
        <v>380</v>
      </c>
      <c r="B7" s="269"/>
      <c r="C7" s="269"/>
      <c r="D7" s="269"/>
      <c r="E7" s="269"/>
      <c r="F7" s="269"/>
      <c r="G7" s="269"/>
      <c r="H7" s="269"/>
      <c r="I7" s="269"/>
      <c r="J7" s="269"/>
      <c r="K7" s="270"/>
    </row>
    <row r="8" spans="1:11">
      <c r="A8" s="271">
        <v>1</v>
      </c>
      <c r="B8" s="272" t="s">
        <v>378</v>
      </c>
      <c r="C8" s="462"/>
      <c r="D8" s="462"/>
      <c r="E8" s="462"/>
      <c r="F8" s="541">
        <v>85570550.71206519</v>
      </c>
      <c r="G8" s="542">
        <v>256143921.05435467</v>
      </c>
      <c r="H8" s="542">
        <v>341714471.76642001</v>
      </c>
      <c r="I8" s="542">
        <v>73980685.89456524</v>
      </c>
      <c r="J8" s="542">
        <v>204051791.63022432</v>
      </c>
      <c r="K8" s="543">
        <v>278032477.52478963</v>
      </c>
    </row>
    <row r="9" spans="1:11">
      <c r="A9" s="268" t="s">
        <v>381</v>
      </c>
      <c r="B9" s="269"/>
      <c r="C9" s="544"/>
      <c r="D9" s="544"/>
      <c r="E9" s="544"/>
      <c r="F9" s="544"/>
      <c r="G9" s="544"/>
      <c r="H9" s="544"/>
      <c r="I9" s="544"/>
      <c r="J9" s="544"/>
      <c r="K9" s="270"/>
    </row>
    <row r="10" spans="1:11">
      <c r="A10" s="273">
        <v>2</v>
      </c>
      <c r="B10" s="274" t="s">
        <v>389</v>
      </c>
      <c r="C10" s="541">
        <v>18172679.960445732</v>
      </c>
      <c r="D10" s="542">
        <v>293617187.26690006</v>
      </c>
      <c r="E10" s="542">
        <v>311789867.22734571</v>
      </c>
      <c r="F10" s="541">
        <v>3085818.182492408</v>
      </c>
      <c r="G10" s="542">
        <v>40678400.193489157</v>
      </c>
      <c r="H10" s="542">
        <v>43764218.375981562</v>
      </c>
      <c r="I10" s="541">
        <v>668458.32698315603</v>
      </c>
      <c r="J10" s="542">
        <v>4332432.0861285999</v>
      </c>
      <c r="K10" s="543">
        <v>5000890.4131117584</v>
      </c>
    </row>
    <row r="11" spans="1:11">
      <c r="A11" s="273">
        <v>3</v>
      </c>
      <c r="B11" s="274" t="s">
        <v>383</v>
      </c>
      <c r="C11" s="541">
        <v>114173720.06734785</v>
      </c>
      <c r="D11" s="542">
        <v>600031432.52293718</v>
      </c>
      <c r="E11" s="542">
        <v>714205152.59028482</v>
      </c>
      <c r="F11" s="541">
        <v>23596646.492592398</v>
      </c>
      <c r="G11" s="542">
        <v>115182240.42745817</v>
      </c>
      <c r="H11" s="542">
        <v>138778886.92005056</v>
      </c>
      <c r="I11" s="541">
        <v>20693021.493652176</v>
      </c>
      <c r="J11" s="542">
        <v>61475135.322174944</v>
      </c>
      <c r="K11" s="543">
        <v>82168156.815827116</v>
      </c>
    </row>
    <row r="12" spans="1:11">
      <c r="A12" s="273">
        <v>4</v>
      </c>
      <c r="B12" s="274" t="s">
        <v>384</v>
      </c>
      <c r="C12" s="541">
        <v>0</v>
      </c>
      <c r="D12" s="542">
        <v>0</v>
      </c>
      <c r="E12" s="542">
        <v>0</v>
      </c>
      <c r="F12" s="541">
        <v>0</v>
      </c>
      <c r="G12" s="542">
        <v>0</v>
      </c>
      <c r="H12" s="542">
        <v>0</v>
      </c>
      <c r="I12" s="541">
        <v>0</v>
      </c>
      <c r="J12" s="542">
        <v>0</v>
      </c>
      <c r="K12" s="543">
        <v>0</v>
      </c>
    </row>
    <row r="13" spans="1:11">
      <c r="A13" s="273">
        <v>5</v>
      </c>
      <c r="B13" s="274" t="s">
        <v>392</v>
      </c>
      <c r="C13" s="541">
        <v>44510617.012202531</v>
      </c>
      <c r="D13" s="542">
        <v>23791508.145467654</v>
      </c>
      <c r="E13" s="542">
        <v>68302125.1576702</v>
      </c>
      <c r="F13" s="541">
        <v>8097701.3195593292</v>
      </c>
      <c r="G13" s="542">
        <v>4764362.4163767826</v>
      </c>
      <c r="H13" s="542">
        <v>12862063.735936111</v>
      </c>
      <c r="I13" s="541">
        <v>2976479.5721006887</v>
      </c>
      <c r="J13" s="542">
        <v>1712408.6197445849</v>
      </c>
      <c r="K13" s="543">
        <v>4688888.1918452727</v>
      </c>
    </row>
    <row r="14" spans="1:11">
      <c r="A14" s="273">
        <v>6</v>
      </c>
      <c r="B14" s="274" t="s">
        <v>424</v>
      </c>
      <c r="C14" s="541"/>
      <c r="D14" s="542"/>
      <c r="E14" s="542"/>
      <c r="F14" s="541"/>
      <c r="G14" s="542"/>
      <c r="H14" s="542"/>
      <c r="I14" s="541"/>
      <c r="J14" s="542"/>
      <c r="K14" s="543"/>
    </row>
    <row r="15" spans="1:11">
      <c r="A15" s="273">
        <v>7</v>
      </c>
      <c r="B15" s="274" t="s">
        <v>425</v>
      </c>
      <c r="C15" s="541">
        <v>16836166.621630434</v>
      </c>
      <c r="D15" s="542">
        <v>32460898.315086957</v>
      </c>
      <c r="E15" s="542">
        <v>49297064.936717398</v>
      </c>
      <c r="F15" s="541">
        <v>4487672.3798521478</v>
      </c>
      <c r="G15" s="542">
        <v>11818915.846330173</v>
      </c>
      <c r="H15" s="542">
        <v>16306588.22618233</v>
      </c>
      <c r="I15" s="541">
        <v>4487672.3798521478</v>
      </c>
      <c r="J15" s="542">
        <v>11818915.846330173</v>
      </c>
      <c r="K15" s="543">
        <v>16306588.22618233</v>
      </c>
    </row>
    <row r="16" spans="1:11">
      <c r="A16" s="273">
        <v>8</v>
      </c>
      <c r="B16" s="275" t="s">
        <v>385</v>
      </c>
      <c r="C16" s="545">
        <f>SUM(C10:C15)</f>
        <v>193693183.66162655</v>
      </c>
      <c r="D16" s="545">
        <f t="shared" ref="D16:K16" si="0">SUM(D10:D15)</f>
        <v>949901026.25039184</v>
      </c>
      <c r="E16" s="545">
        <f t="shared" si="0"/>
        <v>1143594209.9120183</v>
      </c>
      <c r="F16" s="545">
        <f t="shared" si="0"/>
        <v>39267838.374496281</v>
      </c>
      <c r="G16" s="545">
        <f t="shared" si="0"/>
        <v>172443918.88365427</v>
      </c>
      <c r="H16" s="545">
        <f t="shared" si="0"/>
        <v>211711757.25815058</v>
      </c>
      <c r="I16" s="545">
        <f t="shared" si="0"/>
        <v>28825631.772588171</v>
      </c>
      <c r="J16" s="545">
        <f t="shared" si="0"/>
        <v>79338891.874378294</v>
      </c>
      <c r="K16" s="546">
        <f t="shared" si="0"/>
        <v>108164523.64696647</v>
      </c>
    </row>
    <row r="17" spans="1:11">
      <c r="A17" s="268" t="s">
        <v>382</v>
      </c>
      <c r="B17" s="269"/>
      <c r="C17" s="541"/>
      <c r="D17" s="542"/>
      <c r="E17" s="542"/>
      <c r="F17" s="541"/>
      <c r="G17" s="542"/>
      <c r="H17" s="542"/>
      <c r="I17" s="541"/>
      <c r="J17" s="542"/>
      <c r="K17" s="543"/>
    </row>
    <row r="18" spans="1:11">
      <c r="A18" s="273">
        <v>9</v>
      </c>
      <c r="B18" s="274" t="s">
        <v>388</v>
      </c>
      <c r="C18" s="541">
        <v>0</v>
      </c>
      <c r="D18" s="542">
        <v>0</v>
      </c>
      <c r="E18" s="542">
        <v>0</v>
      </c>
      <c r="F18" s="541">
        <v>0</v>
      </c>
      <c r="G18" s="542">
        <v>0</v>
      </c>
      <c r="H18" s="542">
        <v>0</v>
      </c>
      <c r="I18" s="541">
        <v>0</v>
      </c>
      <c r="J18" s="542">
        <v>0</v>
      </c>
      <c r="K18" s="543">
        <v>0</v>
      </c>
    </row>
    <row r="19" spans="1:11">
      <c r="A19" s="273">
        <v>10</v>
      </c>
      <c r="B19" s="274" t="s">
        <v>426</v>
      </c>
      <c r="C19" s="541">
        <v>198974018.15784478</v>
      </c>
      <c r="D19" s="542">
        <v>435735939.10664648</v>
      </c>
      <c r="E19" s="542">
        <v>634709957.26449144</v>
      </c>
      <c r="F19" s="541">
        <v>6208359.418573291</v>
      </c>
      <c r="G19" s="542">
        <v>9513755.337305719</v>
      </c>
      <c r="H19" s="542">
        <v>15722114.755879005</v>
      </c>
      <c r="I19" s="541">
        <v>17843234.086181987</v>
      </c>
      <c r="J19" s="542">
        <v>63538043.176110052</v>
      </c>
      <c r="K19" s="543">
        <v>81381277.262292027</v>
      </c>
    </row>
    <row r="20" spans="1:11">
      <c r="A20" s="273">
        <v>11</v>
      </c>
      <c r="B20" s="274" t="s">
        <v>387</v>
      </c>
      <c r="C20" s="541">
        <v>5913201.0252573397</v>
      </c>
      <c r="D20" s="542">
        <v>38467231.802575126</v>
      </c>
      <c r="E20" s="542">
        <v>44380432.827832453</v>
      </c>
      <c r="F20" s="541">
        <v>251559.01195652172</v>
      </c>
      <c r="G20" s="542">
        <v>9346561.6034576073</v>
      </c>
      <c r="H20" s="542">
        <v>9598120.6154141296</v>
      </c>
      <c r="I20" s="541">
        <v>251559.01195652172</v>
      </c>
      <c r="J20" s="542">
        <v>9346561.6034576073</v>
      </c>
      <c r="K20" s="543">
        <v>9598120.6154141296</v>
      </c>
    </row>
    <row r="21" spans="1:11" ht="13.5" thickBot="1">
      <c r="A21" s="276">
        <v>12</v>
      </c>
      <c r="B21" s="277" t="s">
        <v>386</v>
      </c>
      <c r="C21" s="547">
        <f>SUM(C18:C20)</f>
        <v>204887219.18310213</v>
      </c>
      <c r="D21" s="547">
        <f t="shared" ref="D21:K21" si="1">SUM(D18:D20)</f>
        <v>474203170.90922159</v>
      </c>
      <c r="E21" s="547">
        <f t="shared" si="1"/>
        <v>679090390.0923239</v>
      </c>
      <c r="F21" s="547">
        <f t="shared" si="1"/>
        <v>6459918.4305298124</v>
      </c>
      <c r="G21" s="547">
        <f t="shared" si="1"/>
        <v>18860316.940763324</v>
      </c>
      <c r="H21" s="547">
        <f t="shared" si="1"/>
        <v>25320235.371293135</v>
      </c>
      <c r="I21" s="547">
        <f t="shared" si="1"/>
        <v>18094793.098138507</v>
      </c>
      <c r="J21" s="547">
        <f t="shared" si="1"/>
        <v>72884604.779567659</v>
      </c>
      <c r="K21" s="548">
        <f t="shared" si="1"/>
        <v>90979397.877706155</v>
      </c>
    </row>
    <row r="22" spans="1:11" ht="38.25" customHeight="1" thickBot="1">
      <c r="A22" s="278"/>
      <c r="B22" s="279"/>
      <c r="C22" s="279"/>
      <c r="D22" s="279"/>
      <c r="E22" s="279"/>
      <c r="F22" s="684" t="s">
        <v>428</v>
      </c>
      <c r="G22" s="682"/>
      <c r="H22" s="682"/>
      <c r="I22" s="684" t="s">
        <v>393</v>
      </c>
      <c r="J22" s="682"/>
      <c r="K22" s="683"/>
    </row>
    <row r="23" spans="1:11">
      <c r="A23" s="280">
        <v>13</v>
      </c>
      <c r="B23" s="281" t="s">
        <v>378</v>
      </c>
      <c r="C23" s="282"/>
      <c r="D23" s="282"/>
      <c r="E23" s="282"/>
      <c r="F23" s="549">
        <f>F8</f>
        <v>85570550.71206519</v>
      </c>
      <c r="G23" s="549">
        <f t="shared" ref="G23:K23" si="2">G8</f>
        <v>256143921.05435467</v>
      </c>
      <c r="H23" s="549">
        <f t="shared" si="2"/>
        <v>341714471.76642001</v>
      </c>
      <c r="I23" s="549">
        <f t="shared" si="2"/>
        <v>73980685.89456524</v>
      </c>
      <c r="J23" s="549">
        <f t="shared" si="2"/>
        <v>204051791.63022432</v>
      </c>
      <c r="K23" s="550">
        <f t="shared" si="2"/>
        <v>278032477.52478963</v>
      </c>
    </row>
    <row r="24" spans="1:11" ht="13.5" thickBot="1">
      <c r="A24" s="283">
        <v>14</v>
      </c>
      <c r="B24" s="284" t="s">
        <v>390</v>
      </c>
      <c r="C24" s="285"/>
      <c r="D24" s="286"/>
      <c r="E24" s="287"/>
      <c r="F24" s="551">
        <f>MAX(F16-F21,F16*0.25)</f>
        <v>32807919.943966471</v>
      </c>
      <c r="G24" s="551">
        <f t="shared" ref="G24:K24" si="3">MAX(G16-G21,G16*0.25)</f>
        <v>153583601.94289094</v>
      </c>
      <c r="H24" s="551">
        <f t="shared" si="3"/>
        <v>186391521.88685745</v>
      </c>
      <c r="I24" s="551">
        <f t="shared" si="3"/>
        <v>10730838.674449664</v>
      </c>
      <c r="J24" s="551">
        <f t="shared" si="3"/>
        <v>19834722.968594573</v>
      </c>
      <c r="K24" s="552">
        <f t="shared" si="3"/>
        <v>27041130.911741618</v>
      </c>
    </row>
    <row r="25" spans="1:11" ht="13.5" thickBot="1">
      <c r="A25" s="288">
        <v>15</v>
      </c>
      <c r="B25" s="289" t="s">
        <v>391</v>
      </c>
      <c r="C25" s="290"/>
      <c r="D25" s="290"/>
      <c r="E25" s="290"/>
      <c r="F25" s="553">
        <f>F23/F24</f>
        <v>2.6082284661207855</v>
      </c>
      <c r="G25" s="553">
        <f t="shared" ref="G25:K25" si="4">G23/G24</f>
        <v>1.6677817020439467</v>
      </c>
      <c r="H25" s="553">
        <f t="shared" si="4"/>
        <v>1.8333155301658302</v>
      </c>
      <c r="I25" s="553">
        <f t="shared" si="4"/>
        <v>6.89421285129509</v>
      </c>
      <c r="J25" s="553">
        <f t="shared" si="4"/>
        <v>10.287604820763613</v>
      </c>
      <c r="K25" s="554">
        <f t="shared" si="4"/>
        <v>10.281836156640336</v>
      </c>
    </row>
    <row r="27" spans="1:11" ht="25.5">
      <c r="B27" s="26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1"/>
  </cols>
  <sheetData>
    <row r="1" spans="1:14">
      <c r="A1" s="4" t="s">
        <v>30</v>
      </c>
      <c r="B1" s="3" t="str">
        <f>'Info '!C2</f>
        <v>JSC CARTU BANK</v>
      </c>
    </row>
    <row r="2" spans="1:14" ht="14.25" customHeight="1">
      <c r="A2" s="4" t="s">
        <v>31</v>
      </c>
      <c r="B2" s="370">
        <f>'1. key ratios '!B2</f>
        <v>44561</v>
      </c>
    </row>
    <row r="3" spans="1:14" ht="14.25" customHeight="1"/>
    <row r="4" spans="1:14" ht="13.5" thickBot="1">
      <c r="A4" s="4" t="s">
        <v>265</v>
      </c>
      <c r="B4" s="219" t="s">
        <v>28</v>
      </c>
    </row>
    <row r="5" spans="1:14" s="161" customFormat="1">
      <c r="A5" s="157"/>
      <c r="B5" s="158"/>
      <c r="C5" s="159" t="s">
        <v>0</v>
      </c>
      <c r="D5" s="159" t="s">
        <v>1</v>
      </c>
      <c r="E5" s="159" t="s">
        <v>2</v>
      </c>
      <c r="F5" s="159" t="s">
        <v>3</v>
      </c>
      <c r="G5" s="159" t="s">
        <v>4</v>
      </c>
      <c r="H5" s="159" t="s">
        <v>5</v>
      </c>
      <c r="I5" s="159" t="s">
        <v>8</v>
      </c>
      <c r="J5" s="159" t="s">
        <v>9</v>
      </c>
      <c r="K5" s="159" t="s">
        <v>10</v>
      </c>
      <c r="L5" s="159" t="s">
        <v>11</v>
      </c>
      <c r="M5" s="159" t="s">
        <v>12</v>
      </c>
      <c r="N5" s="160" t="s">
        <v>13</v>
      </c>
    </row>
    <row r="6" spans="1:14" ht="25.5">
      <c r="A6" s="162"/>
      <c r="B6" s="163"/>
      <c r="C6" s="164" t="s">
        <v>264</v>
      </c>
      <c r="D6" s="165" t="s">
        <v>263</v>
      </c>
      <c r="E6" s="166" t="s">
        <v>262</v>
      </c>
      <c r="F6" s="167">
        <v>0</v>
      </c>
      <c r="G6" s="167">
        <v>0.2</v>
      </c>
      <c r="H6" s="167">
        <v>0.35</v>
      </c>
      <c r="I6" s="167">
        <v>0.5</v>
      </c>
      <c r="J6" s="167">
        <v>0.75</v>
      </c>
      <c r="K6" s="167">
        <v>1</v>
      </c>
      <c r="L6" s="167">
        <v>1.5</v>
      </c>
      <c r="M6" s="167">
        <v>2.5</v>
      </c>
      <c r="N6" s="218" t="s">
        <v>276</v>
      </c>
    </row>
    <row r="7" spans="1:14" ht="15">
      <c r="A7" s="168">
        <v>1</v>
      </c>
      <c r="B7" s="169" t="s">
        <v>261</v>
      </c>
      <c r="C7" s="170">
        <f>SUM(C8:C13)</f>
        <v>30022400</v>
      </c>
      <c r="D7" s="163"/>
      <c r="E7" s="171">
        <f t="shared" ref="E7:M7" si="0">SUM(E8:E13)</f>
        <v>600448</v>
      </c>
      <c r="F7" s="172">
        <f>SUM(F8:F13)</f>
        <v>0</v>
      </c>
      <c r="G7" s="172">
        <f t="shared" si="0"/>
        <v>0</v>
      </c>
      <c r="H7" s="172">
        <f t="shared" si="0"/>
        <v>0</v>
      </c>
      <c r="I7" s="172">
        <f t="shared" si="0"/>
        <v>0</v>
      </c>
      <c r="J7" s="172">
        <f t="shared" si="0"/>
        <v>0</v>
      </c>
      <c r="K7" s="172">
        <f t="shared" si="0"/>
        <v>600448</v>
      </c>
      <c r="L7" s="172">
        <f t="shared" si="0"/>
        <v>0</v>
      </c>
      <c r="M7" s="172">
        <f t="shared" si="0"/>
        <v>0</v>
      </c>
      <c r="N7" s="173">
        <f>SUM(N8:N13)</f>
        <v>600448</v>
      </c>
    </row>
    <row r="8" spans="1:14" ht="14.25">
      <c r="A8" s="168">
        <v>1.1000000000000001</v>
      </c>
      <c r="B8" s="174" t="s">
        <v>259</v>
      </c>
      <c r="C8" s="172">
        <v>30022400</v>
      </c>
      <c r="D8" s="175">
        <v>0.02</v>
      </c>
      <c r="E8" s="171">
        <f>C8*D8</f>
        <v>600448</v>
      </c>
      <c r="F8" s="172"/>
      <c r="G8" s="172"/>
      <c r="H8" s="172"/>
      <c r="I8" s="172"/>
      <c r="J8" s="172"/>
      <c r="K8" s="172">
        <v>600448</v>
      </c>
      <c r="L8" s="172"/>
      <c r="M8" s="172"/>
      <c r="N8" s="173">
        <f>SUMPRODUCT($F$6:$M$6,F8:M8)</f>
        <v>600448</v>
      </c>
    </row>
    <row r="9" spans="1:14" ht="14.25">
      <c r="A9" s="168">
        <v>1.2</v>
      </c>
      <c r="B9" s="174" t="s">
        <v>258</v>
      </c>
      <c r="C9" s="172">
        <v>0</v>
      </c>
      <c r="D9" s="175">
        <v>0.05</v>
      </c>
      <c r="E9" s="171">
        <f>C9*D9</f>
        <v>0</v>
      </c>
      <c r="F9" s="172"/>
      <c r="G9" s="172"/>
      <c r="H9" s="172"/>
      <c r="I9" s="172"/>
      <c r="J9" s="172"/>
      <c r="K9" s="172"/>
      <c r="L9" s="172"/>
      <c r="M9" s="172"/>
      <c r="N9" s="173">
        <f t="shared" ref="N9:N12" si="1">SUMPRODUCT($F$6:$M$6,F9:M9)</f>
        <v>0</v>
      </c>
    </row>
    <row r="10" spans="1:14" ht="14.25">
      <c r="A10" s="168">
        <v>1.3</v>
      </c>
      <c r="B10" s="174" t="s">
        <v>257</v>
      </c>
      <c r="C10" s="172">
        <v>0</v>
      </c>
      <c r="D10" s="175">
        <v>0.08</v>
      </c>
      <c r="E10" s="171">
        <f>C10*D10</f>
        <v>0</v>
      </c>
      <c r="F10" s="172"/>
      <c r="G10" s="172"/>
      <c r="H10" s="172"/>
      <c r="I10" s="172"/>
      <c r="J10" s="172"/>
      <c r="K10" s="172"/>
      <c r="L10" s="172"/>
      <c r="M10" s="172"/>
      <c r="N10" s="173">
        <f>SUMPRODUCT($F$6:$M$6,F10:M10)</f>
        <v>0</v>
      </c>
    </row>
    <row r="11" spans="1:14" ht="14.25">
      <c r="A11" s="168">
        <v>1.4</v>
      </c>
      <c r="B11" s="174" t="s">
        <v>256</v>
      </c>
      <c r="C11" s="172">
        <v>0</v>
      </c>
      <c r="D11" s="175">
        <v>0.11</v>
      </c>
      <c r="E11" s="171">
        <f>C11*D11</f>
        <v>0</v>
      </c>
      <c r="F11" s="172"/>
      <c r="G11" s="172"/>
      <c r="H11" s="172"/>
      <c r="I11" s="172"/>
      <c r="J11" s="172"/>
      <c r="K11" s="172"/>
      <c r="L11" s="172"/>
      <c r="M11" s="172"/>
      <c r="N11" s="173">
        <f t="shared" si="1"/>
        <v>0</v>
      </c>
    </row>
    <row r="12" spans="1:14" ht="14.25">
      <c r="A12" s="168">
        <v>1.5</v>
      </c>
      <c r="B12" s="174" t="s">
        <v>255</v>
      </c>
      <c r="C12" s="172">
        <v>0</v>
      </c>
      <c r="D12" s="175">
        <v>0.14000000000000001</v>
      </c>
      <c r="E12" s="171">
        <f>C12*D12</f>
        <v>0</v>
      </c>
      <c r="F12" s="172"/>
      <c r="G12" s="172"/>
      <c r="H12" s="172"/>
      <c r="I12" s="172"/>
      <c r="J12" s="172"/>
      <c r="K12" s="172"/>
      <c r="L12" s="172"/>
      <c r="M12" s="172"/>
      <c r="N12" s="173">
        <f t="shared" si="1"/>
        <v>0</v>
      </c>
    </row>
    <row r="13" spans="1:14" ht="14.25">
      <c r="A13" s="168">
        <v>1.6</v>
      </c>
      <c r="B13" s="176" t="s">
        <v>254</v>
      </c>
      <c r="C13" s="172">
        <v>0</v>
      </c>
      <c r="D13" s="177"/>
      <c r="E13" s="172"/>
      <c r="F13" s="172"/>
      <c r="G13" s="172"/>
      <c r="H13" s="172"/>
      <c r="I13" s="172"/>
      <c r="J13" s="172"/>
      <c r="K13" s="172"/>
      <c r="L13" s="172"/>
      <c r="M13" s="172"/>
      <c r="N13" s="173">
        <f>SUMPRODUCT($F$6:$M$6,F13:M13)</f>
        <v>0</v>
      </c>
    </row>
    <row r="14" spans="1:14" ht="15">
      <c r="A14" s="168">
        <v>2</v>
      </c>
      <c r="B14" s="178" t="s">
        <v>260</v>
      </c>
      <c r="C14" s="170">
        <f>SUM(C15:C20)</f>
        <v>0</v>
      </c>
      <c r="D14" s="163"/>
      <c r="E14" s="171">
        <f t="shared" ref="E14:M14" si="2">SUM(E15:E20)</f>
        <v>0</v>
      </c>
      <c r="F14" s="172">
        <f t="shared" si="2"/>
        <v>0</v>
      </c>
      <c r="G14" s="172">
        <f t="shared" si="2"/>
        <v>0</v>
      </c>
      <c r="H14" s="172">
        <f t="shared" si="2"/>
        <v>0</v>
      </c>
      <c r="I14" s="172">
        <f t="shared" si="2"/>
        <v>0</v>
      </c>
      <c r="J14" s="172">
        <f t="shared" si="2"/>
        <v>0</v>
      </c>
      <c r="K14" s="172">
        <f t="shared" si="2"/>
        <v>0</v>
      </c>
      <c r="L14" s="172">
        <f t="shared" si="2"/>
        <v>0</v>
      </c>
      <c r="M14" s="172">
        <f t="shared" si="2"/>
        <v>0</v>
      </c>
      <c r="N14" s="173">
        <f>SUM(N15:N20)</f>
        <v>0</v>
      </c>
    </row>
    <row r="15" spans="1:14" ht="14.25">
      <c r="A15" s="168">
        <v>2.1</v>
      </c>
      <c r="B15" s="176" t="s">
        <v>259</v>
      </c>
      <c r="C15" s="172"/>
      <c r="D15" s="175">
        <v>5.0000000000000001E-3</v>
      </c>
      <c r="E15" s="171">
        <f>C15*D15</f>
        <v>0</v>
      </c>
      <c r="F15" s="172"/>
      <c r="G15" s="172"/>
      <c r="H15" s="172"/>
      <c r="I15" s="172"/>
      <c r="J15" s="172"/>
      <c r="K15" s="172"/>
      <c r="L15" s="172"/>
      <c r="M15" s="172"/>
      <c r="N15" s="173">
        <f>SUMPRODUCT($F$6:$M$6,F15:M15)</f>
        <v>0</v>
      </c>
    </row>
    <row r="16" spans="1:14" ht="14.25">
      <c r="A16" s="168">
        <v>2.2000000000000002</v>
      </c>
      <c r="B16" s="176" t="s">
        <v>258</v>
      </c>
      <c r="C16" s="172"/>
      <c r="D16" s="175">
        <v>0.01</v>
      </c>
      <c r="E16" s="171">
        <f>C16*D16</f>
        <v>0</v>
      </c>
      <c r="F16" s="172"/>
      <c r="G16" s="172"/>
      <c r="H16" s="172"/>
      <c r="I16" s="172"/>
      <c r="J16" s="172"/>
      <c r="K16" s="172"/>
      <c r="L16" s="172"/>
      <c r="M16" s="172"/>
      <c r="N16" s="173">
        <f t="shared" ref="N16:N20" si="3">SUMPRODUCT($F$6:$M$6,F16:M16)</f>
        <v>0</v>
      </c>
    </row>
    <row r="17" spans="1:14" ht="14.25">
      <c r="A17" s="168">
        <v>2.2999999999999998</v>
      </c>
      <c r="B17" s="176" t="s">
        <v>257</v>
      </c>
      <c r="C17" s="172"/>
      <c r="D17" s="175">
        <v>0.02</v>
      </c>
      <c r="E17" s="171">
        <f>C17*D17</f>
        <v>0</v>
      </c>
      <c r="F17" s="172"/>
      <c r="G17" s="172"/>
      <c r="H17" s="172"/>
      <c r="I17" s="172"/>
      <c r="J17" s="172"/>
      <c r="K17" s="172"/>
      <c r="L17" s="172"/>
      <c r="M17" s="172"/>
      <c r="N17" s="173">
        <f t="shared" si="3"/>
        <v>0</v>
      </c>
    </row>
    <row r="18" spans="1:14" ht="14.25">
      <c r="A18" s="168">
        <v>2.4</v>
      </c>
      <c r="B18" s="176" t="s">
        <v>256</v>
      </c>
      <c r="C18" s="172"/>
      <c r="D18" s="175">
        <v>0.03</v>
      </c>
      <c r="E18" s="171">
        <f>C18*D18</f>
        <v>0</v>
      </c>
      <c r="F18" s="172"/>
      <c r="G18" s="172"/>
      <c r="H18" s="172"/>
      <c r="I18" s="172"/>
      <c r="J18" s="172"/>
      <c r="K18" s="172"/>
      <c r="L18" s="172"/>
      <c r="M18" s="172"/>
      <c r="N18" s="173">
        <f t="shared" si="3"/>
        <v>0</v>
      </c>
    </row>
    <row r="19" spans="1:14" ht="14.25">
      <c r="A19" s="168">
        <v>2.5</v>
      </c>
      <c r="B19" s="176" t="s">
        <v>255</v>
      </c>
      <c r="C19" s="172"/>
      <c r="D19" s="175">
        <v>0.04</v>
      </c>
      <c r="E19" s="171">
        <f>C19*D19</f>
        <v>0</v>
      </c>
      <c r="F19" s="172"/>
      <c r="G19" s="172"/>
      <c r="H19" s="172"/>
      <c r="I19" s="172"/>
      <c r="J19" s="172"/>
      <c r="K19" s="172"/>
      <c r="L19" s="172"/>
      <c r="M19" s="172"/>
      <c r="N19" s="173">
        <f t="shared" si="3"/>
        <v>0</v>
      </c>
    </row>
    <row r="20" spans="1:14" ht="14.25">
      <c r="A20" s="168">
        <v>2.6</v>
      </c>
      <c r="B20" s="176" t="s">
        <v>254</v>
      </c>
      <c r="C20" s="172"/>
      <c r="D20" s="177"/>
      <c r="E20" s="179"/>
      <c r="F20" s="172"/>
      <c r="G20" s="172"/>
      <c r="H20" s="172"/>
      <c r="I20" s="172"/>
      <c r="J20" s="172"/>
      <c r="K20" s="172"/>
      <c r="L20" s="172"/>
      <c r="M20" s="172"/>
      <c r="N20" s="173">
        <f t="shared" si="3"/>
        <v>0</v>
      </c>
    </row>
    <row r="21" spans="1:14" ht="15.75" thickBot="1">
      <c r="A21" s="180"/>
      <c r="B21" s="181" t="s">
        <v>109</v>
      </c>
      <c r="C21" s="156">
        <f>C14+C7</f>
        <v>30022400</v>
      </c>
      <c r="D21" s="182"/>
      <c r="E21" s="183">
        <f>E14+E7</f>
        <v>600448</v>
      </c>
      <c r="F21" s="184">
        <f>F7+F14</f>
        <v>0</v>
      </c>
      <c r="G21" s="184">
        <f t="shared" ref="G21:L21" si="4">G7+G14</f>
        <v>0</v>
      </c>
      <c r="H21" s="184">
        <f t="shared" si="4"/>
        <v>0</v>
      </c>
      <c r="I21" s="184">
        <f t="shared" si="4"/>
        <v>0</v>
      </c>
      <c r="J21" s="184">
        <f t="shared" si="4"/>
        <v>0</v>
      </c>
      <c r="K21" s="184">
        <f t="shared" si="4"/>
        <v>600448</v>
      </c>
      <c r="L21" s="184">
        <f t="shared" si="4"/>
        <v>0</v>
      </c>
      <c r="M21" s="184">
        <f>M7+M14</f>
        <v>0</v>
      </c>
      <c r="N21" s="185">
        <f>N14+N7</f>
        <v>600448</v>
      </c>
    </row>
    <row r="22" spans="1:14">
      <c r="E22" s="186"/>
      <c r="F22" s="186"/>
      <c r="G22" s="186"/>
      <c r="H22" s="186"/>
      <c r="I22" s="186"/>
      <c r="J22" s="186"/>
      <c r="K22" s="186"/>
      <c r="L22" s="186"/>
      <c r="M22" s="18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6" zoomScaleNormal="100" workbookViewId="0">
      <selection activeCell="B2" sqref="B2"/>
    </sheetView>
  </sheetViews>
  <sheetFormatPr defaultRowHeight="15"/>
  <cols>
    <col min="1" max="1" width="11.42578125" customWidth="1"/>
    <col min="2" max="2" width="76.7109375" style="319" customWidth="1"/>
    <col min="3" max="3" width="22.7109375" customWidth="1"/>
  </cols>
  <sheetData>
    <row r="1" spans="1:3">
      <c r="A1" s="2" t="s">
        <v>30</v>
      </c>
      <c r="B1" s="3" t="str">
        <f>'Info '!C2</f>
        <v>JSC CARTU BANK</v>
      </c>
    </row>
    <row r="2" spans="1:3">
      <c r="A2" s="2" t="s">
        <v>31</v>
      </c>
      <c r="B2" s="370">
        <f>'1. key ratios '!B2</f>
        <v>44561</v>
      </c>
    </row>
    <row r="3" spans="1:3">
      <c r="A3" s="4"/>
      <c r="B3"/>
    </row>
    <row r="4" spans="1:3">
      <c r="A4" s="4" t="s">
        <v>432</v>
      </c>
      <c r="B4" t="s">
        <v>433</v>
      </c>
    </row>
    <row r="5" spans="1:3">
      <c r="A5" s="320" t="s">
        <v>434</v>
      </c>
      <c r="B5" s="321"/>
      <c r="C5" s="322"/>
    </row>
    <row r="6" spans="1:3" ht="24">
      <c r="A6" s="323">
        <v>1</v>
      </c>
      <c r="B6" s="324" t="s">
        <v>485</v>
      </c>
      <c r="C6" s="555">
        <v>1235796313.1442151</v>
      </c>
    </row>
    <row r="7" spans="1:3">
      <c r="A7" s="323">
        <v>2</v>
      </c>
      <c r="B7" s="324" t="s">
        <v>435</v>
      </c>
      <c r="C7" s="555">
        <v>-4035809</v>
      </c>
    </row>
    <row r="8" spans="1:3" ht="24">
      <c r="A8" s="326">
        <v>3</v>
      </c>
      <c r="B8" s="327" t="s">
        <v>436</v>
      </c>
      <c r="C8" s="325">
        <f>C6+C7</f>
        <v>1231760504.1442151</v>
      </c>
    </row>
    <row r="9" spans="1:3">
      <c r="A9" s="320" t="s">
        <v>437</v>
      </c>
      <c r="B9" s="321"/>
      <c r="C9" s="328"/>
    </row>
    <row r="10" spans="1:3" ht="24">
      <c r="A10" s="329">
        <v>4</v>
      </c>
      <c r="B10" s="330" t="s">
        <v>438</v>
      </c>
      <c r="C10" s="555"/>
    </row>
    <row r="11" spans="1:3">
      <c r="A11" s="329">
        <v>5</v>
      </c>
      <c r="B11" s="331" t="s">
        <v>439</v>
      </c>
      <c r="C11" s="555"/>
    </row>
    <row r="12" spans="1:3">
      <c r="A12" s="329" t="s">
        <v>440</v>
      </c>
      <c r="B12" s="331" t="s">
        <v>441</v>
      </c>
      <c r="C12" s="556">
        <f>'15. CCR '!E21</f>
        <v>600448</v>
      </c>
    </row>
    <row r="13" spans="1:3" ht="24">
      <c r="A13" s="332">
        <v>6</v>
      </c>
      <c r="B13" s="330" t="s">
        <v>442</v>
      </c>
      <c r="C13" s="555"/>
    </row>
    <row r="14" spans="1:3">
      <c r="A14" s="332">
        <v>7</v>
      </c>
      <c r="B14" s="333" t="s">
        <v>443</v>
      </c>
      <c r="C14" s="555"/>
    </row>
    <row r="15" spans="1:3">
      <c r="A15" s="334">
        <v>8</v>
      </c>
      <c r="B15" s="335" t="s">
        <v>444</v>
      </c>
      <c r="C15" s="555"/>
    </row>
    <row r="16" spans="1:3">
      <c r="A16" s="332">
        <v>9</v>
      </c>
      <c r="B16" s="333" t="s">
        <v>445</v>
      </c>
      <c r="C16" s="555"/>
    </row>
    <row r="17" spans="1:3">
      <c r="A17" s="332">
        <v>10</v>
      </c>
      <c r="B17" s="333" t="s">
        <v>446</v>
      </c>
      <c r="C17" s="555"/>
    </row>
    <row r="18" spans="1:3">
      <c r="A18" s="336">
        <v>11</v>
      </c>
      <c r="B18" s="337" t="s">
        <v>447</v>
      </c>
      <c r="C18" s="556">
        <f>SUM(C10:C17)</f>
        <v>600448</v>
      </c>
    </row>
    <row r="19" spans="1:3">
      <c r="A19" s="338" t="s">
        <v>448</v>
      </c>
      <c r="B19" s="339"/>
      <c r="C19" s="557"/>
    </row>
    <row r="20" spans="1:3" ht="24">
      <c r="A20" s="340">
        <v>12</v>
      </c>
      <c r="B20" s="330" t="s">
        <v>449</v>
      </c>
      <c r="C20" s="555"/>
    </row>
    <row r="21" spans="1:3">
      <c r="A21" s="340">
        <v>13</v>
      </c>
      <c r="B21" s="330" t="s">
        <v>450</v>
      </c>
      <c r="C21" s="555"/>
    </row>
    <row r="22" spans="1:3">
      <c r="A22" s="340">
        <v>14</v>
      </c>
      <c r="B22" s="330" t="s">
        <v>451</v>
      </c>
      <c r="C22" s="555"/>
    </row>
    <row r="23" spans="1:3" ht="24">
      <c r="A23" s="340" t="s">
        <v>452</v>
      </c>
      <c r="B23" s="330" t="s">
        <v>453</v>
      </c>
      <c r="C23" s="555"/>
    </row>
    <row r="24" spans="1:3">
      <c r="A24" s="340">
        <v>15</v>
      </c>
      <c r="B24" s="330" t="s">
        <v>454</v>
      </c>
      <c r="C24" s="555"/>
    </row>
    <row r="25" spans="1:3">
      <c r="A25" s="340" t="s">
        <v>455</v>
      </c>
      <c r="B25" s="330" t="s">
        <v>456</v>
      </c>
      <c r="C25" s="555"/>
    </row>
    <row r="26" spans="1:3">
      <c r="A26" s="341">
        <v>16</v>
      </c>
      <c r="B26" s="342" t="s">
        <v>457</v>
      </c>
      <c r="C26" s="556">
        <v>0</v>
      </c>
    </row>
    <row r="27" spans="1:3">
      <c r="A27" s="320" t="s">
        <v>458</v>
      </c>
      <c r="B27" s="321"/>
      <c r="C27" s="558"/>
    </row>
    <row r="28" spans="1:3">
      <c r="A28" s="343">
        <v>17</v>
      </c>
      <c r="B28" s="331" t="s">
        <v>459</v>
      </c>
      <c r="C28" s="555">
        <v>64896945.841372088</v>
      </c>
    </row>
    <row r="29" spans="1:3">
      <c r="A29" s="343">
        <v>18</v>
      </c>
      <c r="B29" s="331" t="s">
        <v>460</v>
      </c>
      <c r="C29" s="555">
        <v>-30268762.203630045</v>
      </c>
    </row>
    <row r="30" spans="1:3">
      <c r="A30" s="341">
        <v>19</v>
      </c>
      <c r="B30" s="342" t="s">
        <v>461</v>
      </c>
      <c r="C30" s="556">
        <f>C28+C29</f>
        <v>34628183.637742043</v>
      </c>
    </row>
    <row r="31" spans="1:3">
      <c r="A31" s="320" t="s">
        <v>462</v>
      </c>
      <c r="B31" s="321"/>
      <c r="C31" s="558"/>
    </row>
    <row r="32" spans="1:3" ht="24">
      <c r="A32" s="343" t="s">
        <v>463</v>
      </c>
      <c r="B32" s="330" t="s">
        <v>464</v>
      </c>
      <c r="C32" s="559"/>
    </row>
    <row r="33" spans="1:3">
      <c r="A33" s="343" t="s">
        <v>465</v>
      </c>
      <c r="B33" s="331" t="s">
        <v>466</v>
      </c>
      <c r="C33" s="559"/>
    </row>
    <row r="34" spans="1:3">
      <c r="A34" s="320" t="s">
        <v>467</v>
      </c>
      <c r="B34" s="321"/>
      <c r="C34" s="558"/>
    </row>
    <row r="35" spans="1:3">
      <c r="A35" s="345">
        <v>20</v>
      </c>
      <c r="B35" s="346" t="s">
        <v>468</v>
      </c>
      <c r="C35" s="556">
        <f>'1. key ratios '!C9</f>
        <v>272875089</v>
      </c>
    </row>
    <row r="36" spans="1:3">
      <c r="A36" s="341">
        <v>21</v>
      </c>
      <c r="B36" s="342" t="s">
        <v>469</v>
      </c>
      <c r="C36" s="556">
        <f>C8+C18+C26+C30</f>
        <v>1266989135.7819571</v>
      </c>
    </row>
    <row r="37" spans="1:3">
      <c r="A37" s="320" t="s">
        <v>470</v>
      </c>
      <c r="B37" s="321"/>
      <c r="C37" s="558"/>
    </row>
    <row r="38" spans="1:3">
      <c r="A38" s="341">
        <v>22</v>
      </c>
      <c r="B38" s="342" t="s">
        <v>470</v>
      </c>
      <c r="C38" s="560">
        <f>IFERROR(C35/C36,0)</f>
        <v>0.21537287202671052</v>
      </c>
    </row>
    <row r="39" spans="1:3">
      <c r="A39" s="320" t="s">
        <v>471</v>
      </c>
      <c r="B39" s="321"/>
      <c r="C39" s="328"/>
    </row>
    <row r="40" spans="1:3">
      <c r="A40" s="347" t="s">
        <v>472</v>
      </c>
      <c r="B40" s="330" t="s">
        <v>473</v>
      </c>
      <c r="C40" s="344"/>
    </row>
    <row r="41" spans="1:3" ht="24">
      <c r="A41" s="348" t="s">
        <v>474</v>
      </c>
      <c r="B41" s="324" t="s">
        <v>475</v>
      </c>
      <c r="C41" s="344"/>
    </row>
    <row r="43" spans="1:3">
      <c r="B43" s="319"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8.7109375" style="225"/>
    <col min="2" max="2" width="82.7109375" style="232" customWidth="1"/>
    <col min="3" max="7" width="17.5703125" style="225" customWidth="1"/>
  </cols>
  <sheetData>
    <row r="1" spans="1:7">
      <c r="A1" s="225" t="s">
        <v>30</v>
      </c>
      <c r="B1" s="3" t="str">
        <f>'Info '!C2</f>
        <v>JSC CARTU BANK</v>
      </c>
    </row>
    <row r="2" spans="1:7">
      <c r="A2" s="225" t="s">
        <v>31</v>
      </c>
      <c r="B2" s="370">
        <f>'1. key ratios '!B2</f>
        <v>44561</v>
      </c>
    </row>
    <row r="4" spans="1:7" ht="15.75" thickBot="1">
      <c r="A4" s="225" t="s">
        <v>536</v>
      </c>
      <c r="B4" s="377" t="s">
        <v>497</v>
      </c>
    </row>
    <row r="5" spans="1:7">
      <c r="A5" s="378"/>
      <c r="B5" s="379"/>
      <c r="C5" s="685" t="s">
        <v>498</v>
      </c>
      <c r="D5" s="685"/>
      <c r="E5" s="685"/>
      <c r="F5" s="685"/>
      <c r="G5" s="686" t="s">
        <v>499</v>
      </c>
    </row>
    <row r="6" spans="1:7">
      <c r="A6" s="380"/>
      <c r="B6" s="381"/>
      <c r="C6" s="382" t="s">
        <v>500</v>
      </c>
      <c r="D6" s="382" t="s">
        <v>501</v>
      </c>
      <c r="E6" s="382" t="s">
        <v>502</v>
      </c>
      <c r="F6" s="382" t="s">
        <v>503</v>
      </c>
      <c r="G6" s="687"/>
    </row>
    <row r="7" spans="1:7">
      <c r="A7" s="383"/>
      <c r="B7" s="384" t="s">
        <v>504</v>
      </c>
      <c r="C7" s="385"/>
      <c r="D7" s="385"/>
      <c r="E7" s="385"/>
      <c r="F7" s="385"/>
      <c r="G7" s="386"/>
    </row>
    <row r="8" spans="1:7">
      <c r="A8" s="387">
        <v>1</v>
      </c>
      <c r="B8" s="388" t="s">
        <v>505</v>
      </c>
      <c r="C8" s="561">
        <v>74809889</v>
      </c>
      <c r="D8" s="561">
        <v>0</v>
      </c>
      <c r="E8" s="561">
        <v>0</v>
      </c>
      <c r="F8" s="561">
        <v>383202151.13190001</v>
      </c>
      <c r="G8" s="389">
        <v>458012040.13190001</v>
      </c>
    </row>
    <row r="9" spans="1:7">
      <c r="A9" s="387">
        <v>2</v>
      </c>
      <c r="B9" s="390" t="s">
        <v>506</v>
      </c>
      <c r="C9" s="561">
        <v>74809889</v>
      </c>
      <c r="D9" s="561"/>
      <c r="E9" s="561"/>
      <c r="F9" s="561">
        <v>235236400</v>
      </c>
      <c r="G9" s="389">
        <v>310046289</v>
      </c>
    </row>
    <row r="10" spans="1:7">
      <c r="A10" s="387">
        <v>3</v>
      </c>
      <c r="B10" s="390" t="s">
        <v>507</v>
      </c>
      <c r="C10" s="562"/>
      <c r="D10" s="562"/>
      <c r="E10" s="562"/>
      <c r="F10" s="561">
        <v>147965751.13190001</v>
      </c>
      <c r="G10" s="389">
        <v>147965751.13190001</v>
      </c>
    </row>
    <row r="11" spans="1:7" ht="14.65" customHeight="1">
      <c r="A11" s="387">
        <v>4</v>
      </c>
      <c r="B11" s="388" t="s">
        <v>508</v>
      </c>
      <c r="C11" s="561">
        <v>54271433.040600538</v>
      </c>
      <c r="D11" s="561">
        <v>60618615.924600005</v>
      </c>
      <c r="E11" s="561">
        <v>97073024.362800017</v>
      </c>
      <c r="F11" s="561">
        <v>0</v>
      </c>
      <c r="G11" s="389">
        <v>195360286.02061552</v>
      </c>
    </row>
    <row r="12" spans="1:7">
      <c r="A12" s="387">
        <v>5</v>
      </c>
      <c r="B12" s="390" t="s">
        <v>509</v>
      </c>
      <c r="C12" s="561">
        <v>44918188.201500535</v>
      </c>
      <c r="D12" s="563">
        <v>57303028.120400004</v>
      </c>
      <c r="E12" s="561">
        <v>96398226.692800015</v>
      </c>
      <c r="F12" s="561"/>
      <c r="G12" s="389">
        <v>188688470.86396551</v>
      </c>
    </row>
    <row r="13" spans="1:7">
      <c r="A13" s="387">
        <v>6</v>
      </c>
      <c r="B13" s="390" t="s">
        <v>510</v>
      </c>
      <c r="C13" s="561">
        <v>9353244.8390999995</v>
      </c>
      <c r="D13" s="563">
        <v>3315587.8041999997</v>
      </c>
      <c r="E13" s="561">
        <v>674797.66999999993</v>
      </c>
      <c r="F13" s="561"/>
      <c r="G13" s="389">
        <v>6671815.1566499993</v>
      </c>
    </row>
    <row r="14" spans="1:7">
      <c r="A14" s="387">
        <v>7</v>
      </c>
      <c r="B14" s="388" t="s">
        <v>511</v>
      </c>
      <c r="C14" s="561">
        <v>108901753.65089999</v>
      </c>
      <c r="D14" s="561">
        <v>348945648.19749999</v>
      </c>
      <c r="E14" s="561">
        <v>56711251.6417</v>
      </c>
      <c r="F14" s="561">
        <v>0</v>
      </c>
      <c r="G14" s="389">
        <v>246521698.28305</v>
      </c>
    </row>
    <row r="15" spans="1:7" ht="39">
      <c r="A15" s="387">
        <v>8</v>
      </c>
      <c r="B15" s="390" t="s">
        <v>512</v>
      </c>
      <c r="C15" s="561">
        <v>107107848.84689999</v>
      </c>
      <c r="D15" s="561">
        <v>329224296.07749999</v>
      </c>
      <c r="E15" s="561">
        <v>33917700.221699998</v>
      </c>
      <c r="F15" s="561"/>
      <c r="G15" s="389">
        <v>235124922.57304999</v>
      </c>
    </row>
    <row r="16" spans="1:7" ht="26.25">
      <c r="A16" s="387">
        <v>9</v>
      </c>
      <c r="B16" s="390" t="s">
        <v>513</v>
      </c>
      <c r="C16" s="561">
        <v>1793904.8040000002</v>
      </c>
      <c r="D16" s="563">
        <v>19721352.120000001</v>
      </c>
      <c r="E16" s="561">
        <v>22793551.420000002</v>
      </c>
      <c r="F16" s="561"/>
      <c r="G16" s="389">
        <v>11396775.710000001</v>
      </c>
    </row>
    <row r="17" spans="1:7">
      <c r="A17" s="387">
        <v>10</v>
      </c>
      <c r="B17" s="388" t="s">
        <v>514</v>
      </c>
      <c r="C17" s="561"/>
      <c r="D17" s="563"/>
      <c r="E17" s="561"/>
      <c r="F17" s="561"/>
      <c r="G17" s="389"/>
    </row>
    <row r="18" spans="1:7">
      <c r="A18" s="387">
        <v>11</v>
      </c>
      <c r="B18" s="388" t="s">
        <v>515</v>
      </c>
      <c r="C18" s="561">
        <v>0</v>
      </c>
      <c r="D18" s="563">
        <v>40535027.186399475</v>
      </c>
      <c r="E18" s="561">
        <v>4304161.9954999834</v>
      </c>
      <c r="F18" s="561">
        <v>8247201.8680999875</v>
      </c>
      <c r="G18" s="389">
        <v>0</v>
      </c>
    </row>
    <row r="19" spans="1:7">
      <c r="A19" s="387">
        <v>12</v>
      </c>
      <c r="B19" s="390" t="s">
        <v>516</v>
      </c>
      <c r="C19" s="562"/>
      <c r="D19" s="563">
        <v>17632000</v>
      </c>
      <c r="E19" s="561">
        <v>0</v>
      </c>
      <c r="F19" s="561"/>
      <c r="G19" s="389">
        <v>0</v>
      </c>
    </row>
    <row r="20" spans="1:7">
      <c r="A20" s="387">
        <v>13</v>
      </c>
      <c r="B20" s="390" t="s">
        <v>517</v>
      </c>
      <c r="C20" s="561">
        <v>0</v>
      </c>
      <c r="D20" s="561">
        <v>22903027.186399475</v>
      </c>
      <c r="E20" s="561">
        <v>4304161.9954999834</v>
      </c>
      <c r="F20" s="561">
        <v>8247201.8680999875</v>
      </c>
      <c r="G20" s="389">
        <v>0</v>
      </c>
    </row>
    <row r="21" spans="1:7">
      <c r="A21" s="391">
        <v>14</v>
      </c>
      <c r="B21" s="392" t="s">
        <v>518</v>
      </c>
      <c r="C21" s="562"/>
      <c r="D21" s="562"/>
      <c r="E21" s="562"/>
      <c r="F21" s="562"/>
      <c r="G21" s="393">
        <v>899894024.43556547</v>
      </c>
    </row>
    <row r="22" spans="1:7">
      <c r="A22" s="394"/>
      <c r="B22" s="395" t="s">
        <v>519</v>
      </c>
      <c r="C22" s="396"/>
      <c r="D22" s="397"/>
      <c r="E22" s="396"/>
      <c r="F22" s="396"/>
      <c r="G22" s="398"/>
    </row>
    <row r="23" spans="1:7">
      <c r="A23" s="387">
        <v>15</v>
      </c>
      <c r="B23" s="388" t="s">
        <v>520</v>
      </c>
      <c r="C23" s="564">
        <v>308966413.51999998</v>
      </c>
      <c r="D23" s="541">
        <v>1239040</v>
      </c>
      <c r="E23" s="564">
        <v>3000</v>
      </c>
      <c r="F23" s="564"/>
      <c r="G23" s="389">
        <v>3967075.3760000002</v>
      </c>
    </row>
    <row r="24" spans="1:7">
      <c r="A24" s="387">
        <v>16</v>
      </c>
      <c r="B24" s="388" t="s">
        <v>521</v>
      </c>
      <c r="C24" s="561">
        <v>2676025.2899999991</v>
      </c>
      <c r="D24" s="563">
        <v>164146531.8508822</v>
      </c>
      <c r="E24" s="561">
        <v>86214763.830604717</v>
      </c>
      <c r="F24" s="561">
        <v>338002685.95135069</v>
      </c>
      <c r="G24" s="389">
        <v>412884334.69289154</v>
      </c>
    </row>
    <row r="25" spans="1:7">
      <c r="A25" s="387">
        <v>17</v>
      </c>
      <c r="B25" s="390" t="s">
        <v>522</v>
      </c>
      <c r="C25" s="561"/>
      <c r="D25" s="563">
        <v>0</v>
      </c>
      <c r="E25" s="561"/>
      <c r="F25" s="561"/>
      <c r="G25" s="389"/>
    </row>
    <row r="26" spans="1:7" ht="26.25">
      <c r="A26" s="387">
        <v>18</v>
      </c>
      <c r="B26" s="390" t="s">
        <v>523</v>
      </c>
      <c r="C26" s="561">
        <v>2676025.2899999991</v>
      </c>
      <c r="D26" s="563">
        <v>0</v>
      </c>
      <c r="E26" s="561">
        <v>0</v>
      </c>
      <c r="F26" s="561">
        <v>0</v>
      </c>
      <c r="G26" s="389">
        <v>401403.79349999985</v>
      </c>
    </row>
    <row r="27" spans="1:7">
      <c r="A27" s="387">
        <v>19</v>
      </c>
      <c r="B27" s="390" t="s">
        <v>524</v>
      </c>
      <c r="C27" s="561"/>
      <c r="D27" s="563">
        <v>159681516.81312123</v>
      </c>
      <c r="E27" s="561">
        <v>70074571.297882989</v>
      </c>
      <c r="F27" s="561">
        <v>297865436.34086382</v>
      </c>
      <c r="G27" s="389">
        <v>368063664.94523633</v>
      </c>
    </row>
    <row r="28" spans="1:7">
      <c r="A28" s="387">
        <v>20</v>
      </c>
      <c r="B28" s="399" t="s">
        <v>525</v>
      </c>
      <c r="C28" s="561"/>
      <c r="D28" s="563"/>
      <c r="E28" s="561"/>
      <c r="F28" s="561"/>
      <c r="G28" s="389"/>
    </row>
    <row r="29" spans="1:7">
      <c r="A29" s="387">
        <v>21</v>
      </c>
      <c r="B29" s="390" t="s">
        <v>526</v>
      </c>
      <c r="C29" s="561"/>
      <c r="D29" s="563">
        <v>2872217.907760968</v>
      </c>
      <c r="E29" s="561">
        <v>15699192.532721724</v>
      </c>
      <c r="F29" s="561">
        <v>23456359.610486895</v>
      </c>
      <c r="G29" s="389">
        <v>29223610.889155205</v>
      </c>
    </row>
    <row r="30" spans="1:7">
      <c r="A30" s="387">
        <v>22</v>
      </c>
      <c r="B30" s="399" t="s">
        <v>525</v>
      </c>
      <c r="C30" s="561"/>
      <c r="D30" s="563"/>
      <c r="E30" s="561"/>
      <c r="F30" s="561"/>
      <c r="G30" s="389"/>
    </row>
    <row r="31" spans="1:7">
      <c r="A31" s="387">
        <v>23</v>
      </c>
      <c r="B31" s="390" t="s">
        <v>527</v>
      </c>
      <c r="C31" s="561"/>
      <c r="D31" s="563">
        <v>1592797.1300000001</v>
      </c>
      <c r="E31" s="561">
        <v>441000.00000000006</v>
      </c>
      <c r="F31" s="561">
        <v>16680890</v>
      </c>
      <c r="G31" s="389">
        <v>15195655.064999999</v>
      </c>
    </row>
    <row r="32" spans="1:7">
      <c r="A32" s="387">
        <v>24</v>
      </c>
      <c r="B32" s="388" t="s">
        <v>528</v>
      </c>
      <c r="C32" s="561"/>
      <c r="D32" s="563"/>
      <c r="E32" s="561"/>
      <c r="F32" s="561"/>
      <c r="G32" s="389"/>
    </row>
    <row r="33" spans="1:7">
      <c r="A33" s="387">
        <v>25</v>
      </c>
      <c r="B33" s="388" t="s">
        <v>529</v>
      </c>
      <c r="C33" s="561">
        <v>0</v>
      </c>
      <c r="D33" s="561">
        <v>25901332.887117837</v>
      </c>
      <c r="E33" s="561">
        <v>29075731.169395283</v>
      </c>
      <c r="F33" s="561">
        <v>281416418.74864936</v>
      </c>
      <c r="G33" s="389">
        <v>305063422.2767638</v>
      </c>
    </row>
    <row r="34" spans="1:7">
      <c r="A34" s="387">
        <v>26</v>
      </c>
      <c r="B34" s="390" t="s">
        <v>530</v>
      </c>
      <c r="C34" s="562"/>
      <c r="D34" s="563">
        <v>17521125.248</v>
      </c>
      <c r="E34" s="561"/>
      <c r="F34" s="561"/>
      <c r="G34" s="389">
        <v>17521125.248</v>
      </c>
    </row>
    <row r="35" spans="1:7">
      <c r="A35" s="387">
        <v>27</v>
      </c>
      <c r="B35" s="390" t="s">
        <v>531</v>
      </c>
      <c r="C35" s="561"/>
      <c r="D35" s="563">
        <v>8380207.639117837</v>
      </c>
      <c r="E35" s="561">
        <v>29075731.169395283</v>
      </c>
      <c r="F35" s="561">
        <v>281416418.74864936</v>
      </c>
      <c r="G35" s="389">
        <v>287542297.02876377</v>
      </c>
    </row>
    <row r="36" spans="1:7">
      <c r="A36" s="387">
        <v>28</v>
      </c>
      <c r="B36" s="388" t="s">
        <v>532</v>
      </c>
      <c r="C36" s="561"/>
      <c r="D36" s="563">
        <v>49520570.6889892</v>
      </c>
      <c r="E36" s="561">
        <v>6120941.9545600004</v>
      </c>
      <c r="F36" s="561">
        <v>8809134.7061120011</v>
      </c>
      <c r="G36" s="389">
        <v>5119416.7269884199</v>
      </c>
    </row>
    <row r="37" spans="1:7">
      <c r="A37" s="391">
        <v>29</v>
      </c>
      <c r="B37" s="392" t="s">
        <v>533</v>
      </c>
      <c r="C37" s="562"/>
      <c r="D37" s="562"/>
      <c r="E37" s="562"/>
      <c r="F37" s="562"/>
      <c r="G37" s="393">
        <v>727034249.07264376</v>
      </c>
    </row>
    <row r="38" spans="1:7">
      <c r="A38" s="383"/>
      <c r="B38" s="400"/>
      <c r="C38" s="565"/>
      <c r="D38" s="565"/>
      <c r="E38" s="565"/>
      <c r="F38" s="565"/>
      <c r="G38" s="401"/>
    </row>
    <row r="39" spans="1:7" ht="15.75" thickBot="1">
      <c r="A39" s="402">
        <v>30</v>
      </c>
      <c r="B39" s="403" t="s">
        <v>534</v>
      </c>
      <c r="C39" s="285"/>
      <c r="D39" s="286"/>
      <c r="E39" s="286"/>
      <c r="F39" s="287"/>
      <c r="G39" s="404">
        <f>IFERROR(G21/G37,0)</f>
        <v>1.2377601544678398</v>
      </c>
    </row>
    <row r="42" spans="1:7" ht="39">
      <c r="B42" s="232"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CARTU BANK</v>
      </c>
    </row>
    <row r="2" spans="1:7">
      <c r="A2" s="2" t="s">
        <v>31</v>
      </c>
      <c r="B2" s="370">
        <v>44561</v>
      </c>
    </row>
    <row r="3" spans="1:7">
      <c r="A3" s="2"/>
    </row>
    <row r="4" spans="1:7" ht="15" thickBot="1">
      <c r="A4" s="6" t="s">
        <v>140</v>
      </c>
      <c r="B4" s="7" t="s">
        <v>139</v>
      </c>
      <c r="C4" s="7"/>
      <c r="D4" s="7"/>
      <c r="E4" s="7"/>
      <c r="F4" s="7"/>
      <c r="G4" s="7"/>
    </row>
    <row r="5" spans="1:7">
      <c r="A5" s="8" t="s">
        <v>6</v>
      </c>
      <c r="B5" s="9"/>
      <c r="C5" s="368" t="str">
        <f>INT((MONTH($B$2))/3)&amp;"Q"&amp;"-"&amp;YEAR($B$2)</f>
        <v>4Q-2021</v>
      </c>
      <c r="D5" s="368" t="str">
        <f>IF(INT(MONTH($B$2))=3, "4"&amp;"Q"&amp;"-"&amp;YEAR($B$2)-1, IF(INT(MONTH($B$2))=6, "1"&amp;"Q"&amp;"-"&amp;YEAR($B$2), IF(INT(MONTH($B$2))=9, "2"&amp;"Q"&amp;"-"&amp;YEAR($B$2),IF(INT(MONTH($B$2))=12, "3"&amp;"Q"&amp;"-"&amp;YEAR($B$2), 0))))</f>
        <v>3Q-2021</v>
      </c>
      <c r="E5" s="368" t="str">
        <f>IF(INT(MONTH($B$2))=3, "3"&amp;"Q"&amp;"-"&amp;YEAR($B$2)-1, IF(INT(MONTH($B$2))=6, "4"&amp;"Q"&amp;"-"&amp;YEAR($B$2)-1, IF(INT(MONTH($B$2))=9, "1"&amp;"Q"&amp;"-"&amp;YEAR($B$2),IF(INT(MONTH($B$2))=12, "2"&amp;"Q"&amp;"-"&amp;YEAR($B$2), 0))))</f>
        <v>2Q-2021</v>
      </c>
      <c r="F5" s="368" t="str">
        <f>IF(INT(MONTH($B$2))=3, "2"&amp;"Q"&amp;"-"&amp;YEAR($B$2)-1, IF(INT(MONTH($B$2))=6, "3"&amp;"Q"&amp;"-"&amp;YEAR($B$2)-1, IF(INT(MONTH($B$2))=9, "4"&amp;"Q"&amp;"-"&amp;YEAR($B$2)-1,IF(INT(MONTH($B$2))=12, "1"&amp;"Q"&amp;"-"&amp;YEAR($B$2), 0))))</f>
        <v>1Q-2021</v>
      </c>
      <c r="G5" s="369" t="str">
        <f>IF(INT(MONTH($B$2))=3, "1"&amp;"Q"&amp;"-"&amp;YEAR($B$2)-1, IF(INT(MONTH($B$2))=6, "2"&amp;"Q"&amp;"-"&amp;YEAR($B$2)-1, IF(INT(MONTH($B$2))=9, "3"&amp;"Q"&amp;"-"&amp;YEAR($B$2)-1,IF(INT(MONTH($B$2))=12, "4"&amp;"Q"&amp;"-"&amp;YEAR($B$2)-1, 0))))</f>
        <v>4Q-2020</v>
      </c>
    </row>
    <row r="6" spans="1:7">
      <c r="B6" s="200" t="s">
        <v>138</v>
      </c>
      <c r="C6" s="372"/>
      <c r="D6" s="372"/>
      <c r="E6" s="372"/>
      <c r="F6" s="372"/>
      <c r="G6" s="373"/>
    </row>
    <row r="7" spans="1:7">
      <c r="A7" s="10"/>
      <c r="B7" s="201" t="s">
        <v>136</v>
      </c>
      <c r="C7" s="372"/>
      <c r="D7" s="372"/>
      <c r="E7" s="372"/>
      <c r="F7" s="372"/>
      <c r="G7" s="373"/>
    </row>
    <row r="8" spans="1:7">
      <c r="A8" s="8">
        <v>1</v>
      </c>
      <c r="B8" s="11" t="s">
        <v>487</v>
      </c>
      <c r="C8" s="460">
        <v>189239889</v>
      </c>
      <c r="D8" s="460">
        <v>175613617.65000001</v>
      </c>
      <c r="E8" s="460">
        <v>168291279.65000001</v>
      </c>
      <c r="F8" s="460">
        <v>180388469.65000001</v>
      </c>
      <c r="G8" s="461">
        <v>171026077</v>
      </c>
    </row>
    <row r="9" spans="1:7">
      <c r="A9" s="8">
        <v>2</v>
      </c>
      <c r="B9" s="11" t="s">
        <v>488</v>
      </c>
      <c r="C9" s="460">
        <v>272875089</v>
      </c>
      <c r="D9" s="460">
        <v>259929217.65000001</v>
      </c>
      <c r="E9" s="460">
        <v>253619379.65000001</v>
      </c>
      <c r="F9" s="460">
        <v>238389069.65000001</v>
      </c>
      <c r="G9" s="461">
        <v>226728277</v>
      </c>
    </row>
    <row r="10" spans="1:7">
      <c r="A10" s="8">
        <v>3</v>
      </c>
      <c r="B10" s="11" t="s">
        <v>245</v>
      </c>
      <c r="C10" s="460">
        <v>322397605</v>
      </c>
      <c r="D10" s="460">
        <v>309904913.64999998</v>
      </c>
      <c r="E10" s="460">
        <v>351699748.64999998</v>
      </c>
      <c r="F10" s="460">
        <v>419211592.64999998</v>
      </c>
      <c r="G10" s="461">
        <v>400582803</v>
      </c>
    </row>
    <row r="11" spans="1:7">
      <c r="A11" s="8">
        <v>4</v>
      </c>
      <c r="B11" s="11" t="s">
        <v>490</v>
      </c>
      <c r="C11" s="460">
        <v>136577495.8508997</v>
      </c>
      <c r="D11" s="460">
        <v>138365879.42782193</v>
      </c>
      <c r="E11" s="460">
        <v>145963792.78535116</v>
      </c>
      <c r="F11" s="460">
        <v>159279293.63442346</v>
      </c>
      <c r="G11" s="461">
        <v>140186595.68914956</v>
      </c>
    </row>
    <row r="12" spans="1:7">
      <c r="A12" s="8">
        <v>5</v>
      </c>
      <c r="B12" s="11" t="s">
        <v>491</v>
      </c>
      <c r="C12" s="460">
        <v>171373251.16610357</v>
      </c>
      <c r="D12" s="460">
        <v>173604853.06885102</v>
      </c>
      <c r="E12" s="460">
        <v>183360504.28682971</v>
      </c>
      <c r="F12" s="460">
        <v>200349795.65585443</v>
      </c>
      <c r="G12" s="461">
        <v>174966591.98411831</v>
      </c>
    </row>
    <row r="13" spans="1:7">
      <c r="A13" s="8">
        <v>6</v>
      </c>
      <c r="B13" s="11" t="s">
        <v>489</v>
      </c>
      <c r="C13" s="460">
        <v>263543735.53833356</v>
      </c>
      <c r="D13" s="460">
        <v>265118839.3574006</v>
      </c>
      <c r="E13" s="460">
        <v>282749317.92180848</v>
      </c>
      <c r="F13" s="460">
        <v>310509572.82126808</v>
      </c>
      <c r="G13" s="461">
        <v>310408552.82748038</v>
      </c>
    </row>
    <row r="14" spans="1:7">
      <c r="A14" s="10"/>
      <c r="B14" s="200" t="s">
        <v>493</v>
      </c>
      <c r="C14" s="462"/>
      <c r="D14" s="462"/>
      <c r="E14" s="462"/>
      <c r="F14" s="462"/>
      <c r="G14" s="463"/>
    </row>
    <row r="15" spans="1:7" ht="15" customHeight="1">
      <c r="A15" s="8">
        <v>7</v>
      </c>
      <c r="B15" s="11" t="s">
        <v>492</v>
      </c>
      <c r="C15" s="460">
        <v>1299143576.9453716</v>
      </c>
      <c r="D15" s="460">
        <v>1318377848.5747347</v>
      </c>
      <c r="E15" s="460">
        <v>1364203504.3029904</v>
      </c>
      <c r="F15" s="460">
        <v>1458081188.9781187</v>
      </c>
      <c r="G15" s="461">
        <v>1448539441.0368302</v>
      </c>
    </row>
    <row r="16" spans="1:7">
      <c r="A16" s="10"/>
      <c r="B16" s="200" t="s">
        <v>494</v>
      </c>
      <c r="C16" s="462"/>
      <c r="D16" s="462"/>
      <c r="E16" s="462"/>
      <c r="F16" s="462"/>
      <c r="G16" s="463"/>
    </row>
    <row r="17" spans="1:7">
      <c r="A17" s="8"/>
      <c r="B17" s="201" t="s">
        <v>478</v>
      </c>
      <c r="C17" s="462"/>
      <c r="D17" s="462"/>
      <c r="E17" s="462"/>
      <c r="F17" s="462"/>
      <c r="G17" s="463"/>
    </row>
    <row r="18" spans="1:7">
      <c r="A18" s="8">
        <v>8</v>
      </c>
      <c r="B18" s="11" t="s">
        <v>487</v>
      </c>
      <c r="C18" s="464">
        <v>0.14566510765881072</v>
      </c>
      <c r="D18" s="464">
        <v>0.13320431455963214</v>
      </c>
      <c r="E18" s="464">
        <v>0.1233622983075276</v>
      </c>
      <c r="F18" s="464">
        <v>0.1237163410471151</v>
      </c>
      <c r="G18" s="465">
        <v>0.11806794634296157</v>
      </c>
    </row>
    <row r="19" spans="1:7" ht="15" customHeight="1">
      <c r="A19" s="8">
        <v>9</v>
      </c>
      <c r="B19" s="11" t="s">
        <v>488</v>
      </c>
      <c r="C19" s="464">
        <v>0.21004228773666506</v>
      </c>
      <c r="D19" s="464">
        <v>0.19715836240043247</v>
      </c>
      <c r="E19" s="464">
        <v>0.1859102244276826</v>
      </c>
      <c r="F19" s="464">
        <v>0.16349505874708703</v>
      </c>
      <c r="G19" s="465">
        <v>0.15652199075622911</v>
      </c>
    </row>
    <row r="20" spans="1:7">
      <c r="A20" s="8">
        <v>10</v>
      </c>
      <c r="B20" s="11" t="s">
        <v>245</v>
      </c>
      <c r="C20" s="464">
        <v>0.24816164334818297</v>
      </c>
      <c r="D20" s="464">
        <v>0.23506532211917125</v>
      </c>
      <c r="E20" s="464">
        <v>0.25780592671156727</v>
      </c>
      <c r="F20" s="464">
        <v>0.28750908784702184</v>
      </c>
      <c r="G20" s="465">
        <v>0.27654255842234599</v>
      </c>
    </row>
    <row r="21" spans="1:7">
      <c r="A21" s="8">
        <v>11</v>
      </c>
      <c r="B21" s="11" t="s">
        <v>490</v>
      </c>
      <c r="C21" s="466">
        <v>0.1051288697220282</v>
      </c>
      <c r="D21" s="466">
        <v>0.10495161123755668</v>
      </c>
      <c r="E21" s="466">
        <v>0.10699561489539504</v>
      </c>
      <c r="F21" s="466">
        <v>0.10923897437155247</v>
      </c>
      <c r="G21" s="467">
        <v>9.6777893454393846E-2</v>
      </c>
    </row>
    <row r="22" spans="1:7">
      <c r="A22" s="8">
        <v>12</v>
      </c>
      <c r="B22" s="11" t="s">
        <v>491</v>
      </c>
      <c r="C22" s="466">
        <v>0.1319124800424655</v>
      </c>
      <c r="D22" s="466">
        <v>0.13168065077589924</v>
      </c>
      <c r="E22" s="466">
        <v>0.13440846890399516</v>
      </c>
      <c r="F22" s="466">
        <v>0.13740647446132101</v>
      </c>
      <c r="G22" s="467">
        <v>0.12078828303003016</v>
      </c>
    </row>
    <row r="23" spans="1:7">
      <c r="A23" s="8">
        <v>13</v>
      </c>
      <c r="B23" s="11" t="s">
        <v>489</v>
      </c>
      <c r="C23" s="466">
        <v>0.20285959166883943</v>
      </c>
      <c r="D23" s="466">
        <v>0.20109473141103967</v>
      </c>
      <c r="E23" s="466">
        <v>0.20726329834951787</v>
      </c>
      <c r="F23" s="466">
        <v>0.21295767009989722</v>
      </c>
      <c r="G23" s="467">
        <v>0.21429071520848428</v>
      </c>
    </row>
    <row r="24" spans="1:7">
      <c r="A24" s="10"/>
      <c r="B24" s="200" t="s">
        <v>135</v>
      </c>
      <c r="C24" s="462"/>
      <c r="D24" s="462"/>
      <c r="E24" s="462"/>
      <c r="F24" s="462"/>
      <c r="G24" s="463"/>
    </row>
    <row r="25" spans="1:7" ht="15" customHeight="1">
      <c r="A25" s="374">
        <v>14</v>
      </c>
      <c r="B25" s="11" t="s">
        <v>134</v>
      </c>
      <c r="C25" s="464">
        <v>6.2673778124179097E-2</v>
      </c>
      <c r="D25" s="464">
        <v>5.8734843791540745E-2</v>
      </c>
      <c r="E25" s="464">
        <v>5.5542293726259066E-2</v>
      </c>
      <c r="F25" s="464">
        <v>4.9308039280143698E-2</v>
      </c>
      <c r="G25" s="468">
        <v>5.7798008621737444E-2</v>
      </c>
    </row>
    <row r="26" spans="1:7" ht="15">
      <c r="A26" s="374">
        <v>15</v>
      </c>
      <c r="B26" s="11" t="s">
        <v>133</v>
      </c>
      <c r="C26" s="464">
        <v>2.6338428477537989E-2</v>
      </c>
      <c r="D26" s="464">
        <v>2.6580411114409629E-2</v>
      </c>
      <c r="E26" s="464">
        <v>2.6655256322156262E-2</v>
      </c>
      <c r="F26" s="464">
        <v>2.5907335762192122E-2</v>
      </c>
      <c r="G26" s="468">
        <v>2.6432057290733939E-2</v>
      </c>
    </row>
    <row r="27" spans="1:7" ht="15">
      <c r="A27" s="374">
        <v>16</v>
      </c>
      <c r="B27" s="11" t="s">
        <v>132</v>
      </c>
      <c r="C27" s="464">
        <v>2.3620151247014328E-2</v>
      </c>
      <c r="D27" s="464">
        <v>2.4212417832762862E-2</v>
      </c>
      <c r="E27" s="464">
        <v>2.4645138820403801E-2</v>
      </c>
      <c r="F27" s="464">
        <v>2.7599250829665765E-2</v>
      </c>
      <c r="G27" s="468">
        <v>1.7974020495611802E-2</v>
      </c>
    </row>
    <row r="28" spans="1:7" ht="15">
      <c r="A28" s="374">
        <v>17</v>
      </c>
      <c r="B28" s="11" t="s">
        <v>131</v>
      </c>
      <c r="C28" s="464">
        <v>3.6335349646641105E-2</v>
      </c>
      <c r="D28" s="464">
        <v>3.2154432677131126E-2</v>
      </c>
      <c r="E28" s="464">
        <v>2.8887037404102808E-2</v>
      </c>
      <c r="F28" s="464">
        <v>2.3400703517951572E-2</v>
      </c>
      <c r="G28" s="468">
        <v>3.1365951331003505E-2</v>
      </c>
    </row>
    <row r="29" spans="1:7" ht="15">
      <c r="A29" s="374">
        <v>18</v>
      </c>
      <c r="B29" s="11" t="s">
        <v>271</v>
      </c>
      <c r="C29" s="464">
        <v>2.524722168252869E-2</v>
      </c>
      <c r="D29" s="464">
        <v>2.2211413514672047E-2</v>
      </c>
      <c r="E29" s="464">
        <v>2.2677858071597234E-2</v>
      </c>
      <c r="F29" s="464">
        <v>2.4210249063772265E-2</v>
      </c>
      <c r="G29" s="468">
        <v>-1.895280121225831E-2</v>
      </c>
    </row>
    <row r="30" spans="1:7" ht="15">
      <c r="A30" s="374">
        <v>19</v>
      </c>
      <c r="B30" s="11" t="s">
        <v>272</v>
      </c>
      <c r="C30" s="464">
        <v>0.1854104744367665</v>
      </c>
      <c r="D30" s="464">
        <v>0.16787117394092582</v>
      </c>
      <c r="E30" s="464">
        <v>0.17453698031898413</v>
      </c>
      <c r="F30" s="464">
        <v>0.18932634371953191</v>
      </c>
      <c r="G30" s="468">
        <v>-0.13653204235450236</v>
      </c>
    </row>
    <row r="31" spans="1:7">
      <c r="A31" s="10"/>
      <c r="B31" s="200" t="s">
        <v>351</v>
      </c>
      <c r="C31" s="462"/>
      <c r="D31" s="462"/>
      <c r="E31" s="462"/>
      <c r="F31" s="462"/>
      <c r="G31" s="463"/>
    </row>
    <row r="32" spans="1:7" ht="15">
      <c r="A32" s="374">
        <v>20</v>
      </c>
      <c r="B32" s="11" t="s">
        <v>130</v>
      </c>
      <c r="C32" s="464">
        <v>0.33812745576393999</v>
      </c>
      <c r="D32" s="464">
        <v>0.35630392196599409</v>
      </c>
      <c r="E32" s="464">
        <v>0.35472797783322557</v>
      </c>
      <c r="F32" s="464">
        <v>0.34742919152744028</v>
      </c>
      <c r="G32" s="468">
        <v>0.34985489375950574</v>
      </c>
    </row>
    <row r="33" spans="1:7" ht="15" customHeight="1">
      <c r="A33" s="374">
        <v>21</v>
      </c>
      <c r="B33" s="11" t="s">
        <v>129</v>
      </c>
      <c r="C33" s="464">
        <v>0.16490978842264903</v>
      </c>
      <c r="D33" s="464">
        <v>0.16969773024225895</v>
      </c>
      <c r="E33" s="464">
        <v>0.16766481389724347</v>
      </c>
      <c r="F33" s="464">
        <v>0.16016029623217928</v>
      </c>
      <c r="G33" s="468">
        <v>0.16101958424404253</v>
      </c>
    </row>
    <row r="34" spans="1:7" ht="15">
      <c r="A34" s="374">
        <v>22</v>
      </c>
      <c r="B34" s="11" t="s">
        <v>128</v>
      </c>
      <c r="C34" s="464">
        <v>0.6444377856671768</v>
      </c>
      <c r="D34" s="464">
        <v>0.67609118361544418</v>
      </c>
      <c r="E34" s="464">
        <v>0.67110475618654031</v>
      </c>
      <c r="F34" s="464">
        <v>0.68939866376839776</v>
      </c>
      <c r="G34" s="468">
        <v>0.6614950302500493</v>
      </c>
    </row>
    <row r="35" spans="1:7" ht="15" customHeight="1">
      <c r="A35" s="374">
        <v>23</v>
      </c>
      <c r="B35" s="11" t="s">
        <v>127</v>
      </c>
      <c r="C35" s="464">
        <v>0.65562891198801532</v>
      </c>
      <c r="D35" s="464">
        <v>0.67865249363567326</v>
      </c>
      <c r="E35" s="464">
        <v>0.69225947801502896</v>
      </c>
      <c r="F35" s="464">
        <v>0.70344948211524705</v>
      </c>
      <c r="G35" s="468">
        <v>0.67343143849694653</v>
      </c>
    </row>
    <row r="36" spans="1:7" ht="15">
      <c r="A36" s="374">
        <v>24</v>
      </c>
      <c r="B36" s="11" t="s">
        <v>126</v>
      </c>
      <c r="C36" s="464">
        <v>-0.11443914848653591</v>
      </c>
      <c r="D36" s="464">
        <v>-9.9150915080462032E-2</v>
      </c>
      <c r="E36" s="464">
        <v>-5.6507426203625366E-2</v>
      </c>
      <c r="F36" s="464">
        <v>2.670841919251421E-2</v>
      </c>
      <c r="G36" s="468">
        <v>0.18752038665288917</v>
      </c>
    </row>
    <row r="37" spans="1:7" ht="15" customHeight="1">
      <c r="A37" s="10"/>
      <c r="B37" s="200" t="s">
        <v>352</v>
      </c>
      <c r="C37" s="462"/>
      <c r="D37" s="462"/>
      <c r="E37" s="462"/>
      <c r="F37" s="462"/>
      <c r="G37" s="463"/>
    </row>
    <row r="38" spans="1:7" ht="15" customHeight="1">
      <c r="A38" s="374">
        <v>25</v>
      </c>
      <c r="B38" s="11" t="s">
        <v>125</v>
      </c>
      <c r="C38" s="464">
        <v>0.25449985241213907</v>
      </c>
      <c r="D38" s="464">
        <v>0.29753365588698838</v>
      </c>
      <c r="E38" s="464">
        <v>0.2919400858310241</v>
      </c>
      <c r="F38" s="464">
        <v>0.28325995888446787</v>
      </c>
      <c r="G38" s="468">
        <v>0.27347141396724822</v>
      </c>
    </row>
    <row r="39" spans="1:7" ht="15" customHeight="1">
      <c r="A39" s="374">
        <v>26</v>
      </c>
      <c r="B39" s="11" t="s">
        <v>124</v>
      </c>
      <c r="C39" s="464">
        <v>0.84522257781254639</v>
      </c>
      <c r="D39" s="464">
        <v>0.85097565903823214</v>
      </c>
      <c r="E39" s="464">
        <v>0.86001489400574915</v>
      </c>
      <c r="F39" s="464">
        <v>0.88554498687629501</v>
      </c>
      <c r="G39" s="468">
        <v>0.8639255370211254</v>
      </c>
    </row>
    <row r="40" spans="1:7" ht="15" customHeight="1">
      <c r="A40" s="374">
        <v>27</v>
      </c>
      <c r="B40" s="11" t="s">
        <v>123</v>
      </c>
      <c r="C40" s="464">
        <v>0.30735457621809875</v>
      </c>
      <c r="D40" s="464">
        <v>0.35146013112548596</v>
      </c>
      <c r="E40" s="464">
        <v>0.30285646200244348</v>
      </c>
      <c r="F40" s="464">
        <v>0.29508951140373502</v>
      </c>
      <c r="G40" s="468">
        <v>0.31707029103061257</v>
      </c>
    </row>
    <row r="41" spans="1:7" ht="15" customHeight="1">
      <c r="A41" s="375"/>
      <c r="B41" s="200" t="s">
        <v>395</v>
      </c>
      <c r="C41" s="462"/>
      <c r="D41" s="462"/>
      <c r="E41" s="462"/>
      <c r="F41" s="462"/>
      <c r="G41" s="463"/>
    </row>
    <row r="42" spans="1:7" ht="15">
      <c r="A42" s="374">
        <v>28</v>
      </c>
      <c r="B42" s="11" t="s">
        <v>378</v>
      </c>
      <c r="C42" s="469">
        <v>341714471.76642001</v>
      </c>
      <c r="D42" s="469">
        <v>366706723.50065273</v>
      </c>
      <c r="E42" s="469">
        <v>396583679.82541364</v>
      </c>
      <c r="F42" s="469">
        <v>401929885.62160707</v>
      </c>
      <c r="G42" s="470">
        <v>364179944.89409655</v>
      </c>
    </row>
    <row r="43" spans="1:7" ht="15" customHeight="1">
      <c r="A43" s="374">
        <v>29</v>
      </c>
      <c r="B43" s="11" t="s">
        <v>390</v>
      </c>
      <c r="C43" s="471">
        <v>186391521.88685745</v>
      </c>
      <c r="D43" s="471">
        <v>183443529.42646217</v>
      </c>
      <c r="E43" s="471">
        <v>183554387.7792919</v>
      </c>
      <c r="F43" s="471">
        <v>194922768.10077018</v>
      </c>
      <c r="G43" s="472">
        <v>195000359.53773654</v>
      </c>
    </row>
    <row r="44" spans="1:7" ht="15" customHeight="1" thickBot="1">
      <c r="A44" s="405">
        <v>30</v>
      </c>
      <c r="B44" s="406" t="s">
        <v>379</v>
      </c>
      <c r="C44" s="473">
        <v>1.8333155301658302</v>
      </c>
      <c r="D44" s="473">
        <v>1.9990169435093434</v>
      </c>
      <c r="E44" s="473">
        <v>2.1605785872156367</v>
      </c>
      <c r="F44" s="473">
        <v>2.0619955766984561</v>
      </c>
      <c r="G44" s="474">
        <v>1.8675860175715231</v>
      </c>
    </row>
    <row r="45" spans="1:7" ht="15" customHeight="1">
      <c r="A45" s="405"/>
      <c r="B45" s="200" t="s">
        <v>497</v>
      </c>
      <c r="C45" s="462"/>
      <c r="D45" s="462"/>
      <c r="E45" s="462"/>
      <c r="F45" s="462"/>
      <c r="G45" s="463"/>
    </row>
    <row r="46" spans="1:7" ht="15" customHeight="1">
      <c r="A46" s="405">
        <v>31</v>
      </c>
      <c r="B46" s="406" t="s">
        <v>504</v>
      </c>
      <c r="C46" s="475">
        <v>899894024.43556547</v>
      </c>
      <c r="D46" s="475">
        <v>932795846.52724504</v>
      </c>
      <c r="E46" s="475">
        <v>966294672.35287499</v>
      </c>
      <c r="F46" s="475">
        <v>1060644682.2611049</v>
      </c>
      <c r="G46" s="476">
        <v>1034490332.6695256</v>
      </c>
    </row>
    <row r="47" spans="1:7" ht="15" customHeight="1">
      <c r="A47" s="405">
        <v>32</v>
      </c>
      <c r="B47" s="406" t="s">
        <v>519</v>
      </c>
      <c r="C47" s="477">
        <v>727034249.07264376</v>
      </c>
      <c r="D47" s="477">
        <v>738361347.59228504</v>
      </c>
      <c r="E47" s="477">
        <v>759925219.10264087</v>
      </c>
      <c r="F47" s="477">
        <v>808096025.73969662</v>
      </c>
      <c r="G47" s="478">
        <v>832092658.43730593</v>
      </c>
    </row>
    <row r="48" spans="1:7" ht="15.75" thickBot="1">
      <c r="A48" s="376">
        <v>33</v>
      </c>
      <c r="B48" s="202" t="s">
        <v>537</v>
      </c>
      <c r="C48" s="479">
        <v>1.2377601544678398</v>
      </c>
      <c r="D48" s="479">
        <v>1.2633324449728978</v>
      </c>
      <c r="E48" s="479">
        <v>1.2715654752107397</v>
      </c>
      <c r="F48" s="479">
        <v>1.3125230770566358</v>
      </c>
      <c r="G48" s="480">
        <v>1.2432393462193603</v>
      </c>
    </row>
    <row r="49" spans="1:2">
      <c r="A49" s="12"/>
    </row>
    <row r="50" spans="1:2" ht="38.25">
      <c r="B50" s="265" t="s">
        <v>479</v>
      </c>
    </row>
    <row r="51" spans="1:2" ht="51">
      <c r="B51" s="265" t="s">
        <v>394</v>
      </c>
    </row>
    <row r="53" spans="1:2">
      <c r="B53" s="26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2" sqref="B2"/>
    </sheetView>
  </sheetViews>
  <sheetFormatPr defaultColWidth="9.28515625" defaultRowHeight="12.75"/>
  <cols>
    <col min="1" max="1" width="11.7109375" style="415" bestFit="1" customWidth="1"/>
    <col min="2" max="2" width="105.28515625" style="415" bestFit="1" customWidth="1"/>
    <col min="3" max="4" width="15.140625" style="415" bestFit="1" customWidth="1"/>
    <col min="5" max="5" width="17.42578125" style="415" bestFit="1" customWidth="1"/>
    <col min="6" max="6" width="15.140625" style="415" bestFit="1" customWidth="1"/>
    <col min="7" max="7" width="28.7109375" style="415" bestFit="1" customWidth="1"/>
    <col min="8" max="8" width="14.140625" style="415" bestFit="1" customWidth="1"/>
    <col min="9" max="16384" width="9.28515625" style="415"/>
  </cols>
  <sheetData>
    <row r="1" spans="1:8">
      <c r="A1" s="407" t="s">
        <v>30</v>
      </c>
    </row>
    <row r="2" spans="1:8" ht="13.5">
      <c r="A2" s="407" t="s">
        <v>31</v>
      </c>
      <c r="B2" s="371">
        <f>'1. key ratios '!B2</f>
        <v>44561</v>
      </c>
    </row>
    <row r="3" spans="1:8">
      <c r="A3" s="408" t="s">
        <v>544</v>
      </c>
    </row>
    <row r="5" spans="1:8" ht="15" customHeight="1">
      <c r="A5" s="688" t="s">
        <v>545</v>
      </c>
      <c r="B5" s="689"/>
      <c r="C5" s="694" t="s">
        <v>546</v>
      </c>
      <c r="D5" s="695"/>
      <c r="E5" s="695"/>
      <c r="F5" s="695"/>
      <c r="G5" s="695"/>
      <c r="H5" s="696"/>
    </row>
    <row r="6" spans="1:8">
      <c r="A6" s="690"/>
      <c r="B6" s="691"/>
      <c r="C6" s="697"/>
      <c r="D6" s="698"/>
      <c r="E6" s="698"/>
      <c r="F6" s="698"/>
      <c r="G6" s="698"/>
      <c r="H6" s="699"/>
    </row>
    <row r="7" spans="1:8">
      <c r="A7" s="692"/>
      <c r="B7" s="693"/>
      <c r="C7" s="437" t="s">
        <v>547</v>
      </c>
      <c r="D7" s="437" t="s">
        <v>548</v>
      </c>
      <c r="E7" s="437" t="s">
        <v>549</v>
      </c>
      <c r="F7" s="437" t="s">
        <v>550</v>
      </c>
      <c r="G7" s="437" t="s">
        <v>551</v>
      </c>
      <c r="H7" s="437" t="s">
        <v>109</v>
      </c>
    </row>
    <row r="8" spans="1:8">
      <c r="A8" s="410">
        <v>1</v>
      </c>
      <c r="B8" s="409" t="s">
        <v>96</v>
      </c>
      <c r="C8" s="566">
        <v>203907519</v>
      </c>
      <c r="D8" s="566">
        <v>2615725</v>
      </c>
      <c r="E8" s="566">
        <v>9000000</v>
      </c>
      <c r="F8" s="566">
        <v>21053000</v>
      </c>
      <c r="G8" s="566"/>
      <c r="H8" s="567">
        <v>236576244</v>
      </c>
    </row>
    <row r="9" spans="1:8">
      <c r="A9" s="410">
        <v>2</v>
      </c>
      <c r="B9" s="409" t="s">
        <v>97</v>
      </c>
      <c r="C9" s="566"/>
      <c r="D9" s="566"/>
      <c r="E9" s="566"/>
      <c r="F9" s="566"/>
      <c r="G9" s="566"/>
      <c r="H9" s="567"/>
    </row>
    <row r="10" spans="1:8">
      <c r="A10" s="410">
        <v>3</v>
      </c>
      <c r="B10" s="409" t="s">
        <v>269</v>
      </c>
      <c r="C10" s="566"/>
      <c r="D10" s="566"/>
      <c r="E10" s="566"/>
      <c r="F10" s="566"/>
      <c r="G10" s="566"/>
      <c r="H10" s="567"/>
    </row>
    <row r="11" spans="1:8">
      <c r="A11" s="410">
        <v>4</v>
      </c>
      <c r="B11" s="409" t="s">
        <v>98</v>
      </c>
      <c r="C11" s="566"/>
      <c r="D11" s="566"/>
      <c r="E11" s="566"/>
      <c r="F11" s="566"/>
      <c r="G11" s="566"/>
      <c r="H11" s="567"/>
    </row>
    <row r="12" spans="1:8">
      <c r="A12" s="410">
        <v>5</v>
      </c>
      <c r="B12" s="409" t="s">
        <v>99</v>
      </c>
      <c r="C12" s="566"/>
      <c r="D12" s="566"/>
      <c r="E12" s="566"/>
      <c r="F12" s="566"/>
      <c r="G12" s="566"/>
      <c r="H12" s="567"/>
    </row>
    <row r="13" spans="1:8">
      <c r="A13" s="410">
        <v>6</v>
      </c>
      <c r="B13" s="409" t="s">
        <v>100</v>
      </c>
      <c r="C13" s="566">
        <v>30580863.809999999</v>
      </c>
      <c r="D13" s="566">
        <v>18649992</v>
      </c>
      <c r="E13" s="566">
        <v>0</v>
      </c>
      <c r="F13" s="566">
        <v>4711460.41</v>
      </c>
      <c r="G13" s="566"/>
      <c r="H13" s="567">
        <v>53942316.219999999</v>
      </c>
    </row>
    <row r="14" spans="1:8">
      <c r="A14" s="410">
        <v>7</v>
      </c>
      <c r="B14" s="409" t="s">
        <v>101</v>
      </c>
      <c r="C14" s="566"/>
      <c r="D14" s="566">
        <v>226397881.968027</v>
      </c>
      <c r="E14" s="566">
        <v>318416401.22695261</v>
      </c>
      <c r="F14" s="566">
        <v>245944848.13982528</v>
      </c>
      <c r="G14" s="566">
        <v>38455367.506242998</v>
      </c>
      <c r="H14" s="567">
        <v>829214498.841048</v>
      </c>
    </row>
    <row r="15" spans="1:8">
      <c r="A15" s="410">
        <v>8</v>
      </c>
      <c r="B15" s="409" t="s">
        <v>102</v>
      </c>
      <c r="C15" s="566"/>
      <c r="D15" s="566"/>
      <c r="E15" s="566"/>
      <c r="F15" s="566"/>
      <c r="G15" s="566"/>
      <c r="H15" s="567"/>
    </row>
    <row r="16" spans="1:8">
      <c r="A16" s="410">
        <v>9</v>
      </c>
      <c r="B16" s="409" t="s">
        <v>103</v>
      </c>
      <c r="C16" s="566"/>
      <c r="D16" s="566"/>
      <c r="E16" s="566"/>
      <c r="F16" s="566"/>
      <c r="G16" s="566"/>
      <c r="H16" s="567"/>
    </row>
    <row r="17" spans="1:8">
      <c r="A17" s="410">
        <v>10</v>
      </c>
      <c r="B17" s="440" t="s">
        <v>563</v>
      </c>
      <c r="C17" s="566"/>
      <c r="D17" s="566">
        <v>12434688.276413001</v>
      </c>
      <c r="E17" s="566">
        <v>26567611.355355006</v>
      </c>
      <c r="F17" s="566">
        <v>28381290.328542002</v>
      </c>
      <c r="G17" s="566">
        <v>38044079.211657003</v>
      </c>
      <c r="H17" s="567">
        <v>105427669.17196701</v>
      </c>
    </row>
    <row r="18" spans="1:8">
      <c r="A18" s="410">
        <v>11</v>
      </c>
      <c r="B18" s="409" t="s">
        <v>105</v>
      </c>
      <c r="C18" s="566"/>
      <c r="D18" s="566"/>
      <c r="E18" s="566"/>
      <c r="F18" s="566"/>
      <c r="G18" s="566"/>
      <c r="H18" s="567"/>
    </row>
    <row r="19" spans="1:8">
      <c r="A19" s="410">
        <v>12</v>
      </c>
      <c r="B19" s="409" t="s">
        <v>106</v>
      </c>
      <c r="C19" s="566"/>
      <c r="D19" s="566"/>
      <c r="E19" s="566"/>
      <c r="F19" s="566"/>
      <c r="G19" s="566"/>
      <c r="H19" s="567"/>
    </row>
    <row r="20" spans="1:8">
      <c r="A20" s="410">
        <v>13</v>
      </c>
      <c r="B20" s="409" t="s">
        <v>247</v>
      </c>
      <c r="C20" s="566"/>
      <c r="D20" s="566"/>
      <c r="E20" s="566"/>
      <c r="F20" s="566"/>
      <c r="G20" s="566"/>
      <c r="H20" s="567"/>
    </row>
    <row r="21" spans="1:8">
      <c r="A21" s="410">
        <v>14</v>
      </c>
      <c r="B21" s="409" t="s">
        <v>108</v>
      </c>
      <c r="C21" s="566">
        <v>26986427</v>
      </c>
      <c r="D21" s="566">
        <v>3894587.9961999999</v>
      </c>
      <c r="E21" s="566">
        <v>3288861.4462900003</v>
      </c>
      <c r="F21" s="566">
        <v>18321586.311168998</v>
      </c>
      <c r="G21" s="566">
        <v>59801302.543619998</v>
      </c>
      <c r="H21" s="567">
        <v>112292765.297279</v>
      </c>
    </row>
    <row r="22" spans="1:8">
      <c r="A22" s="411">
        <v>15</v>
      </c>
      <c r="B22" s="417" t="s">
        <v>109</v>
      </c>
      <c r="C22" s="567">
        <f>+SUM(C8:C16)+SUM(C18:C21)</f>
        <v>261474809.81</v>
      </c>
      <c r="D22" s="567">
        <f t="shared" ref="D22:G22" si="0">+SUM(D8:D16)+SUM(D18:D21)</f>
        <v>251558186.96422699</v>
      </c>
      <c r="E22" s="567">
        <f t="shared" si="0"/>
        <v>330705262.67324263</v>
      </c>
      <c r="F22" s="567">
        <f t="shared" si="0"/>
        <v>290030894.86099434</v>
      </c>
      <c r="G22" s="567">
        <f t="shared" si="0"/>
        <v>98256670.049862996</v>
      </c>
      <c r="H22" s="567">
        <f>+SUM(H8:H16)+SUM(H18:H21)</f>
        <v>1232025824.3583269</v>
      </c>
    </row>
    <row r="26" spans="1:8" ht="25.5">
      <c r="B26" s="441"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election activeCell="B2" sqref="B2"/>
    </sheetView>
  </sheetViews>
  <sheetFormatPr defaultColWidth="9.28515625" defaultRowHeight="12.75"/>
  <cols>
    <col min="1" max="1" width="11.7109375" style="442" bestFit="1" customWidth="1"/>
    <col min="2" max="2" width="114.7109375" style="415" customWidth="1"/>
    <col min="3" max="3" width="22.42578125" style="415" customWidth="1"/>
    <col min="4" max="4" width="23.5703125" style="415" customWidth="1"/>
    <col min="5" max="8" width="22.28515625" style="415" customWidth="1"/>
    <col min="9" max="9" width="41.42578125" style="415" customWidth="1"/>
    <col min="10" max="16384" width="9.28515625" style="415"/>
  </cols>
  <sheetData>
    <row r="1" spans="1:9" ht="13.5">
      <c r="A1" s="407" t="s">
        <v>30</v>
      </c>
      <c r="B1" s="371" t="str">
        <f>'1. key ratios '!B1</f>
        <v>JSC CARTU BANK</v>
      </c>
    </row>
    <row r="2" spans="1:9" ht="13.5">
      <c r="A2" s="407" t="s">
        <v>31</v>
      </c>
      <c r="B2" s="371">
        <f>'1. key ratios '!B2</f>
        <v>44561</v>
      </c>
    </row>
    <row r="3" spans="1:9">
      <c r="A3" s="408" t="s">
        <v>552</v>
      </c>
    </row>
    <row r="4" spans="1:9">
      <c r="C4" s="443" t="s">
        <v>0</v>
      </c>
      <c r="D4" s="443" t="s">
        <v>1</v>
      </c>
      <c r="E4" s="443" t="s">
        <v>2</v>
      </c>
      <c r="F4" s="443" t="s">
        <v>3</v>
      </c>
      <c r="G4" s="443" t="s">
        <v>4</v>
      </c>
      <c r="H4" s="443" t="s">
        <v>5</v>
      </c>
      <c r="I4" s="443" t="s">
        <v>8</v>
      </c>
    </row>
    <row r="5" spans="1:9" ht="44.25" customHeight="1">
      <c r="A5" s="688" t="s">
        <v>553</v>
      </c>
      <c r="B5" s="689"/>
      <c r="C5" s="702" t="s">
        <v>554</v>
      </c>
      <c r="D5" s="702"/>
      <c r="E5" s="702" t="s">
        <v>555</v>
      </c>
      <c r="F5" s="702" t="s">
        <v>556</v>
      </c>
      <c r="G5" s="700" t="s">
        <v>557</v>
      </c>
      <c r="H5" s="700" t="s">
        <v>558</v>
      </c>
      <c r="I5" s="444" t="s">
        <v>559</v>
      </c>
    </row>
    <row r="6" spans="1:9" ht="60" customHeight="1">
      <c r="A6" s="692"/>
      <c r="B6" s="693"/>
      <c r="C6" s="433" t="s">
        <v>560</v>
      </c>
      <c r="D6" s="433" t="s">
        <v>561</v>
      </c>
      <c r="E6" s="702"/>
      <c r="F6" s="702"/>
      <c r="G6" s="701"/>
      <c r="H6" s="701"/>
      <c r="I6" s="444" t="s">
        <v>562</v>
      </c>
    </row>
    <row r="7" spans="1:9">
      <c r="A7" s="413">
        <v>1</v>
      </c>
      <c r="B7" s="409" t="s">
        <v>96</v>
      </c>
      <c r="C7" s="566"/>
      <c r="D7" s="566">
        <v>236443584</v>
      </c>
      <c r="E7" s="566"/>
      <c r="F7" s="566"/>
      <c r="G7" s="566"/>
      <c r="H7" s="566">
        <v>0</v>
      </c>
      <c r="I7" s="568">
        <f t="shared" ref="I7:I23" si="0">C7+D7-E7-F7-G7</f>
        <v>236443584</v>
      </c>
    </row>
    <row r="8" spans="1:9">
      <c r="A8" s="413">
        <v>2</v>
      </c>
      <c r="B8" s="409" t="s">
        <v>97</v>
      </c>
      <c r="C8" s="566"/>
      <c r="D8" s="566"/>
      <c r="E8" s="566"/>
      <c r="F8" s="566"/>
      <c r="G8" s="566"/>
      <c r="H8" s="566">
        <v>0</v>
      </c>
      <c r="I8" s="568">
        <f t="shared" si="0"/>
        <v>0</v>
      </c>
    </row>
    <row r="9" spans="1:9">
      <c r="A9" s="413">
        <v>3</v>
      </c>
      <c r="B9" s="409" t="s">
        <v>269</v>
      </c>
      <c r="C9" s="566"/>
      <c r="D9" s="566"/>
      <c r="E9" s="566"/>
      <c r="F9" s="566"/>
      <c r="G9" s="566"/>
      <c r="H9" s="566">
        <v>0</v>
      </c>
      <c r="I9" s="568">
        <f t="shared" si="0"/>
        <v>0</v>
      </c>
    </row>
    <row r="10" spans="1:9">
      <c r="A10" s="413">
        <v>4</v>
      </c>
      <c r="B10" s="409" t="s">
        <v>98</v>
      </c>
      <c r="C10" s="566"/>
      <c r="D10" s="566"/>
      <c r="E10" s="566"/>
      <c r="F10" s="566"/>
      <c r="G10" s="566"/>
      <c r="H10" s="566">
        <v>0</v>
      </c>
      <c r="I10" s="568">
        <f t="shared" si="0"/>
        <v>0</v>
      </c>
    </row>
    <row r="11" spans="1:9">
      <c r="A11" s="413">
        <v>5</v>
      </c>
      <c r="B11" s="409" t="s">
        <v>99</v>
      </c>
      <c r="C11" s="566"/>
      <c r="D11" s="566"/>
      <c r="E11" s="566"/>
      <c r="F11" s="566"/>
      <c r="G11" s="566"/>
      <c r="H11" s="566">
        <v>0</v>
      </c>
      <c r="I11" s="568">
        <f t="shared" si="0"/>
        <v>0</v>
      </c>
    </row>
    <row r="12" spans="1:9">
      <c r="A12" s="413">
        <v>6</v>
      </c>
      <c r="B12" s="409" t="s">
        <v>100</v>
      </c>
      <c r="C12" s="566"/>
      <c r="D12" s="566">
        <v>53942316</v>
      </c>
      <c r="E12" s="566"/>
      <c r="F12" s="566"/>
      <c r="G12" s="566"/>
      <c r="H12" s="566">
        <v>0</v>
      </c>
      <c r="I12" s="568">
        <f t="shared" si="0"/>
        <v>53942316</v>
      </c>
    </row>
    <row r="13" spans="1:9">
      <c r="A13" s="413">
        <v>7</v>
      </c>
      <c r="B13" s="409" t="s">
        <v>101</v>
      </c>
      <c r="C13" s="566">
        <v>320772691.70000005</v>
      </c>
      <c r="D13" s="566">
        <v>654043734.14999914</v>
      </c>
      <c r="E13" s="566">
        <v>145601926.23182008</v>
      </c>
      <c r="F13" s="566">
        <v>11519254.906316986</v>
      </c>
      <c r="G13" s="566"/>
      <c r="H13" s="566">
        <v>0</v>
      </c>
      <c r="I13" s="568">
        <f t="shared" si="0"/>
        <v>817695244.71186209</v>
      </c>
    </row>
    <row r="14" spans="1:9">
      <c r="A14" s="413">
        <v>8</v>
      </c>
      <c r="B14" s="409" t="s">
        <v>102</v>
      </c>
      <c r="C14" s="566"/>
      <c r="D14" s="566"/>
      <c r="E14" s="566"/>
      <c r="F14" s="566"/>
      <c r="G14" s="566"/>
      <c r="H14" s="566">
        <v>0</v>
      </c>
      <c r="I14" s="568">
        <f t="shared" si="0"/>
        <v>0</v>
      </c>
    </row>
    <row r="15" spans="1:9">
      <c r="A15" s="413">
        <v>9</v>
      </c>
      <c r="B15" s="409" t="s">
        <v>103</v>
      </c>
      <c r="C15" s="566"/>
      <c r="D15" s="566"/>
      <c r="E15" s="566"/>
      <c r="F15" s="566"/>
      <c r="G15" s="566"/>
      <c r="H15" s="566">
        <v>0</v>
      </c>
      <c r="I15" s="568">
        <f t="shared" si="0"/>
        <v>0</v>
      </c>
    </row>
    <row r="16" spans="1:9">
      <c r="A16" s="413">
        <v>10</v>
      </c>
      <c r="B16" s="440" t="s">
        <v>563</v>
      </c>
      <c r="C16" s="566">
        <v>194723815.63999984</v>
      </c>
      <c r="D16" s="566">
        <v>83125.329999999958</v>
      </c>
      <c r="E16" s="566">
        <v>89379271.786133021</v>
      </c>
      <c r="F16" s="566">
        <v>1661.2977140000021</v>
      </c>
      <c r="G16" s="566"/>
      <c r="H16" s="566">
        <v>167942.72000000041</v>
      </c>
      <c r="I16" s="568">
        <f t="shared" si="0"/>
        <v>105426007.88615283</v>
      </c>
    </row>
    <row r="17" spans="1:9">
      <c r="A17" s="413">
        <v>11</v>
      </c>
      <c r="B17" s="409" t="s">
        <v>105</v>
      </c>
      <c r="C17" s="566"/>
      <c r="D17" s="566"/>
      <c r="E17" s="566"/>
      <c r="F17" s="566"/>
      <c r="G17" s="566"/>
      <c r="H17" s="566">
        <v>0</v>
      </c>
      <c r="I17" s="568">
        <f t="shared" si="0"/>
        <v>0</v>
      </c>
    </row>
    <row r="18" spans="1:9">
      <c r="A18" s="413">
        <v>12</v>
      </c>
      <c r="B18" s="409" t="s">
        <v>106</v>
      </c>
      <c r="C18" s="566"/>
      <c r="D18" s="566"/>
      <c r="E18" s="566"/>
      <c r="F18" s="566"/>
      <c r="G18" s="566"/>
      <c r="H18" s="566">
        <v>0</v>
      </c>
      <c r="I18" s="568">
        <f t="shared" si="0"/>
        <v>0</v>
      </c>
    </row>
    <row r="19" spans="1:9">
      <c r="A19" s="413">
        <v>13</v>
      </c>
      <c r="B19" s="409" t="s">
        <v>247</v>
      </c>
      <c r="C19" s="566"/>
      <c r="D19" s="566"/>
      <c r="E19" s="566"/>
      <c r="F19" s="566"/>
      <c r="G19" s="566"/>
      <c r="H19" s="566">
        <v>0</v>
      </c>
      <c r="I19" s="568">
        <f t="shared" si="0"/>
        <v>0</v>
      </c>
    </row>
    <row r="20" spans="1:9">
      <c r="A20" s="413">
        <v>14</v>
      </c>
      <c r="B20" s="409" t="s">
        <v>108</v>
      </c>
      <c r="C20" s="566">
        <v>41471377.950000003</v>
      </c>
      <c r="D20" s="566">
        <v>87895501.84374398</v>
      </c>
      <c r="E20" s="566">
        <v>13170956.111449001</v>
      </c>
      <c r="F20" s="566">
        <v>385761.91900900094</v>
      </c>
      <c r="G20" s="566"/>
      <c r="H20" s="566">
        <v>1242498.8600000003</v>
      </c>
      <c r="I20" s="568">
        <f t="shared" si="0"/>
        <v>115810161.76328598</v>
      </c>
    </row>
    <row r="21" spans="1:9" s="445" customFormat="1">
      <c r="A21" s="414">
        <v>15</v>
      </c>
      <c r="B21" s="417" t="s">
        <v>109</v>
      </c>
      <c r="C21" s="567">
        <f>SUM(C7:C15)+SUM(C17:C20)</f>
        <v>362244069.65000004</v>
      </c>
      <c r="D21" s="567">
        <f t="shared" ref="D21:H21" si="1">SUM(D7:D15)+SUM(D17:D20)</f>
        <v>1032325135.9937432</v>
      </c>
      <c r="E21" s="567">
        <f t="shared" si="1"/>
        <v>158772882.34326908</v>
      </c>
      <c r="F21" s="567">
        <f t="shared" si="1"/>
        <v>11905016.825325986</v>
      </c>
      <c r="G21" s="567">
        <v>0</v>
      </c>
      <c r="H21" s="567">
        <f t="shared" si="1"/>
        <v>1242498.8600000003</v>
      </c>
      <c r="I21" s="568">
        <f t="shared" si="0"/>
        <v>1223891306.4751482</v>
      </c>
    </row>
    <row r="22" spans="1:9">
      <c r="A22" s="446">
        <v>16</v>
      </c>
      <c r="B22" s="447" t="s">
        <v>564</v>
      </c>
      <c r="C22" s="566">
        <v>326408480.64999998</v>
      </c>
      <c r="D22" s="566">
        <v>657347661.1399982</v>
      </c>
      <c r="E22" s="566">
        <v>147631673.34326923</v>
      </c>
      <c r="F22" s="566">
        <v>11534116.825325977</v>
      </c>
      <c r="G22" s="566">
        <v>0</v>
      </c>
      <c r="H22" s="566">
        <v>167942.72000000041</v>
      </c>
      <c r="I22" s="568">
        <f t="shared" si="0"/>
        <v>824590351.62140298</v>
      </c>
    </row>
    <row r="23" spans="1:9">
      <c r="A23" s="446">
        <v>17</v>
      </c>
      <c r="B23" s="447" t="s">
        <v>565</v>
      </c>
      <c r="C23" s="566"/>
      <c r="D23" s="566">
        <v>51534437.549999997</v>
      </c>
      <c r="E23" s="566">
        <v>0</v>
      </c>
      <c r="F23" s="566">
        <v>369760</v>
      </c>
      <c r="G23" s="566">
        <v>0</v>
      </c>
      <c r="H23" s="566">
        <v>0</v>
      </c>
      <c r="I23" s="568">
        <f t="shared" si="0"/>
        <v>51164677.549999997</v>
      </c>
    </row>
    <row r="26" spans="1:9" ht="25.5">
      <c r="B26" s="441"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workbookViewId="0">
      <selection activeCell="B2" sqref="B2"/>
    </sheetView>
  </sheetViews>
  <sheetFormatPr defaultColWidth="9.28515625" defaultRowHeight="12.75"/>
  <cols>
    <col min="1" max="1" width="11" style="415" bestFit="1" customWidth="1"/>
    <col min="2" max="2" width="93.42578125" style="415" customWidth="1"/>
    <col min="3" max="8" width="22" style="415" customWidth="1"/>
    <col min="9" max="9" width="42.28515625" style="415" bestFit="1" customWidth="1"/>
    <col min="10" max="16384" width="9.28515625" style="415"/>
  </cols>
  <sheetData>
    <row r="1" spans="1:9">
      <c r="A1" s="407" t="s">
        <v>30</v>
      </c>
      <c r="B1" s="415" t="str">
        <f>'1. key ratios '!B1</f>
        <v>JSC CARTU BANK</v>
      </c>
    </row>
    <row r="2" spans="1:9" ht="13.5">
      <c r="A2" s="407" t="s">
        <v>31</v>
      </c>
      <c r="B2" s="371">
        <f>'1. key ratios '!B2</f>
        <v>44561</v>
      </c>
    </row>
    <row r="3" spans="1:9">
      <c r="A3" s="408" t="s">
        <v>566</v>
      </c>
    </row>
    <row r="4" spans="1:9">
      <c r="C4" s="443" t="s">
        <v>0</v>
      </c>
      <c r="D4" s="443" t="s">
        <v>1</v>
      </c>
      <c r="E4" s="443" t="s">
        <v>2</v>
      </c>
      <c r="F4" s="443" t="s">
        <v>3</v>
      </c>
      <c r="G4" s="443" t="s">
        <v>4</v>
      </c>
      <c r="H4" s="443" t="s">
        <v>5</v>
      </c>
      <c r="I4" s="443" t="s">
        <v>8</v>
      </c>
    </row>
    <row r="5" spans="1:9" ht="46.5" customHeight="1">
      <c r="A5" s="688" t="s">
        <v>707</v>
      </c>
      <c r="B5" s="689"/>
      <c r="C5" s="702" t="s">
        <v>554</v>
      </c>
      <c r="D5" s="702"/>
      <c r="E5" s="702" t="s">
        <v>555</v>
      </c>
      <c r="F5" s="702" t="s">
        <v>556</v>
      </c>
      <c r="G5" s="700" t="s">
        <v>557</v>
      </c>
      <c r="H5" s="700" t="s">
        <v>558</v>
      </c>
      <c r="I5" s="444" t="s">
        <v>559</v>
      </c>
    </row>
    <row r="6" spans="1:9" ht="75" customHeight="1">
      <c r="A6" s="692"/>
      <c r="B6" s="693"/>
      <c r="C6" s="433" t="s">
        <v>560</v>
      </c>
      <c r="D6" s="433" t="s">
        <v>561</v>
      </c>
      <c r="E6" s="702"/>
      <c r="F6" s="702"/>
      <c r="G6" s="701"/>
      <c r="H6" s="701"/>
      <c r="I6" s="444" t="s">
        <v>562</v>
      </c>
    </row>
    <row r="7" spans="1:9">
      <c r="A7" s="412">
        <v>1</v>
      </c>
      <c r="B7" s="416" t="s">
        <v>697</v>
      </c>
      <c r="C7" s="566">
        <v>373128.00000000006</v>
      </c>
      <c r="D7" s="566">
        <v>246714583.69</v>
      </c>
      <c r="E7" s="566">
        <v>103875.40145600001</v>
      </c>
      <c r="F7" s="566">
        <v>204482.38483499989</v>
      </c>
      <c r="G7" s="566">
        <v>0</v>
      </c>
      <c r="H7" s="566">
        <v>0</v>
      </c>
      <c r="I7" s="568">
        <f t="shared" ref="I7:I34" si="0">C7+D7-E7-F7-G7</f>
        <v>246779353.90370899</v>
      </c>
    </row>
    <row r="8" spans="1:9">
      <c r="A8" s="412">
        <v>2</v>
      </c>
      <c r="B8" s="416" t="s">
        <v>567</v>
      </c>
      <c r="C8" s="566">
        <v>273300.23000000004</v>
      </c>
      <c r="D8" s="566">
        <v>57826948.160000004</v>
      </c>
      <c r="E8" s="566">
        <v>95045.146362000014</v>
      </c>
      <c r="F8" s="566">
        <v>74420.735864000017</v>
      </c>
      <c r="G8" s="566">
        <v>0</v>
      </c>
      <c r="H8" s="566">
        <v>588.3900000000001</v>
      </c>
      <c r="I8" s="568">
        <f t="shared" si="0"/>
        <v>57930782.507774003</v>
      </c>
    </row>
    <row r="9" spans="1:9">
      <c r="A9" s="412">
        <v>3</v>
      </c>
      <c r="B9" s="416" t="s">
        <v>568</v>
      </c>
      <c r="C9" s="566">
        <v>0</v>
      </c>
      <c r="D9" s="566">
        <v>0</v>
      </c>
      <c r="E9" s="566">
        <v>0</v>
      </c>
      <c r="F9" s="566">
        <v>0</v>
      </c>
      <c r="G9" s="566">
        <v>0</v>
      </c>
      <c r="H9" s="566">
        <v>0</v>
      </c>
      <c r="I9" s="568">
        <f t="shared" si="0"/>
        <v>0</v>
      </c>
    </row>
    <row r="10" spans="1:9">
      <c r="A10" s="412">
        <v>4</v>
      </c>
      <c r="B10" s="416" t="s">
        <v>698</v>
      </c>
      <c r="C10" s="566">
        <v>42661705.070000008</v>
      </c>
      <c r="D10" s="566">
        <v>44362893.019999988</v>
      </c>
      <c r="E10" s="566">
        <v>16761266.937824994</v>
      </c>
      <c r="F10" s="566">
        <v>838153.48315100011</v>
      </c>
      <c r="G10" s="566">
        <v>0</v>
      </c>
      <c r="H10" s="566">
        <v>999.33</v>
      </c>
      <c r="I10" s="568">
        <f t="shared" si="0"/>
        <v>69425177.669024006</v>
      </c>
    </row>
    <row r="11" spans="1:9">
      <c r="A11" s="412">
        <v>5</v>
      </c>
      <c r="B11" s="416" t="s">
        <v>569</v>
      </c>
      <c r="C11" s="566">
        <v>29494666.140000001</v>
      </c>
      <c r="D11" s="566">
        <v>52408457.890000008</v>
      </c>
      <c r="E11" s="566">
        <v>12132413.383234994</v>
      </c>
      <c r="F11" s="566">
        <v>946725.94873599999</v>
      </c>
      <c r="G11" s="566">
        <v>0</v>
      </c>
      <c r="H11" s="566">
        <v>247.66</v>
      </c>
      <c r="I11" s="568">
        <f t="shared" si="0"/>
        <v>68823984.698029011</v>
      </c>
    </row>
    <row r="12" spans="1:9">
      <c r="A12" s="412">
        <v>6</v>
      </c>
      <c r="B12" s="416" t="s">
        <v>570</v>
      </c>
      <c r="C12" s="566">
        <v>7086755</v>
      </c>
      <c r="D12" s="566">
        <v>58477301.449999996</v>
      </c>
      <c r="E12" s="566">
        <v>3997528.1355689997</v>
      </c>
      <c r="F12" s="566">
        <v>1090969.0366699998</v>
      </c>
      <c r="G12" s="566">
        <v>0</v>
      </c>
      <c r="H12" s="566">
        <v>0</v>
      </c>
      <c r="I12" s="568">
        <f t="shared" si="0"/>
        <v>60475559.277760997</v>
      </c>
    </row>
    <row r="13" spans="1:9">
      <c r="A13" s="412">
        <v>7</v>
      </c>
      <c r="B13" s="416" t="s">
        <v>571</v>
      </c>
      <c r="C13" s="566">
        <v>6591643.3699999973</v>
      </c>
      <c r="D13" s="566">
        <v>6503908.6000000015</v>
      </c>
      <c r="E13" s="566">
        <v>2857401.5793779995</v>
      </c>
      <c r="F13" s="566">
        <v>84425.943568999995</v>
      </c>
      <c r="G13" s="566">
        <v>0</v>
      </c>
      <c r="H13" s="566">
        <v>0</v>
      </c>
      <c r="I13" s="568">
        <f t="shared" si="0"/>
        <v>10153724.447052998</v>
      </c>
    </row>
    <row r="14" spans="1:9">
      <c r="A14" s="412">
        <v>8</v>
      </c>
      <c r="B14" s="416" t="s">
        <v>572</v>
      </c>
      <c r="C14" s="566">
        <v>26888715.609999999</v>
      </c>
      <c r="D14" s="566">
        <v>15681096.529999997</v>
      </c>
      <c r="E14" s="566">
        <v>12958156.744498998</v>
      </c>
      <c r="F14" s="566">
        <v>285877.35314599995</v>
      </c>
      <c r="G14" s="566">
        <v>0</v>
      </c>
      <c r="H14" s="566">
        <v>0</v>
      </c>
      <c r="I14" s="568">
        <f t="shared" si="0"/>
        <v>29325778.042355001</v>
      </c>
    </row>
    <row r="15" spans="1:9">
      <c r="A15" s="412">
        <v>9</v>
      </c>
      <c r="B15" s="416" t="s">
        <v>573</v>
      </c>
      <c r="C15" s="566">
        <v>63790092.539999999</v>
      </c>
      <c r="D15" s="566">
        <v>79804488.099999979</v>
      </c>
      <c r="E15" s="566">
        <v>33618857.136253007</v>
      </c>
      <c r="F15" s="566">
        <v>1352054.55785</v>
      </c>
      <c r="G15" s="566">
        <v>0</v>
      </c>
      <c r="H15" s="566">
        <v>2291.14</v>
      </c>
      <c r="I15" s="568">
        <f t="shared" si="0"/>
        <v>108623668.94589698</v>
      </c>
    </row>
    <row r="16" spans="1:9">
      <c r="A16" s="412">
        <v>10</v>
      </c>
      <c r="B16" s="416" t="s">
        <v>574</v>
      </c>
      <c r="C16" s="566">
        <v>63780.23</v>
      </c>
      <c r="D16" s="566">
        <v>1575312.7799999998</v>
      </c>
      <c r="E16" s="566">
        <v>19134.070347999997</v>
      </c>
      <c r="F16" s="566">
        <v>31395.149651000003</v>
      </c>
      <c r="G16" s="566">
        <v>0</v>
      </c>
      <c r="H16" s="566">
        <v>0</v>
      </c>
      <c r="I16" s="568">
        <f t="shared" si="0"/>
        <v>1588563.7900009998</v>
      </c>
    </row>
    <row r="17" spans="1:9">
      <c r="A17" s="412">
        <v>11</v>
      </c>
      <c r="B17" s="416" t="s">
        <v>575</v>
      </c>
      <c r="C17" s="566">
        <v>0</v>
      </c>
      <c r="D17" s="566">
        <v>340179.96</v>
      </c>
      <c r="E17" s="566">
        <v>0</v>
      </c>
      <c r="F17" s="566">
        <v>6780.1937470000003</v>
      </c>
      <c r="G17" s="566">
        <v>0</v>
      </c>
      <c r="H17" s="566">
        <v>0</v>
      </c>
      <c r="I17" s="568">
        <f t="shared" si="0"/>
        <v>333399.76625300001</v>
      </c>
    </row>
    <row r="18" spans="1:9">
      <c r="A18" s="412">
        <v>12</v>
      </c>
      <c r="B18" s="416" t="s">
        <v>576</v>
      </c>
      <c r="C18" s="566">
        <v>24051913.980000004</v>
      </c>
      <c r="D18" s="566">
        <v>7406454.7399999993</v>
      </c>
      <c r="E18" s="566">
        <v>7368786.1669149986</v>
      </c>
      <c r="F18" s="566">
        <v>131322.15899699999</v>
      </c>
      <c r="G18" s="566">
        <v>0</v>
      </c>
      <c r="H18" s="566">
        <v>0</v>
      </c>
      <c r="I18" s="568">
        <f t="shared" si="0"/>
        <v>23958260.394088004</v>
      </c>
    </row>
    <row r="19" spans="1:9">
      <c r="A19" s="412">
        <v>13</v>
      </c>
      <c r="B19" s="416" t="s">
        <v>577</v>
      </c>
      <c r="C19" s="566">
        <v>4376781.8</v>
      </c>
      <c r="D19" s="566">
        <v>25140333.090000004</v>
      </c>
      <c r="E19" s="566">
        <v>1698171.7568080002</v>
      </c>
      <c r="F19" s="566">
        <v>497410.70994099998</v>
      </c>
      <c r="G19" s="566">
        <v>0</v>
      </c>
      <c r="H19" s="566">
        <v>0</v>
      </c>
      <c r="I19" s="568">
        <f t="shared" si="0"/>
        <v>27321532.423251003</v>
      </c>
    </row>
    <row r="20" spans="1:9">
      <c r="A20" s="412">
        <v>14</v>
      </c>
      <c r="B20" s="416" t="s">
        <v>578</v>
      </c>
      <c r="C20" s="566">
        <v>37235160.169999994</v>
      </c>
      <c r="D20" s="566">
        <v>27961981.540000003</v>
      </c>
      <c r="E20" s="566">
        <v>15873647.663626997</v>
      </c>
      <c r="F20" s="566">
        <v>475276.04242199997</v>
      </c>
      <c r="G20" s="566">
        <v>0</v>
      </c>
      <c r="H20" s="566">
        <v>0</v>
      </c>
      <c r="I20" s="568">
        <f t="shared" si="0"/>
        <v>48848218.003950998</v>
      </c>
    </row>
    <row r="21" spans="1:9">
      <c r="A21" s="412">
        <v>15</v>
      </c>
      <c r="B21" s="416" t="s">
        <v>579</v>
      </c>
      <c r="C21" s="566">
        <v>4355468.4800000004</v>
      </c>
      <c r="D21" s="566">
        <v>317751.52</v>
      </c>
      <c r="E21" s="566">
        <v>1327564.3038070002</v>
      </c>
      <c r="F21" s="566">
        <v>1608.1215179999999</v>
      </c>
      <c r="G21" s="566">
        <v>0</v>
      </c>
      <c r="H21" s="566">
        <v>0</v>
      </c>
      <c r="I21" s="568">
        <f t="shared" si="0"/>
        <v>3344047.5746749998</v>
      </c>
    </row>
    <row r="22" spans="1:9">
      <c r="A22" s="412">
        <v>16</v>
      </c>
      <c r="B22" s="416" t="s">
        <v>580</v>
      </c>
      <c r="C22" s="566">
        <v>73073.16</v>
      </c>
      <c r="D22" s="566">
        <v>52055876.080000006</v>
      </c>
      <c r="E22" s="566">
        <v>36536.5792</v>
      </c>
      <c r="F22" s="566">
        <v>1033634.440105</v>
      </c>
      <c r="G22" s="566">
        <v>0</v>
      </c>
      <c r="H22" s="566">
        <v>0</v>
      </c>
      <c r="I22" s="568">
        <f t="shared" si="0"/>
        <v>51058778.220695004</v>
      </c>
    </row>
    <row r="23" spans="1:9">
      <c r="A23" s="412">
        <v>17</v>
      </c>
      <c r="B23" s="416" t="s">
        <v>701</v>
      </c>
      <c r="C23" s="566">
        <v>137280.99</v>
      </c>
      <c r="D23" s="566">
        <v>25417392.320000004</v>
      </c>
      <c r="E23" s="566">
        <v>1023196.806035</v>
      </c>
      <c r="F23" s="566">
        <v>309457.02680200001</v>
      </c>
      <c r="G23" s="566">
        <v>0</v>
      </c>
      <c r="H23" s="566">
        <v>0</v>
      </c>
      <c r="I23" s="568">
        <f t="shared" si="0"/>
        <v>24222019.477163002</v>
      </c>
    </row>
    <row r="24" spans="1:9">
      <c r="A24" s="412">
        <v>18</v>
      </c>
      <c r="B24" s="416" t="s">
        <v>581</v>
      </c>
      <c r="C24" s="566">
        <v>2075392</v>
      </c>
      <c r="D24" s="566">
        <v>1591034.79</v>
      </c>
      <c r="E24" s="566">
        <v>1093226.064973</v>
      </c>
      <c r="F24" s="566">
        <v>4094.6108829999998</v>
      </c>
      <c r="G24" s="566">
        <v>0</v>
      </c>
      <c r="H24" s="566">
        <v>0</v>
      </c>
      <c r="I24" s="568">
        <f t="shared" si="0"/>
        <v>2569106.1141440002</v>
      </c>
    </row>
    <row r="25" spans="1:9">
      <c r="A25" s="412">
        <v>19</v>
      </c>
      <c r="B25" s="416" t="s">
        <v>582</v>
      </c>
      <c r="C25" s="566">
        <v>33376786.530000001</v>
      </c>
      <c r="D25" s="566">
        <v>859008.5199999999</v>
      </c>
      <c r="E25" s="566">
        <v>10582177.677887999</v>
      </c>
      <c r="F25" s="566">
        <v>17103.463698</v>
      </c>
      <c r="G25" s="566">
        <v>0</v>
      </c>
      <c r="H25" s="566">
        <v>0</v>
      </c>
      <c r="I25" s="568">
        <f t="shared" si="0"/>
        <v>23636513.908414006</v>
      </c>
    </row>
    <row r="26" spans="1:9">
      <c r="A26" s="412">
        <v>20</v>
      </c>
      <c r="B26" s="416" t="s">
        <v>700</v>
      </c>
      <c r="C26" s="566">
        <v>497683.03</v>
      </c>
      <c r="D26" s="566">
        <v>58389605.630000003</v>
      </c>
      <c r="E26" s="566">
        <v>1540376.8593039999</v>
      </c>
      <c r="F26" s="566">
        <v>873283.6121990002</v>
      </c>
      <c r="G26" s="566">
        <v>0</v>
      </c>
      <c r="H26" s="566">
        <v>0</v>
      </c>
      <c r="I26" s="568">
        <f t="shared" si="0"/>
        <v>56473628.188496999</v>
      </c>
    </row>
    <row r="27" spans="1:9">
      <c r="A27" s="412">
        <v>21</v>
      </c>
      <c r="B27" s="416" t="s">
        <v>583</v>
      </c>
      <c r="C27" s="566">
        <v>0</v>
      </c>
      <c r="D27" s="566">
        <v>2916722.4099999997</v>
      </c>
      <c r="E27" s="566">
        <v>0</v>
      </c>
      <c r="F27" s="566">
        <v>58143.234645000004</v>
      </c>
      <c r="G27" s="566">
        <v>0</v>
      </c>
      <c r="H27" s="566">
        <v>59.27</v>
      </c>
      <c r="I27" s="568">
        <f t="shared" si="0"/>
        <v>2858579.1753549995</v>
      </c>
    </row>
    <row r="28" spans="1:9">
      <c r="A28" s="412">
        <v>22</v>
      </c>
      <c r="B28" s="416" t="s">
        <v>584</v>
      </c>
      <c r="C28" s="566">
        <v>6947878.3700000001</v>
      </c>
      <c r="D28" s="566">
        <v>50321856.569999993</v>
      </c>
      <c r="E28" s="566">
        <v>6501786.9446909996</v>
      </c>
      <c r="F28" s="566">
        <v>936322.11199999996</v>
      </c>
      <c r="G28" s="566">
        <v>0</v>
      </c>
      <c r="H28" s="566">
        <v>0</v>
      </c>
      <c r="I28" s="568">
        <f t="shared" si="0"/>
        <v>49831625.883308984</v>
      </c>
    </row>
    <row r="29" spans="1:9">
      <c r="A29" s="412">
        <v>23</v>
      </c>
      <c r="B29" s="416" t="s">
        <v>585</v>
      </c>
      <c r="C29" s="566">
        <v>17425381.820000004</v>
      </c>
      <c r="D29" s="566">
        <v>75216899.280000016</v>
      </c>
      <c r="E29" s="566">
        <v>7342031.4533479987</v>
      </c>
      <c r="F29" s="566">
        <v>1491858.7467199997</v>
      </c>
      <c r="G29" s="566">
        <v>0</v>
      </c>
      <c r="H29" s="566">
        <v>0</v>
      </c>
      <c r="I29" s="568">
        <f t="shared" si="0"/>
        <v>83808390.899932027</v>
      </c>
    </row>
    <row r="30" spans="1:9">
      <c r="A30" s="412">
        <v>24</v>
      </c>
      <c r="B30" s="416" t="s">
        <v>699</v>
      </c>
      <c r="C30" s="566">
        <v>14558409.200000003</v>
      </c>
      <c r="D30" s="566">
        <v>40421516.110000014</v>
      </c>
      <c r="E30" s="566">
        <v>9089858.9565280024</v>
      </c>
      <c r="F30" s="566">
        <v>551163.72577899985</v>
      </c>
      <c r="G30" s="566">
        <v>0</v>
      </c>
      <c r="H30" s="566">
        <v>0</v>
      </c>
      <c r="I30" s="568">
        <f t="shared" si="0"/>
        <v>45338902.62769302</v>
      </c>
    </row>
    <row r="31" spans="1:9">
      <c r="A31" s="412">
        <v>25</v>
      </c>
      <c r="B31" s="416" t="s">
        <v>586</v>
      </c>
      <c r="C31" s="566">
        <v>4059664.21</v>
      </c>
      <c r="D31" s="566">
        <v>33504482.259999998</v>
      </c>
      <c r="E31" s="566">
        <v>1601443.8376800003</v>
      </c>
      <c r="F31" s="566">
        <v>583912.25248200016</v>
      </c>
      <c r="G31" s="566">
        <v>0</v>
      </c>
      <c r="H31" s="566">
        <v>150.24</v>
      </c>
      <c r="I31" s="568">
        <f t="shared" si="0"/>
        <v>35378790.379838005</v>
      </c>
    </row>
    <row r="32" spans="1:9">
      <c r="A32" s="412">
        <v>26</v>
      </c>
      <c r="B32" s="416" t="s">
        <v>696</v>
      </c>
      <c r="C32" s="566">
        <v>13820.72</v>
      </c>
      <c r="D32" s="566">
        <v>1515848.5200000009</v>
      </c>
      <c r="E32" s="566">
        <v>9189.7375400000001</v>
      </c>
      <c r="F32" s="566">
        <v>24001.779916000032</v>
      </c>
      <c r="G32" s="566">
        <v>0</v>
      </c>
      <c r="H32" s="566">
        <v>163606.69000000041</v>
      </c>
      <c r="I32" s="568">
        <f t="shared" si="0"/>
        <v>1496477.7225440009</v>
      </c>
    </row>
    <row r="33" spans="1:9">
      <c r="A33" s="412">
        <v>27</v>
      </c>
      <c r="B33" s="412" t="s">
        <v>587</v>
      </c>
      <c r="C33" s="566">
        <v>35835589</v>
      </c>
      <c r="D33" s="566">
        <v>65593202.433743998</v>
      </c>
      <c r="E33" s="566">
        <v>11141209</v>
      </c>
      <c r="F33" s="566">
        <v>1140</v>
      </c>
      <c r="G33" s="566">
        <v>0</v>
      </c>
      <c r="H33" s="566">
        <v>1074556.1400000001</v>
      </c>
      <c r="I33" s="568">
        <f t="shared" si="0"/>
        <v>90286442.433743998</v>
      </c>
    </row>
    <row r="34" spans="1:9">
      <c r="A34" s="412">
        <v>28</v>
      </c>
      <c r="B34" s="417" t="s">
        <v>109</v>
      </c>
      <c r="C34" s="567">
        <f>SUM(C7:C33)</f>
        <v>362244069.64999998</v>
      </c>
      <c r="D34" s="567">
        <f t="shared" ref="D34:H34" si="1">SUM(D7:D33)</f>
        <v>1032325135.9937438</v>
      </c>
      <c r="E34" s="567">
        <f t="shared" si="1"/>
        <v>158772882.34326899</v>
      </c>
      <c r="F34" s="567">
        <f t="shared" si="1"/>
        <v>11905016.825325999</v>
      </c>
      <c r="G34" s="567">
        <v>0</v>
      </c>
      <c r="H34" s="567">
        <f t="shared" si="1"/>
        <v>1242498.8600000006</v>
      </c>
      <c r="I34" s="568">
        <f t="shared" si="0"/>
        <v>1223891306.4751487</v>
      </c>
    </row>
    <row r="36" spans="1:9">
      <c r="B36" s="448"/>
    </row>
    <row r="42" spans="1:9">
      <c r="A42" s="445"/>
      <c r="B42" s="445"/>
    </row>
    <row r="43" spans="1:9">
      <c r="A43" s="445"/>
      <c r="B43" s="44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2" sqref="B2"/>
    </sheetView>
  </sheetViews>
  <sheetFormatPr defaultColWidth="9.28515625" defaultRowHeight="12.75"/>
  <cols>
    <col min="1" max="1" width="11.7109375" style="415" bestFit="1" customWidth="1"/>
    <col min="2" max="2" width="108" style="415" bestFit="1" customWidth="1"/>
    <col min="3" max="4" width="35.5703125" style="415" customWidth="1"/>
    <col min="5" max="16384" width="9.28515625" style="415"/>
  </cols>
  <sheetData>
    <row r="1" spans="1:4">
      <c r="A1" s="407" t="s">
        <v>30</v>
      </c>
      <c r="B1" s="415" t="str">
        <f>'1. key ratios '!B1</f>
        <v>JSC CARTU BANK</v>
      </c>
    </row>
    <row r="2" spans="1:4" ht="13.5">
      <c r="A2" s="407" t="s">
        <v>31</v>
      </c>
      <c r="B2" s="371">
        <f>'1. key ratios '!B2</f>
        <v>44561</v>
      </c>
    </row>
    <row r="3" spans="1:4">
      <c r="A3" s="408" t="s">
        <v>588</v>
      </c>
    </row>
    <row r="5" spans="1:4" ht="25.5">
      <c r="A5" s="703" t="s">
        <v>589</v>
      </c>
      <c r="B5" s="703"/>
      <c r="C5" s="437" t="s">
        <v>590</v>
      </c>
      <c r="D5" s="437" t="s">
        <v>591</v>
      </c>
    </row>
    <row r="6" spans="1:4">
      <c r="A6" s="418">
        <v>1</v>
      </c>
      <c r="B6" s="419" t="s">
        <v>592</v>
      </c>
      <c r="C6" s="567">
        <v>166614563.20575881</v>
      </c>
      <c r="D6" s="567">
        <v>372280</v>
      </c>
    </row>
    <row r="7" spans="1:4">
      <c r="A7" s="420">
        <v>2</v>
      </c>
      <c r="B7" s="419" t="s">
        <v>593</v>
      </c>
      <c r="C7" s="567">
        <v>34190031.988192029</v>
      </c>
      <c r="D7" s="567">
        <f>SUM(D8:D11)</f>
        <v>0</v>
      </c>
    </row>
    <row r="8" spans="1:4">
      <c r="A8" s="420">
        <v>2.1</v>
      </c>
      <c r="B8" s="421" t="s">
        <v>704</v>
      </c>
      <c r="C8" s="566">
        <v>27822501.930372119</v>
      </c>
      <c r="D8" s="566"/>
    </row>
    <row r="9" spans="1:4">
      <c r="A9" s="420">
        <v>2.2000000000000002</v>
      </c>
      <c r="B9" s="421" t="s">
        <v>702</v>
      </c>
      <c r="C9" s="566">
        <v>6367530.0578199094</v>
      </c>
      <c r="D9" s="566"/>
    </row>
    <row r="10" spans="1:4">
      <c r="A10" s="420">
        <v>2.2999999999999998</v>
      </c>
      <c r="B10" s="421" t="s">
        <v>594</v>
      </c>
      <c r="C10" s="566">
        <v>0</v>
      </c>
      <c r="D10" s="566"/>
    </row>
    <row r="11" spans="1:4">
      <c r="A11" s="420">
        <v>2.4</v>
      </c>
      <c r="B11" s="421" t="s">
        <v>595</v>
      </c>
      <c r="C11" s="566">
        <v>0</v>
      </c>
      <c r="D11" s="566"/>
    </row>
    <row r="12" spans="1:4">
      <c r="A12" s="418">
        <v>3</v>
      </c>
      <c r="B12" s="419" t="s">
        <v>596</v>
      </c>
      <c r="C12" s="567">
        <f>SUM(C13:C18)</f>
        <v>41638804.254813805</v>
      </c>
      <c r="D12" s="567">
        <f>SUM(D13:D18)</f>
        <v>2520</v>
      </c>
    </row>
    <row r="13" spans="1:4">
      <c r="A13" s="420">
        <v>3.1</v>
      </c>
      <c r="B13" s="421" t="s">
        <v>597</v>
      </c>
      <c r="C13" s="566">
        <v>167957.454016</v>
      </c>
      <c r="D13" s="566"/>
    </row>
    <row r="14" spans="1:4">
      <c r="A14" s="420">
        <v>3.2</v>
      </c>
      <c r="B14" s="421" t="s">
        <v>598</v>
      </c>
      <c r="C14" s="566">
        <v>1978887.7497317502</v>
      </c>
      <c r="D14" s="566"/>
    </row>
    <row r="15" spans="1:4">
      <c r="A15" s="420">
        <v>3.3</v>
      </c>
      <c r="B15" s="421" t="s">
        <v>693</v>
      </c>
      <c r="C15" s="566">
        <v>32667893.314920012</v>
      </c>
      <c r="D15" s="566"/>
    </row>
    <row r="16" spans="1:4">
      <c r="A16" s="420">
        <v>3.4</v>
      </c>
      <c r="B16" s="421" t="s">
        <v>703</v>
      </c>
      <c r="C16" s="566">
        <v>5907405.721117191</v>
      </c>
      <c r="D16" s="566"/>
    </row>
    <row r="17" spans="1:4">
      <c r="A17" s="420">
        <v>3.5</v>
      </c>
      <c r="B17" s="421" t="s">
        <v>599</v>
      </c>
      <c r="C17" s="566">
        <v>916660.01502885227</v>
      </c>
      <c r="D17" s="566">
        <v>2520</v>
      </c>
    </row>
    <row r="18" spans="1:4">
      <c r="A18" s="420">
        <v>3.6</v>
      </c>
      <c r="B18" s="421" t="s">
        <v>600</v>
      </c>
      <c r="C18" s="566">
        <v>0</v>
      </c>
      <c r="D18" s="566"/>
    </row>
    <row r="19" spans="1:4">
      <c r="A19" s="422">
        <v>4</v>
      </c>
      <c r="B19" s="419" t="s">
        <v>601</v>
      </c>
      <c r="C19" s="567">
        <f>C6+C7-C12</f>
        <v>159165790.93913704</v>
      </c>
      <c r="D19" s="567">
        <f>D6+D7-D12</f>
        <v>369760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B2" sqref="B2"/>
    </sheetView>
  </sheetViews>
  <sheetFormatPr defaultColWidth="9.28515625" defaultRowHeight="12.75"/>
  <cols>
    <col min="1" max="1" width="11.7109375" style="415" bestFit="1" customWidth="1"/>
    <col min="2" max="2" width="124.7109375" style="415" customWidth="1"/>
    <col min="3" max="3" width="31.5703125" style="415" customWidth="1"/>
    <col min="4" max="4" width="39.28515625" style="415" customWidth="1"/>
    <col min="5" max="16384" width="9.28515625" style="415"/>
  </cols>
  <sheetData>
    <row r="1" spans="1:4">
      <c r="A1" s="407" t="s">
        <v>30</v>
      </c>
      <c r="B1" s="415" t="str">
        <f>'1. key ratios '!B1</f>
        <v>JSC CARTU BANK</v>
      </c>
    </row>
    <row r="2" spans="1:4" ht="13.5">
      <c r="A2" s="407" t="s">
        <v>31</v>
      </c>
      <c r="B2" s="371">
        <f>'1. key ratios '!B2</f>
        <v>44561</v>
      </c>
    </row>
    <row r="3" spans="1:4">
      <c r="A3" s="408" t="s">
        <v>602</v>
      </c>
    </row>
    <row r="4" spans="1:4">
      <c r="A4" s="408"/>
    </row>
    <row r="5" spans="1:4" ht="15" customHeight="1">
      <c r="A5" s="704" t="s">
        <v>705</v>
      </c>
      <c r="B5" s="705"/>
      <c r="C5" s="694" t="s">
        <v>603</v>
      </c>
      <c r="D5" s="708" t="s">
        <v>604</v>
      </c>
    </row>
    <row r="6" spans="1:4">
      <c r="A6" s="706"/>
      <c r="B6" s="707"/>
      <c r="C6" s="697"/>
      <c r="D6" s="708"/>
    </row>
    <row r="7" spans="1:4">
      <c r="A7" s="417">
        <v>1</v>
      </c>
      <c r="B7" s="417" t="s">
        <v>592</v>
      </c>
      <c r="C7" s="567">
        <v>349830391.99779958</v>
      </c>
      <c r="D7" s="569"/>
    </row>
    <row r="8" spans="1:4">
      <c r="A8" s="412">
        <v>2</v>
      </c>
      <c r="B8" s="412" t="s">
        <v>605</v>
      </c>
      <c r="C8" s="566">
        <v>73913308.829333127</v>
      </c>
      <c r="D8" s="569"/>
    </row>
    <row r="9" spans="1:4">
      <c r="A9" s="412">
        <v>3</v>
      </c>
      <c r="B9" s="423" t="s">
        <v>606</v>
      </c>
      <c r="C9" s="566">
        <v>2.4800000283448753E-2</v>
      </c>
      <c r="D9" s="569"/>
    </row>
    <row r="10" spans="1:4">
      <c r="A10" s="412">
        <v>4</v>
      </c>
      <c r="B10" s="412" t="s">
        <v>607</v>
      </c>
      <c r="C10" s="566">
        <f>SUM(C11:C18)</f>
        <v>97393608.709533125</v>
      </c>
      <c r="D10" s="569"/>
    </row>
    <row r="11" spans="1:4">
      <c r="A11" s="412">
        <v>5</v>
      </c>
      <c r="B11" s="424" t="s">
        <v>608</v>
      </c>
      <c r="C11" s="566">
        <v>3415030.6</v>
      </c>
      <c r="D11" s="569"/>
    </row>
    <row r="12" spans="1:4">
      <c r="A12" s="412">
        <v>6</v>
      </c>
      <c r="B12" s="424" t="s">
        <v>609</v>
      </c>
      <c r="C12" s="566">
        <v>7552344.9200000009</v>
      </c>
      <c r="D12" s="569"/>
    </row>
    <row r="13" spans="1:4">
      <c r="A13" s="412">
        <v>7</v>
      </c>
      <c r="B13" s="424" t="s">
        <v>610</v>
      </c>
      <c r="C13" s="566">
        <v>72207248.352268308</v>
      </c>
      <c r="D13" s="569"/>
    </row>
    <row r="14" spans="1:4">
      <c r="A14" s="412">
        <v>8</v>
      </c>
      <c r="B14" s="424" t="s">
        <v>611</v>
      </c>
      <c r="C14" s="566">
        <v>12147817.744128</v>
      </c>
      <c r="D14" s="566">
        <v>12849477.08</v>
      </c>
    </row>
    <row r="15" spans="1:4">
      <c r="A15" s="412">
        <v>9</v>
      </c>
      <c r="B15" s="424" t="s">
        <v>612</v>
      </c>
      <c r="C15" s="566">
        <v>0</v>
      </c>
      <c r="D15" s="566"/>
    </row>
    <row r="16" spans="1:4">
      <c r="A16" s="412">
        <v>10</v>
      </c>
      <c r="B16" s="424" t="s">
        <v>613</v>
      </c>
      <c r="C16" s="566">
        <v>167957.454016</v>
      </c>
      <c r="D16" s="569"/>
    </row>
    <row r="17" spans="1:4">
      <c r="A17" s="412">
        <v>11</v>
      </c>
      <c r="B17" s="424" t="s">
        <v>614</v>
      </c>
      <c r="C17" s="566">
        <v>0</v>
      </c>
      <c r="D17" s="566"/>
    </row>
    <row r="18" spans="1:4">
      <c r="A18" s="412">
        <v>12</v>
      </c>
      <c r="B18" s="421" t="s">
        <v>710</v>
      </c>
      <c r="C18" s="566">
        <v>1903209.6391208104</v>
      </c>
      <c r="D18" s="569"/>
    </row>
    <row r="19" spans="1:4">
      <c r="A19" s="417">
        <v>13</v>
      </c>
      <c r="B19" s="449" t="s">
        <v>601</v>
      </c>
      <c r="C19" s="567">
        <f>C7+C8+C9-C10</f>
        <v>326350092.14239955</v>
      </c>
      <c r="D19" s="570"/>
    </row>
    <row r="22" spans="1:4">
      <c r="B22" s="407"/>
    </row>
    <row r="23" spans="1:4">
      <c r="B23" s="407"/>
    </row>
    <row r="24" spans="1:4">
      <c r="B24" s="40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B1" workbookViewId="0">
      <selection activeCell="B1" sqref="B1"/>
    </sheetView>
  </sheetViews>
  <sheetFormatPr defaultColWidth="9.28515625" defaultRowHeight="12.75"/>
  <cols>
    <col min="1" max="1" width="11.7109375" style="415" bestFit="1" customWidth="1"/>
    <col min="2" max="2" width="80.7109375" style="415" customWidth="1"/>
    <col min="3" max="3" width="15.5703125" style="415" customWidth="1"/>
    <col min="4" max="5" width="22.28515625" style="415" customWidth="1"/>
    <col min="6" max="6" width="23.42578125" style="415" customWidth="1"/>
    <col min="7" max="14" width="22.28515625" style="415" customWidth="1"/>
    <col min="15" max="15" width="23.28515625" style="415" bestFit="1" customWidth="1"/>
    <col min="16" max="16" width="21.7109375" style="415" bestFit="1" customWidth="1"/>
    <col min="17" max="19" width="19" style="415" bestFit="1" customWidth="1"/>
    <col min="20" max="20" width="16.28515625" style="415" customWidth="1"/>
    <col min="21" max="21" width="21" style="415" customWidth="1"/>
    <col min="22" max="22" width="20" style="415" customWidth="1"/>
    <col min="23" max="16384" width="9.28515625" style="415"/>
  </cols>
  <sheetData>
    <row r="1" spans="1:22">
      <c r="A1" s="407" t="s">
        <v>30</v>
      </c>
      <c r="B1" s="415" t="str">
        <f>'1. key ratios '!B1</f>
        <v>JSC CARTU BANK</v>
      </c>
    </row>
    <row r="2" spans="1:22" ht="13.5">
      <c r="A2" s="407" t="s">
        <v>31</v>
      </c>
      <c r="B2" s="371">
        <f>'1. key ratios '!B2</f>
        <v>44561</v>
      </c>
      <c r="C2" s="442"/>
    </row>
    <row r="3" spans="1:22">
      <c r="A3" s="408" t="s">
        <v>615</v>
      </c>
    </row>
    <row r="5" spans="1:22" ht="15" customHeight="1">
      <c r="A5" s="694" t="s">
        <v>540</v>
      </c>
      <c r="B5" s="696"/>
      <c r="C5" s="711" t="s">
        <v>616</v>
      </c>
      <c r="D5" s="712"/>
      <c r="E5" s="712"/>
      <c r="F5" s="712"/>
      <c r="G5" s="712"/>
      <c r="H5" s="712"/>
      <c r="I5" s="712"/>
      <c r="J5" s="712"/>
      <c r="K5" s="712"/>
      <c r="L5" s="712"/>
      <c r="M5" s="712"/>
      <c r="N5" s="712"/>
      <c r="O5" s="712"/>
      <c r="P5" s="712"/>
      <c r="Q5" s="712"/>
      <c r="R5" s="712"/>
      <c r="S5" s="712"/>
      <c r="T5" s="712"/>
      <c r="U5" s="713"/>
      <c r="V5" s="450"/>
    </row>
    <row r="6" spans="1:22">
      <c r="A6" s="709"/>
      <c r="B6" s="710"/>
      <c r="C6" s="714" t="s">
        <v>109</v>
      </c>
      <c r="D6" s="716" t="s">
        <v>617</v>
      </c>
      <c r="E6" s="716"/>
      <c r="F6" s="701"/>
      <c r="G6" s="717" t="s">
        <v>618</v>
      </c>
      <c r="H6" s="718"/>
      <c r="I6" s="718"/>
      <c r="J6" s="718"/>
      <c r="K6" s="719"/>
      <c r="L6" s="439"/>
      <c r="M6" s="720" t="s">
        <v>619</v>
      </c>
      <c r="N6" s="720"/>
      <c r="O6" s="701"/>
      <c r="P6" s="701"/>
      <c r="Q6" s="701"/>
      <c r="R6" s="701"/>
      <c r="S6" s="701"/>
      <c r="T6" s="701"/>
      <c r="U6" s="701"/>
      <c r="V6" s="439"/>
    </row>
    <row r="7" spans="1:22" ht="25.5">
      <c r="A7" s="697"/>
      <c r="B7" s="699"/>
      <c r="C7" s="715"/>
      <c r="D7" s="451"/>
      <c r="E7" s="444" t="s">
        <v>620</v>
      </c>
      <c r="F7" s="444" t="s">
        <v>621</v>
      </c>
      <c r="G7" s="442"/>
      <c r="H7" s="444" t="s">
        <v>620</v>
      </c>
      <c r="I7" s="444" t="s">
        <v>622</v>
      </c>
      <c r="J7" s="444" t="s">
        <v>623</v>
      </c>
      <c r="K7" s="444" t="s">
        <v>624</v>
      </c>
      <c r="L7" s="438"/>
      <c r="M7" s="433" t="s">
        <v>625</v>
      </c>
      <c r="N7" s="444" t="s">
        <v>623</v>
      </c>
      <c r="O7" s="444" t="s">
        <v>626</v>
      </c>
      <c r="P7" s="444" t="s">
        <v>627</v>
      </c>
      <c r="Q7" s="444" t="s">
        <v>628</v>
      </c>
      <c r="R7" s="444" t="s">
        <v>629</v>
      </c>
      <c r="S7" s="444" t="s">
        <v>630</v>
      </c>
      <c r="T7" s="452" t="s">
        <v>631</v>
      </c>
      <c r="U7" s="444" t="s">
        <v>632</v>
      </c>
      <c r="V7" s="450"/>
    </row>
    <row r="8" spans="1:22">
      <c r="A8" s="453">
        <v>1</v>
      </c>
      <c r="B8" s="417" t="s">
        <v>633</v>
      </c>
      <c r="C8" s="567">
        <f>SUM(C9:C14)</f>
        <v>965168853.17349935</v>
      </c>
      <c r="D8" s="567">
        <f t="shared" ref="D8:U8" si="0">SUM(D9:D14)</f>
        <v>578096348.35109997</v>
      </c>
      <c r="E8" s="567">
        <f t="shared" si="0"/>
        <v>0</v>
      </c>
      <c r="F8" s="567">
        <f t="shared" si="0"/>
        <v>83551.833999999886</v>
      </c>
      <c r="G8" s="567">
        <f t="shared" si="0"/>
        <v>60722412.68000003</v>
      </c>
      <c r="H8" s="567">
        <f t="shared" si="0"/>
        <v>3335899.55</v>
      </c>
      <c r="I8" s="567">
        <f t="shared" si="0"/>
        <v>6186942.6600000001</v>
      </c>
      <c r="J8" s="567">
        <f t="shared" si="0"/>
        <v>461749.14</v>
      </c>
      <c r="K8" s="567">
        <f t="shared" si="0"/>
        <v>60.44</v>
      </c>
      <c r="L8" s="567">
        <f t="shared" si="0"/>
        <v>326350092.14239979</v>
      </c>
      <c r="M8" s="567">
        <f t="shared" si="0"/>
        <v>1900899.82</v>
      </c>
      <c r="N8" s="567">
        <f t="shared" si="0"/>
        <v>201344</v>
      </c>
      <c r="O8" s="567">
        <f t="shared" si="0"/>
        <v>15239649.379999999</v>
      </c>
      <c r="P8" s="567">
        <f t="shared" si="0"/>
        <v>2631809.04</v>
      </c>
      <c r="Q8" s="567">
        <f t="shared" si="0"/>
        <v>42926002.950000003</v>
      </c>
      <c r="R8" s="567">
        <f t="shared" si="0"/>
        <v>85659623.10239999</v>
      </c>
      <c r="S8" s="567">
        <f t="shared" si="0"/>
        <v>20391906.989999998</v>
      </c>
      <c r="T8" s="567">
        <f t="shared" si="0"/>
        <v>19246365.339999996</v>
      </c>
      <c r="U8" s="567">
        <f t="shared" si="0"/>
        <v>34470561.560000002</v>
      </c>
    </row>
    <row r="9" spans="1:22">
      <c r="A9" s="412">
        <v>1.1000000000000001</v>
      </c>
      <c r="B9" s="435" t="s">
        <v>634</v>
      </c>
      <c r="C9" s="571"/>
      <c r="D9" s="566"/>
      <c r="E9" s="566"/>
      <c r="F9" s="566"/>
      <c r="G9" s="566"/>
      <c r="H9" s="566"/>
      <c r="I9" s="566"/>
      <c r="J9" s="566"/>
      <c r="K9" s="566"/>
      <c r="L9" s="566"/>
      <c r="M9" s="566"/>
      <c r="N9" s="566"/>
      <c r="O9" s="566"/>
      <c r="P9" s="566"/>
      <c r="Q9" s="566"/>
      <c r="R9" s="566"/>
      <c r="S9" s="566"/>
      <c r="T9" s="566"/>
      <c r="U9" s="566"/>
    </row>
    <row r="10" spans="1:22">
      <c r="A10" s="412">
        <v>1.2</v>
      </c>
      <c r="B10" s="435" t="s">
        <v>635</v>
      </c>
      <c r="C10" s="571"/>
      <c r="D10" s="566"/>
      <c r="E10" s="566"/>
      <c r="F10" s="566"/>
      <c r="G10" s="566"/>
      <c r="H10" s="566"/>
      <c r="I10" s="566"/>
      <c r="J10" s="566"/>
      <c r="K10" s="566"/>
      <c r="L10" s="566"/>
      <c r="M10" s="566"/>
      <c r="N10" s="566"/>
      <c r="O10" s="566"/>
      <c r="P10" s="566"/>
      <c r="Q10" s="566"/>
      <c r="R10" s="566"/>
      <c r="S10" s="566"/>
      <c r="T10" s="566"/>
      <c r="U10" s="566"/>
    </row>
    <row r="11" spans="1:22">
      <c r="A11" s="412">
        <v>1.3</v>
      </c>
      <c r="B11" s="435" t="s">
        <v>636</v>
      </c>
      <c r="C11" s="571"/>
      <c r="D11" s="566"/>
      <c r="E11" s="566"/>
      <c r="F11" s="566"/>
      <c r="G11" s="566"/>
      <c r="H11" s="566"/>
      <c r="I11" s="566"/>
      <c r="J11" s="566"/>
      <c r="K11" s="566"/>
      <c r="L11" s="566"/>
      <c r="M11" s="566"/>
      <c r="N11" s="566"/>
      <c r="O11" s="566"/>
      <c r="P11" s="566"/>
      <c r="Q11" s="566"/>
      <c r="R11" s="566"/>
      <c r="S11" s="566"/>
      <c r="T11" s="566"/>
      <c r="U11" s="566"/>
    </row>
    <row r="12" spans="1:22">
      <c r="A12" s="412">
        <v>1.4</v>
      </c>
      <c r="B12" s="435" t="s">
        <v>637</v>
      </c>
      <c r="C12" s="571">
        <v>92000</v>
      </c>
      <c r="D12" s="566">
        <v>92000</v>
      </c>
      <c r="E12" s="566">
        <v>0</v>
      </c>
      <c r="F12" s="566">
        <v>0</v>
      </c>
      <c r="G12" s="566">
        <v>0</v>
      </c>
      <c r="H12" s="566">
        <v>0</v>
      </c>
      <c r="I12" s="566">
        <v>0</v>
      </c>
      <c r="J12" s="566">
        <v>0</v>
      </c>
      <c r="K12" s="566">
        <v>0</v>
      </c>
      <c r="L12" s="566">
        <v>0</v>
      </c>
      <c r="M12" s="566">
        <v>0</v>
      </c>
      <c r="N12" s="566">
        <v>0</v>
      </c>
      <c r="O12" s="566">
        <v>0</v>
      </c>
      <c r="P12" s="566">
        <v>0</v>
      </c>
      <c r="Q12" s="566">
        <v>0</v>
      </c>
      <c r="R12" s="566">
        <v>0</v>
      </c>
      <c r="S12" s="566">
        <v>0</v>
      </c>
      <c r="T12" s="566">
        <v>0</v>
      </c>
      <c r="U12" s="566">
        <v>0</v>
      </c>
    </row>
    <row r="13" spans="1:22">
      <c r="A13" s="412">
        <v>1.5</v>
      </c>
      <c r="B13" s="435" t="s">
        <v>638</v>
      </c>
      <c r="C13" s="571">
        <v>876592064.82729924</v>
      </c>
      <c r="D13" s="566">
        <v>526794731.74199998</v>
      </c>
      <c r="E13" s="566">
        <v>0</v>
      </c>
      <c r="F13" s="566">
        <v>14265.7991</v>
      </c>
      <c r="G13" s="566">
        <v>54071758.980000027</v>
      </c>
      <c r="H13" s="566">
        <v>3335899.55</v>
      </c>
      <c r="I13" s="566">
        <v>4182153.7</v>
      </c>
      <c r="J13" s="566">
        <v>461749.14</v>
      </c>
      <c r="K13" s="566">
        <v>60.44</v>
      </c>
      <c r="L13" s="566">
        <v>295725574.10529983</v>
      </c>
      <c r="M13" s="566">
        <v>1378714.07</v>
      </c>
      <c r="N13" s="566">
        <v>0</v>
      </c>
      <c r="O13" s="566">
        <v>13420614.889999999</v>
      </c>
      <c r="P13" s="566">
        <v>2023364.8499999999</v>
      </c>
      <c r="Q13" s="566">
        <v>33836829.079999998</v>
      </c>
      <c r="R13" s="566">
        <v>84110284.925299987</v>
      </c>
      <c r="S13" s="566">
        <v>11035490.870000001</v>
      </c>
      <c r="T13" s="566">
        <v>19173292.179999996</v>
      </c>
      <c r="U13" s="566">
        <v>34269515.18</v>
      </c>
    </row>
    <row r="14" spans="1:22">
      <c r="A14" s="412">
        <v>1.6</v>
      </c>
      <c r="B14" s="435" t="s">
        <v>639</v>
      </c>
      <c r="C14" s="571">
        <v>88484788.346200049</v>
      </c>
      <c r="D14" s="566">
        <v>51209616.609100014</v>
      </c>
      <c r="E14" s="566">
        <v>0</v>
      </c>
      <c r="F14" s="566">
        <v>69286.034899999882</v>
      </c>
      <c r="G14" s="566">
        <v>6650653.7000000002</v>
      </c>
      <c r="H14" s="566">
        <v>0</v>
      </c>
      <c r="I14" s="566">
        <v>2004788.96</v>
      </c>
      <c r="J14" s="566">
        <v>0</v>
      </c>
      <c r="K14" s="566">
        <v>0</v>
      </c>
      <c r="L14" s="566">
        <v>30624518.037099984</v>
      </c>
      <c r="M14" s="566">
        <v>522185.75</v>
      </c>
      <c r="N14" s="566">
        <v>201344</v>
      </c>
      <c r="O14" s="566">
        <v>1819034.49</v>
      </c>
      <c r="P14" s="566">
        <v>608444.18999999994</v>
      </c>
      <c r="Q14" s="566">
        <v>9089173.870000001</v>
      </c>
      <c r="R14" s="566">
        <v>1549338.1771</v>
      </c>
      <c r="S14" s="566">
        <v>9356416.1199999973</v>
      </c>
      <c r="T14" s="566">
        <v>73073.16</v>
      </c>
      <c r="U14" s="566">
        <v>201046.37999999998</v>
      </c>
    </row>
    <row r="15" spans="1:22">
      <c r="A15" s="453">
        <v>2</v>
      </c>
      <c r="B15" s="417" t="s">
        <v>640</v>
      </c>
      <c r="C15" s="567">
        <f>SUM(C16:C21)</f>
        <v>50022340</v>
      </c>
      <c r="D15" s="567">
        <f t="shared" ref="D15:U15" si="1">SUM(D16:D21)</f>
        <v>50022340</v>
      </c>
      <c r="E15" s="567">
        <f t="shared" si="1"/>
        <v>0</v>
      </c>
      <c r="F15" s="567">
        <f t="shared" si="1"/>
        <v>0</v>
      </c>
      <c r="G15" s="567">
        <f t="shared" si="1"/>
        <v>0</v>
      </c>
      <c r="H15" s="567">
        <f t="shared" si="1"/>
        <v>0</v>
      </c>
      <c r="I15" s="567">
        <f t="shared" si="1"/>
        <v>0</v>
      </c>
      <c r="J15" s="567">
        <f t="shared" si="1"/>
        <v>0</v>
      </c>
      <c r="K15" s="567">
        <f t="shared" si="1"/>
        <v>0</v>
      </c>
      <c r="L15" s="567">
        <f t="shared" si="1"/>
        <v>0</v>
      </c>
      <c r="M15" s="567">
        <f t="shared" si="1"/>
        <v>0</v>
      </c>
      <c r="N15" s="567">
        <f t="shared" si="1"/>
        <v>0</v>
      </c>
      <c r="O15" s="567">
        <f t="shared" si="1"/>
        <v>0</v>
      </c>
      <c r="P15" s="567">
        <f t="shared" si="1"/>
        <v>0</v>
      </c>
      <c r="Q15" s="567">
        <f t="shared" si="1"/>
        <v>0</v>
      </c>
      <c r="R15" s="567">
        <f t="shared" si="1"/>
        <v>0</v>
      </c>
      <c r="S15" s="567">
        <f t="shared" si="1"/>
        <v>0</v>
      </c>
      <c r="T15" s="567">
        <f t="shared" si="1"/>
        <v>0</v>
      </c>
      <c r="U15" s="567">
        <f t="shared" si="1"/>
        <v>0</v>
      </c>
    </row>
    <row r="16" spans="1:22">
      <c r="A16" s="412">
        <v>2.1</v>
      </c>
      <c r="B16" s="435" t="s">
        <v>634</v>
      </c>
      <c r="C16" s="571">
        <v>0</v>
      </c>
      <c r="D16" s="566">
        <v>0</v>
      </c>
      <c r="E16" s="566"/>
      <c r="F16" s="566"/>
      <c r="G16" s="566"/>
      <c r="H16" s="566"/>
      <c r="I16" s="566"/>
      <c r="J16" s="566"/>
      <c r="K16" s="566"/>
      <c r="L16" s="566"/>
      <c r="M16" s="566"/>
      <c r="N16" s="566"/>
      <c r="O16" s="566"/>
      <c r="P16" s="566"/>
      <c r="Q16" s="566"/>
      <c r="R16" s="566"/>
      <c r="S16" s="566"/>
      <c r="T16" s="566"/>
      <c r="U16" s="566"/>
    </row>
    <row r="17" spans="1:21">
      <c r="A17" s="412">
        <v>2.2000000000000002</v>
      </c>
      <c r="B17" s="435" t="s">
        <v>635</v>
      </c>
      <c r="C17" s="571">
        <v>31534340</v>
      </c>
      <c r="D17" s="566">
        <v>31534340</v>
      </c>
      <c r="E17" s="566"/>
      <c r="F17" s="566"/>
      <c r="G17" s="566"/>
      <c r="H17" s="566"/>
      <c r="I17" s="566"/>
      <c r="J17" s="566"/>
      <c r="K17" s="566"/>
      <c r="L17" s="566"/>
      <c r="M17" s="566"/>
      <c r="N17" s="566"/>
      <c r="O17" s="566"/>
      <c r="P17" s="566"/>
      <c r="Q17" s="566"/>
      <c r="R17" s="566"/>
      <c r="S17" s="566"/>
      <c r="T17" s="566"/>
      <c r="U17" s="566"/>
    </row>
    <row r="18" spans="1:21">
      <c r="A18" s="412">
        <v>2.2999999999999998</v>
      </c>
      <c r="B18" s="435" t="s">
        <v>636</v>
      </c>
      <c r="C18" s="571"/>
      <c r="D18" s="566"/>
      <c r="E18" s="566"/>
      <c r="F18" s="566"/>
      <c r="G18" s="566"/>
      <c r="H18" s="566"/>
      <c r="I18" s="566"/>
      <c r="J18" s="566"/>
      <c r="K18" s="566"/>
      <c r="L18" s="566"/>
      <c r="M18" s="566"/>
      <c r="N18" s="566"/>
      <c r="O18" s="566"/>
      <c r="P18" s="566"/>
      <c r="Q18" s="566"/>
      <c r="R18" s="566"/>
      <c r="S18" s="566"/>
      <c r="T18" s="566"/>
      <c r="U18" s="566"/>
    </row>
    <row r="19" spans="1:21">
      <c r="A19" s="412">
        <v>2.4</v>
      </c>
      <c r="B19" s="435" t="s">
        <v>637</v>
      </c>
      <c r="C19" s="571"/>
      <c r="D19" s="566"/>
      <c r="E19" s="566"/>
      <c r="F19" s="566"/>
      <c r="G19" s="566"/>
      <c r="H19" s="566"/>
      <c r="I19" s="566"/>
      <c r="J19" s="566"/>
      <c r="K19" s="566"/>
      <c r="L19" s="566"/>
      <c r="M19" s="566"/>
      <c r="N19" s="566"/>
      <c r="O19" s="566"/>
      <c r="P19" s="566"/>
      <c r="Q19" s="566"/>
      <c r="R19" s="566"/>
      <c r="S19" s="566"/>
      <c r="T19" s="566"/>
      <c r="U19" s="566"/>
    </row>
    <row r="20" spans="1:21">
      <c r="A20" s="412">
        <v>2.5</v>
      </c>
      <c r="B20" s="435" t="s">
        <v>638</v>
      </c>
      <c r="C20" s="571">
        <v>18488000</v>
      </c>
      <c r="D20" s="566">
        <v>18488000</v>
      </c>
      <c r="E20" s="566">
        <v>0</v>
      </c>
      <c r="F20" s="566">
        <v>0</v>
      </c>
      <c r="G20" s="566">
        <v>0</v>
      </c>
      <c r="H20" s="566">
        <v>0</v>
      </c>
      <c r="I20" s="566">
        <v>0</v>
      </c>
      <c r="J20" s="566">
        <v>0</v>
      </c>
      <c r="K20" s="566">
        <v>0</v>
      </c>
      <c r="L20" s="566">
        <v>0</v>
      </c>
      <c r="M20" s="566">
        <v>0</v>
      </c>
      <c r="N20" s="566">
        <v>0</v>
      </c>
      <c r="O20" s="566">
        <v>0</v>
      </c>
      <c r="P20" s="566">
        <v>0</v>
      </c>
      <c r="Q20" s="566">
        <v>0</v>
      </c>
      <c r="R20" s="566">
        <v>0</v>
      </c>
      <c r="S20" s="566">
        <v>0</v>
      </c>
      <c r="T20" s="566">
        <v>0</v>
      </c>
      <c r="U20" s="566">
        <v>0</v>
      </c>
    </row>
    <row r="21" spans="1:21">
      <c r="A21" s="412">
        <v>2.6</v>
      </c>
      <c r="B21" s="435" t="s">
        <v>639</v>
      </c>
      <c r="C21" s="571"/>
      <c r="D21" s="566"/>
      <c r="E21" s="566"/>
      <c r="F21" s="566"/>
      <c r="G21" s="566"/>
      <c r="H21" s="566"/>
      <c r="I21" s="566"/>
      <c r="J21" s="566"/>
      <c r="K21" s="566"/>
      <c r="L21" s="566"/>
      <c r="M21" s="566"/>
      <c r="N21" s="566"/>
      <c r="O21" s="566"/>
      <c r="P21" s="566"/>
      <c r="Q21" s="566"/>
      <c r="R21" s="566"/>
      <c r="S21" s="566"/>
      <c r="T21" s="566"/>
      <c r="U21" s="566"/>
    </row>
    <row r="22" spans="1:21">
      <c r="A22" s="453">
        <v>3</v>
      </c>
      <c r="B22" s="417" t="s">
        <v>695</v>
      </c>
      <c r="C22" s="567">
        <f>SUM(C23:C28)</f>
        <v>66235938.819900014</v>
      </c>
      <c r="D22" s="567">
        <f t="shared" ref="D22:U22" si="2">SUM(D23:D28)</f>
        <v>26233867.629999995</v>
      </c>
      <c r="E22" s="639">
        <f t="shared" si="2"/>
        <v>0</v>
      </c>
      <c r="F22" s="639"/>
      <c r="G22" s="567">
        <f t="shared" si="2"/>
        <v>325000</v>
      </c>
      <c r="H22" s="572"/>
      <c r="I22" s="572"/>
      <c r="J22" s="572"/>
      <c r="K22" s="572"/>
      <c r="L22" s="567">
        <f t="shared" si="2"/>
        <v>4354976.6000000006</v>
      </c>
      <c r="M22" s="572"/>
      <c r="N22" s="572"/>
      <c r="O22" s="572"/>
      <c r="P22" s="572"/>
      <c r="Q22" s="572"/>
      <c r="R22" s="572"/>
      <c r="S22" s="572"/>
      <c r="T22" s="572"/>
      <c r="U22" s="566">
        <f t="shared" si="2"/>
        <v>0</v>
      </c>
    </row>
    <row r="23" spans="1:21">
      <c r="A23" s="412">
        <v>3.1</v>
      </c>
      <c r="B23" s="435" t="s">
        <v>634</v>
      </c>
      <c r="C23" s="571"/>
      <c r="D23" s="566"/>
      <c r="E23" s="572"/>
      <c r="F23" s="572"/>
      <c r="G23" s="566"/>
      <c r="H23" s="572"/>
      <c r="I23" s="572"/>
      <c r="J23" s="572"/>
      <c r="K23" s="572"/>
      <c r="L23" s="566"/>
      <c r="M23" s="572"/>
      <c r="N23" s="572"/>
      <c r="O23" s="572"/>
      <c r="P23" s="572"/>
      <c r="Q23" s="572"/>
      <c r="R23" s="572"/>
      <c r="S23" s="572"/>
      <c r="T23" s="572"/>
      <c r="U23" s="566"/>
    </row>
    <row r="24" spans="1:21">
      <c r="A24" s="412">
        <v>3.2</v>
      </c>
      <c r="B24" s="435" t="s">
        <v>635</v>
      </c>
      <c r="C24" s="571"/>
      <c r="D24" s="566"/>
      <c r="E24" s="572"/>
      <c r="F24" s="572"/>
      <c r="G24" s="566"/>
      <c r="H24" s="572"/>
      <c r="I24" s="572"/>
      <c r="J24" s="572"/>
      <c r="K24" s="572"/>
      <c r="L24" s="566"/>
      <c r="M24" s="572"/>
      <c r="N24" s="572"/>
      <c r="O24" s="572"/>
      <c r="P24" s="572"/>
      <c r="Q24" s="572"/>
      <c r="R24" s="572"/>
      <c r="S24" s="572"/>
      <c r="T24" s="572"/>
      <c r="U24" s="566"/>
    </row>
    <row r="25" spans="1:21">
      <c r="A25" s="412">
        <v>3.3</v>
      </c>
      <c r="B25" s="435" t="s">
        <v>636</v>
      </c>
      <c r="C25" s="571"/>
      <c r="D25" s="566"/>
      <c r="E25" s="572"/>
      <c r="F25" s="572"/>
      <c r="G25" s="566"/>
      <c r="H25" s="572"/>
      <c r="I25" s="572"/>
      <c r="J25" s="572"/>
      <c r="K25" s="572"/>
      <c r="L25" s="566"/>
      <c r="M25" s="572"/>
      <c r="N25" s="572"/>
      <c r="O25" s="572"/>
      <c r="P25" s="572"/>
      <c r="Q25" s="572"/>
      <c r="R25" s="572"/>
      <c r="S25" s="572"/>
      <c r="T25" s="572"/>
      <c r="U25" s="566"/>
    </row>
    <row r="26" spans="1:21">
      <c r="A26" s="412">
        <v>3.4</v>
      </c>
      <c r="B26" s="435" t="s">
        <v>637</v>
      </c>
      <c r="C26" s="571">
        <v>5553715.5800000001</v>
      </c>
      <c r="D26" s="566">
        <v>535715.57999999996</v>
      </c>
      <c r="E26" s="572"/>
      <c r="F26" s="572"/>
      <c r="G26" s="566">
        <v>0</v>
      </c>
      <c r="H26" s="572"/>
      <c r="I26" s="572"/>
      <c r="J26" s="572"/>
      <c r="K26" s="572"/>
      <c r="L26" s="566">
        <v>0</v>
      </c>
      <c r="M26" s="572"/>
      <c r="N26" s="572"/>
      <c r="O26" s="572"/>
      <c r="P26" s="572"/>
      <c r="Q26" s="572"/>
      <c r="R26" s="572"/>
      <c r="S26" s="572"/>
      <c r="T26" s="572"/>
      <c r="U26" s="566">
        <v>0</v>
      </c>
    </row>
    <row r="27" spans="1:21">
      <c r="A27" s="412">
        <v>3.5</v>
      </c>
      <c r="B27" s="435" t="s">
        <v>638</v>
      </c>
      <c r="C27" s="571">
        <v>57977503.860000014</v>
      </c>
      <c r="D27" s="566">
        <v>25697152.049999997</v>
      </c>
      <c r="E27" s="572"/>
      <c r="F27" s="572"/>
      <c r="G27" s="566">
        <v>325000</v>
      </c>
      <c r="H27" s="572"/>
      <c r="I27" s="572"/>
      <c r="J27" s="572"/>
      <c r="K27" s="572"/>
      <c r="L27" s="566">
        <v>4354976.6000000006</v>
      </c>
      <c r="M27" s="572"/>
      <c r="N27" s="572"/>
      <c r="O27" s="572"/>
      <c r="P27" s="572"/>
      <c r="Q27" s="572"/>
      <c r="R27" s="572"/>
      <c r="S27" s="572"/>
      <c r="T27" s="572"/>
      <c r="U27" s="566">
        <v>0</v>
      </c>
    </row>
    <row r="28" spans="1:21">
      <c r="A28" s="412">
        <v>3.6</v>
      </c>
      <c r="B28" s="435" t="s">
        <v>639</v>
      </c>
      <c r="C28" s="571">
        <v>2704719.3799000033</v>
      </c>
      <c r="D28" s="566">
        <v>1000</v>
      </c>
      <c r="E28" s="572"/>
      <c r="F28" s="572"/>
      <c r="G28" s="566">
        <v>0</v>
      </c>
      <c r="H28" s="572"/>
      <c r="I28" s="572"/>
      <c r="J28" s="572"/>
      <c r="K28" s="572"/>
      <c r="L28" s="566">
        <v>0</v>
      </c>
      <c r="M28" s="572"/>
      <c r="N28" s="572"/>
      <c r="O28" s="572"/>
      <c r="P28" s="572"/>
      <c r="Q28" s="572"/>
      <c r="R28" s="572"/>
      <c r="S28" s="572"/>
      <c r="T28" s="572"/>
      <c r="U28" s="566">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B2" sqref="B2"/>
    </sheetView>
  </sheetViews>
  <sheetFormatPr defaultColWidth="9.28515625" defaultRowHeight="12.75"/>
  <cols>
    <col min="1" max="1" width="11.7109375" style="415" bestFit="1" customWidth="1"/>
    <col min="2" max="2" width="90.28515625" style="415" bestFit="1" customWidth="1"/>
    <col min="3" max="3" width="19.7109375" style="415" customWidth="1"/>
    <col min="4" max="4" width="21.140625" style="415" customWidth="1"/>
    <col min="5" max="5" width="17.140625" style="415" customWidth="1"/>
    <col min="6" max="6" width="22.28515625" style="415" customWidth="1"/>
    <col min="7" max="7" width="19.28515625" style="415" customWidth="1"/>
    <col min="8" max="8" width="17.140625" style="415" customWidth="1"/>
    <col min="9" max="14" width="22.28515625" style="415" customWidth="1"/>
    <col min="15" max="15" width="23" style="415" customWidth="1"/>
    <col min="16" max="16" width="21.7109375" style="415" bestFit="1" customWidth="1"/>
    <col min="17" max="19" width="19" style="415" bestFit="1" customWidth="1"/>
    <col min="20" max="20" width="14.7109375" style="415" customWidth="1"/>
    <col min="21" max="21" width="20" style="415" customWidth="1"/>
    <col min="22" max="16384" width="9.28515625" style="415"/>
  </cols>
  <sheetData>
    <row r="1" spans="1:21">
      <c r="A1" s="407" t="s">
        <v>30</v>
      </c>
      <c r="B1" s="415" t="str">
        <f>'1. key ratios '!B1</f>
        <v>JSC CARTU BANK</v>
      </c>
    </row>
    <row r="2" spans="1:21" ht="13.5">
      <c r="A2" s="407" t="s">
        <v>31</v>
      </c>
      <c r="B2" s="371">
        <f>'1. key ratios '!B2</f>
        <v>44561</v>
      </c>
      <c r="C2" s="371"/>
    </row>
    <row r="3" spans="1:21">
      <c r="A3" s="408" t="s">
        <v>642</v>
      </c>
    </row>
    <row r="5" spans="1:21" ht="13.5" customHeight="1">
      <c r="A5" s="721" t="s">
        <v>643</v>
      </c>
      <c r="B5" s="722"/>
      <c r="C5" s="730" t="s">
        <v>644</v>
      </c>
      <c r="D5" s="731"/>
      <c r="E5" s="731"/>
      <c r="F5" s="731"/>
      <c r="G5" s="731"/>
      <c r="H5" s="731"/>
      <c r="I5" s="731"/>
      <c r="J5" s="731"/>
      <c r="K5" s="731"/>
      <c r="L5" s="731"/>
      <c r="M5" s="731"/>
      <c r="N5" s="731"/>
      <c r="O5" s="731"/>
      <c r="P5" s="731"/>
      <c r="Q5" s="731"/>
      <c r="R5" s="731"/>
      <c r="S5" s="731"/>
      <c r="T5" s="732"/>
      <c r="U5" s="450"/>
    </row>
    <row r="6" spans="1:21">
      <c r="A6" s="723"/>
      <c r="B6" s="724"/>
      <c r="C6" s="714" t="s">
        <v>109</v>
      </c>
      <c r="D6" s="727" t="s">
        <v>645</v>
      </c>
      <c r="E6" s="727"/>
      <c r="F6" s="728"/>
      <c r="G6" s="729" t="s">
        <v>646</v>
      </c>
      <c r="H6" s="727"/>
      <c r="I6" s="727"/>
      <c r="J6" s="727"/>
      <c r="K6" s="728"/>
      <c r="L6" s="717" t="s">
        <v>647</v>
      </c>
      <c r="M6" s="718"/>
      <c r="N6" s="718"/>
      <c r="O6" s="718"/>
      <c r="P6" s="718"/>
      <c r="Q6" s="718"/>
      <c r="R6" s="718"/>
      <c r="S6" s="718"/>
      <c r="T6" s="719"/>
      <c r="U6" s="439"/>
    </row>
    <row r="7" spans="1:21">
      <c r="A7" s="725"/>
      <c r="B7" s="726"/>
      <c r="C7" s="715"/>
      <c r="E7" s="433" t="s">
        <v>620</v>
      </c>
      <c r="F7" s="444" t="s">
        <v>621</v>
      </c>
      <c r="H7" s="433" t="s">
        <v>620</v>
      </c>
      <c r="I7" s="444" t="s">
        <v>622</v>
      </c>
      <c r="J7" s="444" t="s">
        <v>623</v>
      </c>
      <c r="K7" s="444" t="s">
        <v>624</v>
      </c>
      <c r="L7" s="454"/>
      <c r="M7" s="433" t="s">
        <v>625</v>
      </c>
      <c r="N7" s="444" t="s">
        <v>623</v>
      </c>
      <c r="O7" s="444" t="s">
        <v>626</v>
      </c>
      <c r="P7" s="444" t="s">
        <v>627</v>
      </c>
      <c r="Q7" s="444" t="s">
        <v>628</v>
      </c>
      <c r="R7" s="444" t="s">
        <v>629</v>
      </c>
      <c r="S7" s="444" t="s">
        <v>630</v>
      </c>
      <c r="T7" s="452" t="s">
        <v>631</v>
      </c>
      <c r="U7" s="450"/>
    </row>
    <row r="8" spans="1:21">
      <c r="A8" s="454">
        <v>1</v>
      </c>
      <c r="B8" s="449" t="s">
        <v>633</v>
      </c>
      <c r="C8" s="573">
        <v>965168853.17350078</v>
      </c>
      <c r="D8" s="566">
        <v>578096348.35109901</v>
      </c>
      <c r="E8" s="566">
        <v>0</v>
      </c>
      <c r="F8" s="566">
        <v>83551.83399999993</v>
      </c>
      <c r="G8" s="566">
        <v>60722412.680000022</v>
      </c>
      <c r="H8" s="566">
        <v>3335899.55</v>
      </c>
      <c r="I8" s="566">
        <v>6186942.6600000001</v>
      </c>
      <c r="J8" s="566">
        <v>461749.14</v>
      </c>
      <c r="K8" s="566">
        <v>60.44</v>
      </c>
      <c r="L8" s="566">
        <v>326350092.14239985</v>
      </c>
      <c r="M8" s="566">
        <v>1900899.82</v>
      </c>
      <c r="N8" s="566">
        <v>201344</v>
      </c>
      <c r="O8" s="566">
        <v>15239649.379999997</v>
      </c>
      <c r="P8" s="566">
        <v>2631809.0399999996</v>
      </c>
      <c r="Q8" s="566">
        <v>42926002.950000003</v>
      </c>
      <c r="R8" s="566">
        <v>85659623.102399975</v>
      </c>
      <c r="S8" s="566">
        <v>20391906.990000002</v>
      </c>
      <c r="T8" s="566">
        <v>19246365.339999996</v>
      </c>
    </row>
    <row r="9" spans="1:21">
      <c r="A9" s="435">
        <v>1.1000000000000001</v>
      </c>
      <c r="B9" s="435" t="s">
        <v>648</v>
      </c>
      <c r="C9" s="571">
        <v>934416640.75960004</v>
      </c>
      <c r="D9" s="566">
        <v>547397113.76959896</v>
      </c>
      <c r="E9" s="566">
        <v>0</v>
      </c>
      <c r="F9" s="566">
        <v>0</v>
      </c>
      <c r="G9" s="566">
        <v>60699164.780000031</v>
      </c>
      <c r="H9" s="566">
        <v>3335899.55</v>
      </c>
      <c r="I9" s="566">
        <v>6186942.6600000001</v>
      </c>
      <c r="J9" s="566">
        <v>461749.14</v>
      </c>
      <c r="K9" s="566">
        <v>0</v>
      </c>
      <c r="L9" s="566">
        <v>326320362.2099998</v>
      </c>
      <c r="M9" s="566">
        <v>1900899.82</v>
      </c>
      <c r="N9" s="566">
        <v>201344</v>
      </c>
      <c r="O9" s="566">
        <v>15235549.379999997</v>
      </c>
      <c r="P9" s="566">
        <v>2630389.0999999996</v>
      </c>
      <c r="Q9" s="566">
        <v>42918347.969999999</v>
      </c>
      <c r="R9" s="566">
        <v>85658879.389999971</v>
      </c>
      <c r="S9" s="566">
        <v>20391906.990000002</v>
      </c>
      <c r="T9" s="566">
        <v>19246365.339999996</v>
      </c>
    </row>
    <row r="10" spans="1:21">
      <c r="A10" s="455" t="s">
        <v>14</v>
      </c>
      <c r="B10" s="455" t="s">
        <v>649</v>
      </c>
      <c r="C10" s="574">
        <v>884359149.11960018</v>
      </c>
      <c r="D10" s="566">
        <v>506772235.61959976</v>
      </c>
      <c r="E10" s="566">
        <v>0</v>
      </c>
      <c r="F10" s="566">
        <v>0</v>
      </c>
      <c r="G10" s="566">
        <v>60691814.690000027</v>
      </c>
      <c r="H10" s="566">
        <v>3335899.55</v>
      </c>
      <c r="I10" s="566">
        <v>6186942.6600000001</v>
      </c>
      <c r="J10" s="566">
        <v>461749.14</v>
      </c>
      <c r="K10" s="566">
        <v>0</v>
      </c>
      <c r="L10" s="566">
        <v>316895098.80999976</v>
      </c>
      <c r="M10" s="566">
        <v>1900899.82</v>
      </c>
      <c r="N10" s="566">
        <v>201344</v>
      </c>
      <c r="O10" s="566">
        <v>15007261.779999997</v>
      </c>
      <c r="P10" s="566">
        <v>2630389.0999999996</v>
      </c>
      <c r="Q10" s="566">
        <v>42918347.969999999</v>
      </c>
      <c r="R10" s="566">
        <v>83361930.159999967</v>
      </c>
      <c r="S10" s="566">
        <v>20343286.460000001</v>
      </c>
      <c r="T10" s="566">
        <v>19173292.179999996</v>
      </c>
    </row>
    <row r="11" spans="1:21">
      <c r="A11" s="425" t="s">
        <v>650</v>
      </c>
      <c r="B11" s="425" t="s">
        <v>651</v>
      </c>
      <c r="C11" s="575">
        <v>421136449.36999917</v>
      </c>
      <c r="D11" s="566">
        <v>251560571.4300001</v>
      </c>
      <c r="E11" s="566">
        <v>0</v>
      </c>
      <c r="F11" s="566">
        <v>0</v>
      </c>
      <c r="G11" s="566">
        <v>57441924.630000032</v>
      </c>
      <c r="H11" s="566">
        <v>3335899.55</v>
      </c>
      <c r="I11" s="566">
        <v>6186942.6600000001</v>
      </c>
      <c r="J11" s="566">
        <v>461749.14</v>
      </c>
      <c r="K11" s="566">
        <v>0</v>
      </c>
      <c r="L11" s="566">
        <v>112133953.30999997</v>
      </c>
      <c r="M11" s="566">
        <v>1900899.82</v>
      </c>
      <c r="N11" s="566">
        <v>201344</v>
      </c>
      <c r="O11" s="566">
        <v>3719197.1399999997</v>
      </c>
      <c r="P11" s="566">
        <v>1283288.05</v>
      </c>
      <c r="Q11" s="566">
        <v>12247774.98</v>
      </c>
      <c r="R11" s="566">
        <v>37668699.899999999</v>
      </c>
      <c r="S11" s="566">
        <v>7909827.459999999</v>
      </c>
      <c r="T11" s="566">
        <v>19173292.179999996</v>
      </c>
    </row>
    <row r="12" spans="1:21">
      <c r="A12" s="425" t="s">
        <v>652</v>
      </c>
      <c r="B12" s="425" t="s">
        <v>653</v>
      </c>
      <c r="C12" s="575">
        <v>123711796.19999997</v>
      </c>
      <c r="D12" s="566">
        <v>111073393.44999999</v>
      </c>
      <c r="E12" s="566">
        <v>0</v>
      </c>
      <c r="F12" s="566">
        <v>0</v>
      </c>
      <c r="G12" s="566">
        <v>2361087.2000000002</v>
      </c>
      <c r="H12" s="566">
        <v>0</v>
      </c>
      <c r="I12" s="566">
        <v>0</v>
      </c>
      <c r="J12" s="566">
        <v>0</v>
      </c>
      <c r="K12" s="566">
        <v>0</v>
      </c>
      <c r="L12" s="566">
        <v>10277315.550000001</v>
      </c>
      <c r="M12" s="566">
        <v>0</v>
      </c>
      <c r="N12" s="566">
        <v>0</v>
      </c>
      <c r="O12" s="566">
        <v>2466877.6</v>
      </c>
      <c r="P12" s="566">
        <v>0</v>
      </c>
      <c r="Q12" s="566">
        <v>1174497.17</v>
      </c>
      <c r="R12" s="566">
        <v>6543266.8100000005</v>
      </c>
      <c r="S12" s="566">
        <v>0</v>
      </c>
      <c r="T12" s="566">
        <v>0</v>
      </c>
    </row>
    <row r="13" spans="1:21">
      <c r="A13" s="425" t="s">
        <v>654</v>
      </c>
      <c r="B13" s="425" t="s">
        <v>655</v>
      </c>
      <c r="C13" s="575">
        <v>110141522.63999999</v>
      </c>
      <c r="D13" s="566">
        <v>50453333.870000005</v>
      </c>
      <c r="E13" s="566">
        <v>0</v>
      </c>
      <c r="F13" s="566">
        <v>0</v>
      </c>
      <c r="G13" s="566">
        <v>860828.80999999994</v>
      </c>
      <c r="H13" s="566">
        <v>0</v>
      </c>
      <c r="I13" s="566">
        <v>0</v>
      </c>
      <c r="J13" s="566">
        <v>0</v>
      </c>
      <c r="K13" s="566">
        <v>0</v>
      </c>
      <c r="L13" s="566">
        <v>58827359.960000008</v>
      </c>
      <c r="M13" s="566">
        <v>0</v>
      </c>
      <c r="N13" s="566">
        <v>0</v>
      </c>
      <c r="O13" s="566">
        <v>0</v>
      </c>
      <c r="P13" s="566">
        <v>0</v>
      </c>
      <c r="Q13" s="566">
        <v>4350171.95</v>
      </c>
      <c r="R13" s="566">
        <v>16396566.089999998</v>
      </c>
      <c r="S13" s="566">
        <v>0</v>
      </c>
      <c r="T13" s="566">
        <v>0</v>
      </c>
    </row>
    <row r="14" spans="1:21">
      <c r="A14" s="425" t="s">
        <v>656</v>
      </c>
      <c r="B14" s="425" t="s">
        <v>657</v>
      </c>
      <c r="C14" s="575">
        <v>229369380.90959999</v>
      </c>
      <c r="D14" s="566">
        <v>93684936.869599998</v>
      </c>
      <c r="E14" s="566">
        <v>0</v>
      </c>
      <c r="F14" s="566">
        <v>0</v>
      </c>
      <c r="G14" s="566">
        <v>27974.05</v>
      </c>
      <c r="H14" s="566">
        <v>0</v>
      </c>
      <c r="I14" s="566">
        <v>0</v>
      </c>
      <c r="J14" s="566">
        <v>0</v>
      </c>
      <c r="K14" s="566">
        <v>0</v>
      </c>
      <c r="L14" s="566">
        <v>135656469.98999998</v>
      </c>
      <c r="M14" s="566">
        <v>0</v>
      </c>
      <c r="N14" s="566">
        <v>0</v>
      </c>
      <c r="O14" s="566">
        <v>8821187.0399999991</v>
      </c>
      <c r="P14" s="566">
        <v>1347101.05</v>
      </c>
      <c r="Q14" s="566">
        <v>25145903.870000001</v>
      </c>
      <c r="R14" s="566">
        <v>22753397.359999999</v>
      </c>
      <c r="S14" s="566">
        <v>12433459</v>
      </c>
      <c r="T14" s="566">
        <v>0</v>
      </c>
    </row>
    <row r="15" spans="1:21">
      <c r="A15" s="426">
        <v>1.2</v>
      </c>
      <c r="B15" s="426" t="s">
        <v>658</v>
      </c>
      <c r="C15" s="571">
        <v>158542375.66648734</v>
      </c>
      <c r="D15" s="566">
        <v>10931500.223781986</v>
      </c>
      <c r="E15" s="566">
        <v>0</v>
      </c>
      <c r="F15" s="566">
        <v>0</v>
      </c>
      <c r="G15" s="566">
        <v>6069916.4757540012</v>
      </c>
      <c r="H15" s="566">
        <v>333589.954509</v>
      </c>
      <c r="I15" s="566">
        <v>618694.26657299977</v>
      </c>
      <c r="J15" s="566">
        <v>46174.913882000001</v>
      </c>
      <c r="K15" s="566">
        <v>0</v>
      </c>
      <c r="L15" s="566">
        <v>141540958.96695116</v>
      </c>
      <c r="M15" s="566">
        <v>570269.94823099999</v>
      </c>
      <c r="N15" s="566">
        <v>60403.199999999997</v>
      </c>
      <c r="O15" s="566">
        <v>9095931.6134090014</v>
      </c>
      <c r="P15" s="566">
        <v>831189.29266500007</v>
      </c>
      <c r="Q15" s="566">
        <v>17272298.495801002</v>
      </c>
      <c r="R15" s="566">
        <v>39326502.126848996</v>
      </c>
      <c r="S15" s="566">
        <v>10750292.670221997</v>
      </c>
      <c r="T15" s="566">
        <v>9479434.7108159978</v>
      </c>
    </row>
    <row r="16" spans="1:21">
      <c r="A16" s="435">
        <v>1.3</v>
      </c>
      <c r="B16" s="426" t="s">
        <v>706</v>
      </c>
      <c r="C16" s="576"/>
      <c r="D16" s="576"/>
      <c r="E16" s="576"/>
      <c r="F16" s="576"/>
      <c r="G16" s="576"/>
      <c r="H16" s="576"/>
      <c r="I16" s="576"/>
      <c r="J16" s="576"/>
      <c r="K16" s="576"/>
      <c r="L16" s="576"/>
      <c r="M16" s="576"/>
      <c r="N16" s="576"/>
      <c r="O16" s="576"/>
      <c r="P16" s="576"/>
      <c r="Q16" s="576"/>
      <c r="R16" s="576"/>
      <c r="S16" s="576"/>
      <c r="T16" s="576"/>
    </row>
    <row r="17" spans="1:20">
      <c r="A17" s="429" t="s">
        <v>659</v>
      </c>
      <c r="B17" s="427" t="s">
        <v>660</v>
      </c>
      <c r="C17" s="577">
        <v>825822026.02137065</v>
      </c>
      <c r="D17" s="566">
        <v>478361778.34772235</v>
      </c>
      <c r="E17" s="566">
        <v>0</v>
      </c>
      <c r="F17" s="566">
        <v>0</v>
      </c>
      <c r="G17" s="566">
        <v>60699164.780000031</v>
      </c>
      <c r="H17" s="566">
        <v>3335899.55</v>
      </c>
      <c r="I17" s="566">
        <v>6186942.6600000001</v>
      </c>
      <c r="J17" s="566">
        <v>461749.14</v>
      </c>
      <c r="K17" s="566">
        <v>0</v>
      </c>
      <c r="L17" s="566">
        <v>286761082.89364743</v>
      </c>
      <c r="M17" s="566">
        <v>1900899.82</v>
      </c>
      <c r="N17" s="566">
        <v>201344</v>
      </c>
      <c r="O17" s="566">
        <v>12327596.474481324</v>
      </c>
      <c r="P17" s="566">
        <v>2610155.08</v>
      </c>
      <c r="Q17" s="566">
        <v>34991427.93356622</v>
      </c>
      <c r="R17" s="566">
        <v>77006923.352468833</v>
      </c>
      <c r="S17" s="566">
        <v>13137530.217586167</v>
      </c>
      <c r="T17" s="566">
        <v>19246365.339999996</v>
      </c>
    </row>
    <row r="18" spans="1:20">
      <c r="A18" s="428" t="s">
        <v>661</v>
      </c>
      <c r="B18" s="428" t="s">
        <v>662</v>
      </c>
      <c r="C18" s="578">
        <v>731257609.69210184</v>
      </c>
      <c r="D18" s="566">
        <v>408321967.06707186</v>
      </c>
      <c r="E18" s="566">
        <v>0</v>
      </c>
      <c r="F18" s="566">
        <v>0</v>
      </c>
      <c r="G18" s="566">
        <v>60691814.690000027</v>
      </c>
      <c r="H18" s="566">
        <v>3335899.55</v>
      </c>
      <c r="I18" s="566">
        <v>6186942.6600000001</v>
      </c>
      <c r="J18" s="566">
        <v>461749.14</v>
      </c>
      <c r="K18" s="566">
        <v>0</v>
      </c>
      <c r="L18" s="566">
        <v>262243827.93502948</v>
      </c>
      <c r="M18" s="566">
        <v>1900899.82</v>
      </c>
      <c r="N18" s="566">
        <v>201344</v>
      </c>
      <c r="O18" s="566">
        <v>8300302.8354289904</v>
      </c>
      <c r="P18" s="566">
        <v>2610155.08</v>
      </c>
      <c r="Q18" s="566">
        <v>32277848.160622369</v>
      </c>
      <c r="R18" s="566">
        <v>65967286.710543193</v>
      </c>
      <c r="S18" s="566">
        <v>12793587.653687861</v>
      </c>
      <c r="T18" s="566">
        <v>19173292.179999996</v>
      </c>
    </row>
    <row r="19" spans="1:20">
      <c r="A19" s="429" t="s">
        <v>663</v>
      </c>
      <c r="B19" s="429" t="s">
        <v>664</v>
      </c>
      <c r="C19" s="579">
        <v>1002807326.995322</v>
      </c>
      <c r="D19" s="566">
        <v>729183536.48653746</v>
      </c>
      <c r="E19" s="566">
        <v>0</v>
      </c>
      <c r="F19" s="566">
        <v>0</v>
      </c>
      <c r="G19" s="566">
        <v>83595743.42802453</v>
      </c>
      <c r="H19" s="566">
        <v>3727684.5236237873</v>
      </c>
      <c r="I19" s="566">
        <v>4605854.4693470728</v>
      </c>
      <c r="J19" s="566">
        <v>696615.54282532958</v>
      </c>
      <c r="K19" s="566">
        <v>0</v>
      </c>
      <c r="L19" s="566">
        <v>190028047.08075982</v>
      </c>
      <c r="M19" s="566">
        <v>1976369.3906028103</v>
      </c>
      <c r="N19" s="566">
        <v>105193.40483937564</v>
      </c>
      <c r="O19" s="566">
        <v>4467643.5504854387</v>
      </c>
      <c r="P19" s="566">
        <v>3903331.5253040995</v>
      </c>
      <c r="Q19" s="566">
        <v>17756071.836969189</v>
      </c>
      <c r="R19" s="566">
        <v>47533892.342775218</v>
      </c>
      <c r="S19" s="566">
        <v>11025330.563986678</v>
      </c>
      <c r="T19" s="566">
        <v>17503298.551525429</v>
      </c>
    </row>
    <row r="20" spans="1:20">
      <c r="A20" s="428" t="s">
        <v>665</v>
      </c>
      <c r="B20" s="428" t="s">
        <v>662</v>
      </c>
      <c r="C20" s="578">
        <v>646587682.93590009</v>
      </c>
      <c r="D20" s="566">
        <v>420857686.00767779</v>
      </c>
      <c r="E20" s="566">
        <v>0</v>
      </c>
      <c r="F20" s="566">
        <v>0</v>
      </c>
      <c r="G20" s="566">
        <v>57240165.689008176</v>
      </c>
      <c r="H20" s="566">
        <v>1756706.3418408451</v>
      </c>
      <c r="I20" s="566">
        <v>1961382.5468090719</v>
      </c>
      <c r="J20" s="566">
        <v>566334.18009646051</v>
      </c>
      <c r="K20" s="566">
        <v>0</v>
      </c>
      <c r="L20" s="566">
        <v>168489831.23921543</v>
      </c>
      <c r="M20" s="566">
        <v>1856732.0901063576</v>
      </c>
      <c r="N20" s="566">
        <v>105193.40483937564</v>
      </c>
      <c r="O20" s="566">
        <v>2805934.8238632479</v>
      </c>
      <c r="P20" s="566">
        <v>3614495.1662430982</v>
      </c>
      <c r="Q20" s="566">
        <v>16981398.279572975</v>
      </c>
      <c r="R20" s="566">
        <v>39821916.474956706</v>
      </c>
      <c r="S20" s="566">
        <v>9158929.028182026</v>
      </c>
      <c r="T20" s="566">
        <v>17194421.881016951</v>
      </c>
    </row>
    <row r="21" spans="1:20">
      <c r="A21" s="430">
        <v>1.4</v>
      </c>
      <c r="B21" s="431" t="s">
        <v>666</v>
      </c>
      <c r="C21" s="580">
        <v>11245526.070392003</v>
      </c>
      <c r="D21" s="566">
        <v>6012217.9949999992</v>
      </c>
      <c r="E21" s="566">
        <v>0</v>
      </c>
      <c r="F21" s="566">
        <v>0</v>
      </c>
      <c r="G21" s="566">
        <v>1643010.8491920002</v>
      </c>
      <c r="H21" s="566">
        <v>0</v>
      </c>
      <c r="I21" s="566">
        <v>0</v>
      </c>
      <c r="J21" s="566">
        <v>200394.57</v>
      </c>
      <c r="K21" s="566">
        <v>0</v>
      </c>
      <c r="L21" s="566">
        <v>3590297.2262000004</v>
      </c>
      <c r="M21" s="566">
        <v>0</v>
      </c>
      <c r="N21" s="566">
        <v>0</v>
      </c>
      <c r="O21" s="566">
        <v>0</v>
      </c>
      <c r="P21" s="566">
        <v>0</v>
      </c>
      <c r="Q21" s="566">
        <v>0</v>
      </c>
      <c r="R21" s="566">
        <v>980969.65119999996</v>
      </c>
      <c r="S21" s="566">
        <v>2477024.96</v>
      </c>
      <c r="T21" s="566">
        <v>0</v>
      </c>
    </row>
    <row r="22" spans="1:20">
      <c r="A22" s="430">
        <v>1.5</v>
      </c>
      <c r="B22" s="431" t="s">
        <v>667</v>
      </c>
      <c r="C22" s="580">
        <v>0</v>
      </c>
      <c r="D22" s="566">
        <v>0</v>
      </c>
      <c r="E22" s="566">
        <v>0</v>
      </c>
      <c r="F22" s="566">
        <v>0</v>
      </c>
      <c r="G22" s="566">
        <v>0</v>
      </c>
      <c r="H22" s="566">
        <v>0</v>
      </c>
      <c r="I22" s="566">
        <v>0</v>
      </c>
      <c r="J22" s="566">
        <v>0</v>
      </c>
      <c r="K22" s="566">
        <v>0</v>
      </c>
      <c r="L22" s="566">
        <v>0</v>
      </c>
      <c r="M22" s="566">
        <v>0</v>
      </c>
      <c r="N22" s="566">
        <v>0</v>
      </c>
      <c r="O22" s="566">
        <v>0</v>
      </c>
      <c r="P22" s="566">
        <v>0</v>
      </c>
      <c r="Q22" s="566">
        <v>0</v>
      </c>
      <c r="R22" s="566">
        <v>0</v>
      </c>
      <c r="S22" s="566">
        <v>0</v>
      </c>
      <c r="T22" s="566">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workbookViewId="0">
      <selection activeCell="B2" sqref="B2"/>
    </sheetView>
  </sheetViews>
  <sheetFormatPr defaultColWidth="9.28515625" defaultRowHeight="12.75"/>
  <cols>
    <col min="1" max="1" width="11.7109375" style="415" bestFit="1" customWidth="1"/>
    <col min="2" max="2" width="93.42578125" style="415" customWidth="1"/>
    <col min="3" max="3" width="14.7109375" style="415" customWidth="1"/>
    <col min="4" max="5" width="11.42578125" style="415" customWidth="1"/>
    <col min="6" max="7" width="11.42578125" style="450" customWidth="1"/>
    <col min="8" max="9" width="11.42578125" style="415" customWidth="1"/>
    <col min="10" max="14" width="11.42578125" style="450" customWidth="1"/>
    <col min="15" max="15" width="18.7109375" style="415" bestFit="1" customWidth="1"/>
    <col min="16" max="16384" width="9.28515625" style="415"/>
  </cols>
  <sheetData>
    <row r="1" spans="1:15">
      <c r="A1" s="407" t="s">
        <v>30</v>
      </c>
      <c r="B1" s="415" t="str">
        <f>'1. key ratios '!B1</f>
        <v>JSC CARTU BANK</v>
      </c>
      <c r="F1" s="415"/>
      <c r="G1" s="415"/>
      <c r="J1" s="415"/>
      <c r="K1" s="415"/>
      <c r="L1" s="415"/>
      <c r="M1" s="415"/>
      <c r="N1" s="415"/>
    </row>
    <row r="2" spans="1:15" ht="13.5">
      <c r="A2" s="407" t="s">
        <v>31</v>
      </c>
      <c r="B2" s="371">
        <f>'1. key ratios '!B2</f>
        <v>44561</v>
      </c>
      <c r="F2" s="415"/>
      <c r="G2" s="415"/>
      <c r="J2" s="415"/>
      <c r="K2" s="415"/>
      <c r="L2" s="415"/>
      <c r="M2" s="415"/>
      <c r="N2" s="415"/>
    </row>
    <row r="3" spans="1:15">
      <c r="A3" s="408" t="s">
        <v>668</v>
      </c>
      <c r="F3" s="415"/>
      <c r="G3" s="415"/>
      <c r="J3" s="415"/>
      <c r="K3" s="415"/>
      <c r="L3" s="415"/>
      <c r="M3" s="415"/>
      <c r="N3" s="415"/>
    </row>
    <row r="4" spans="1:15">
      <c r="F4" s="415"/>
      <c r="G4" s="415"/>
      <c r="J4" s="415"/>
      <c r="K4" s="415"/>
      <c r="L4" s="415"/>
      <c r="M4" s="415"/>
      <c r="N4" s="415"/>
    </row>
    <row r="5" spans="1:15" ht="46.5" customHeight="1">
      <c r="A5" s="688" t="s">
        <v>694</v>
      </c>
      <c r="B5" s="689"/>
      <c r="C5" s="733" t="s">
        <v>669</v>
      </c>
      <c r="D5" s="734"/>
      <c r="E5" s="734"/>
      <c r="F5" s="734"/>
      <c r="G5" s="734"/>
      <c r="H5" s="735"/>
      <c r="I5" s="733" t="s">
        <v>670</v>
      </c>
      <c r="J5" s="736"/>
      <c r="K5" s="736"/>
      <c r="L5" s="736"/>
      <c r="M5" s="736"/>
      <c r="N5" s="737"/>
      <c r="O5" s="738" t="s">
        <v>671</v>
      </c>
    </row>
    <row r="6" spans="1:15" ht="75" customHeight="1">
      <c r="A6" s="692"/>
      <c r="B6" s="693"/>
      <c r="C6" s="432"/>
      <c r="D6" s="433" t="s">
        <v>672</v>
      </c>
      <c r="E6" s="433" t="s">
        <v>673</v>
      </c>
      <c r="F6" s="433" t="s">
        <v>674</v>
      </c>
      <c r="G6" s="433" t="s">
        <v>675</v>
      </c>
      <c r="H6" s="433" t="s">
        <v>676</v>
      </c>
      <c r="I6" s="438"/>
      <c r="J6" s="433" t="s">
        <v>672</v>
      </c>
      <c r="K6" s="433" t="s">
        <v>673</v>
      </c>
      <c r="L6" s="433" t="s">
        <v>674</v>
      </c>
      <c r="M6" s="433" t="s">
        <v>675</v>
      </c>
      <c r="N6" s="433" t="s">
        <v>676</v>
      </c>
      <c r="O6" s="739"/>
    </row>
    <row r="7" spans="1:15">
      <c r="A7" s="412">
        <v>1</v>
      </c>
      <c r="B7" s="416" t="s">
        <v>697</v>
      </c>
      <c r="C7" s="581">
        <v>10578122.08</v>
      </c>
      <c r="D7" s="566">
        <v>10224119.25</v>
      </c>
      <c r="E7" s="566">
        <v>18898.07</v>
      </c>
      <c r="F7" s="582">
        <v>333027.38</v>
      </c>
      <c r="G7" s="582">
        <v>0</v>
      </c>
      <c r="H7" s="566">
        <v>2077.38</v>
      </c>
      <c r="I7" s="566">
        <v>308357.78629099979</v>
      </c>
      <c r="J7" s="582">
        <v>204482.38483499989</v>
      </c>
      <c r="K7" s="582">
        <v>1889.807</v>
      </c>
      <c r="L7" s="582">
        <v>99908.214455999987</v>
      </c>
      <c r="M7" s="582">
        <v>0</v>
      </c>
      <c r="N7" s="582">
        <v>2077.38</v>
      </c>
      <c r="O7" s="566">
        <v>0</v>
      </c>
    </row>
    <row r="8" spans="1:15">
      <c r="A8" s="412">
        <v>2</v>
      </c>
      <c r="B8" s="416" t="s">
        <v>567</v>
      </c>
      <c r="C8" s="581">
        <v>4130892.9502999978</v>
      </c>
      <c r="D8" s="566">
        <v>3727036.7802999984</v>
      </c>
      <c r="E8" s="566">
        <v>130558.52999999998</v>
      </c>
      <c r="F8" s="582">
        <v>273297.64</v>
      </c>
      <c r="G8" s="582">
        <v>0</v>
      </c>
      <c r="H8" s="566">
        <v>0</v>
      </c>
      <c r="I8" s="566">
        <v>169465.88222600019</v>
      </c>
      <c r="J8" s="582">
        <v>74420.735864000046</v>
      </c>
      <c r="K8" s="582">
        <v>13055.853281999998</v>
      </c>
      <c r="L8" s="582">
        <v>81989.293079999989</v>
      </c>
      <c r="M8" s="582">
        <v>0</v>
      </c>
      <c r="N8" s="582">
        <v>0</v>
      </c>
      <c r="O8" s="566">
        <v>0</v>
      </c>
    </row>
    <row r="9" spans="1:15">
      <c r="A9" s="412">
        <v>3</v>
      </c>
      <c r="B9" s="416" t="s">
        <v>568</v>
      </c>
      <c r="C9" s="581">
        <v>0</v>
      </c>
      <c r="D9" s="566">
        <v>0</v>
      </c>
      <c r="E9" s="566">
        <v>0</v>
      </c>
      <c r="F9" s="583">
        <v>0</v>
      </c>
      <c r="G9" s="583">
        <v>0</v>
      </c>
      <c r="H9" s="566">
        <v>0</v>
      </c>
      <c r="I9" s="566">
        <v>0</v>
      </c>
      <c r="J9" s="583">
        <v>0</v>
      </c>
      <c r="K9" s="583">
        <v>0</v>
      </c>
      <c r="L9" s="583">
        <v>0</v>
      </c>
      <c r="M9" s="583">
        <v>0</v>
      </c>
      <c r="N9" s="583">
        <v>0</v>
      </c>
      <c r="O9" s="566">
        <v>0</v>
      </c>
    </row>
    <row r="10" spans="1:15">
      <c r="A10" s="412">
        <v>4</v>
      </c>
      <c r="B10" s="416" t="s">
        <v>698</v>
      </c>
      <c r="C10" s="581">
        <v>85885560.24999997</v>
      </c>
      <c r="D10" s="566">
        <v>41907674.139999978</v>
      </c>
      <c r="E10" s="566">
        <v>1317053.6299999999</v>
      </c>
      <c r="F10" s="583">
        <v>23212396.280000001</v>
      </c>
      <c r="G10" s="583">
        <v>19355508.199999999</v>
      </c>
      <c r="H10" s="566">
        <v>92928</v>
      </c>
      <c r="I10" s="566">
        <v>17599420.420975983</v>
      </c>
      <c r="J10" s="583">
        <v>838153.48315100011</v>
      </c>
      <c r="K10" s="583">
        <v>131705.36300000001</v>
      </c>
      <c r="L10" s="583">
        <v>6963718.8850950003</v>
      </c>
      <c r="M10" s="583">
        <v>9572914.6897299998</v>
      </c>
      <c r="N10" s="583">
        <v>92928</v>
      </c>
      <c r="O10" s="566">
        <v>0</v>
      </c>
    </row>
    <row r="11" spans="1:15">
      <c r="A11" s="412">
        <v>5</v>
      </c>
      <c r="B11" s="416" t="s">
        <v>569</v>
      </c>
      <c r="C11" s="581">
        <v>79399680.219999999</v>
      </c>
      <c r="D11" s="566">
        <v>47336297.43999999</v>
      </c>
      <c r="E11" s="566">
        <v>2568716.64</v>
      </c>
      <c r="F11" s="583">
        <v>15044393.310000001</v>
      </c>
      <c r="G11" s="583">
        <v>13246642.979999997</v>
      </c>
      <c r="H11" s="566">
        <v>1203629.8499999999</v>
      </c>
      <c r="I11" s="566">
        <v>13079139.331970992</v>
      </c>
      <c r="J11" s="583">
        <v>946725.94873599999</v>
      </c>
      <c r="K11" s="583">
        <v>256871.66433300002</v>
      </c>
      <c r="L11" s="583">
        <v>4513317.9938679999</v>
      </c>
      <c r="M11" s="583">
        <v>6623321.4899999984</v>
      </c>
      <c r="N11" s="583">
        <v>738902.23503400001</v>
      </c>
      <c r="O11" s="566">
        <v>0</v>
      </c>
    </row>
    <row r="12" spans="1:15">
      <c r="A12" s="412">
        <v>6</v>
      </c>
      <c r="B12" s="416" t="s">
        <v>570</v>
      </c>
      <c r="C12" s="581">
        <v>61635206.839999996</v>
      </c>
      <c r="D12" s="566">
        <v>54548451.840000004</v>
      </c>
      <c r="E12" s="566">
        <v>0</v>
      </c>
      <c r="F12" s="583">
        <v>2833342.17</v>
      </c>
      <c r="G12" s="583">
        <v>0</v>
      </c>
      <c r="H12" s="566">
        <v>4253412.83</v>
      </c>
      <c r="I12" s="566">
        <v>5088497.1722390018</v>
      </c>
      <c r="J12" s="583">
        <v>1090969.0366699998</v>
      </c>
      <c r="K12" s="583">
        <v>0</v>
      </c>
      <c r="L12" s="583">
        <v>850002.64926699991</v>
      </c>
      <c r="M12" s="583">
        <v>0</v>
      </c>
      <c r="N12" s="583">
        <v>3147525.486302</v>
      </c>
      <c r="O12" s="566">
        <v>0</v>
      </c>
    </row>
    <row r="13" spans="1:15">
      <c r="A13" s="412">
        <v>7</v>
      </c>
      <c r="B13" s="416" t="s">
        <v>571</v>
      </c>
      <c r="C13" s="581">
        <v>13072046.429999998</v>
      </c>
      <c r="D13" s="566">
        <v>4221297.18</v>
      </c>
      <c r="E13" s="566">
        <v>2261942.8000000003</v>
      </c>
      <c r="F13" s="583">
        <v>744436.96</v>
      </c>
      <c r="G13" s="583">
        <v>5844369.4899999984</v>
      </c>
      <c r="H13" s="566">
        <v>0</v>
      </c>
      <c r="I13" s="566">
        <v>2941827.5229469994</v>
      </c>
      <c r="J13" s="583">
        <v>84425.943568999995</v>
      </c>
      <c r="K13" s="583">
        <v>226194.28000000003</v>
      </c>
      <c r="L13" s="583">
        <v>223331.08921400004</v>
      </c>
      <c r="M13" s="583">
        <v>2407876.2101639998</v>
      </c>
      <c r="N13" s="583">
        <v>0</v>
      </c>
      <c r="O13" s="566">
        <v>0</v>
      </c>
    </row>
    <row r="14" spans="1:15">
      <c r="A14" s="412">
        <v>8</v>
      </c>
      <c r="B14" s="416" t="s">
        <v>572</v>
      </c>
      <c r="C14" s="581">
        <v>42490444.557900012</v>
      </c>
      <c r="D14" s="566">
        <v>14293867.660000002</v>
      </c>
      <c r="E14" s="566">
        <v>1307861.29</v>
      </c>
      <c r="F14" s="583">
        <v>3084935.9499999993</v>
      </c>
      <c r="G14" s="583">
        <v>23803779.657899998</v>
      </c>
      <c r="H14" s="566">
        <v>0</v>
      </c>
      <c r="I14" s="566">
        <v>13244034.097645007</v>
      </c>
      <c r="J14" s="583">
        <v>285877.35314599995</v>
      </c>
      <c r="K14" s="583">
        <v>130786.12912</v>
      </c>
      <c r="L14" s="583">
        <v>925480.78740500007</v>
      </c>
      <c r="M14" s="583">
        <v>11901889.827973999</v>
      </c>
      <c r="N14" s="583">
        <v>0</v>
      </c>
      <c r="O14" s="566">
        <v>0</v>
      </c>
    </row>
    <row r="15" spans="1:15">
      <c r="A15" s="412">
        <v>9</v>
      </c>
      <c r="B15" s="416" t="s">
        <v>573</v>
      </c>
      <c r="C15" s="581">
        <v>139749845.63759997</v>
      </c>
      <c r="D15" s="566">
        <v>64602727.897599988</v>
      </c>
      <c r="E15" s="566">
        <v>11357025.200000003</v>
      </c>
      <c r="F15" s="583">
        <v>7866640.7400000012</v>
      </c>
      <c r="G15" s="583">
        <v>49870751.220000006</v>
      </c>
      <c r="H15" s="566">
        <v>6052700.5800000001</v>
      </c>
      <c r="I15" s="566">
        <v>34910911.694102988</v>
      </c>
      <c r="J15" s="583">
        <v>1292054.55785</v>
      </c>
      <c r="K15" s="583">
        <v>1135702.5176750002</v>
      </c>
      <c r="L15" s="583">
        <v>2359992.2195669999</v>
      </c>
      <c r="M15" s="583">
        <v>24070461.823011003</v>
      </c>
      <c r="N15" s="583">
        <v>6052700.5760000004</v>
      </c>
      <c r="O15" s="566">
        <v>0</v>
      </c>
    </row>
    <row r="16" spans="1:15">
      <c r="A16" s="412">
        <v>10</v>
      </c>
      <c r="B16" s="416" t="s">
        <v>574</v>
      </c>
      <c r="C16" s="581">
        <v>1633537.7</v>
      </c>
      <c r="D16" s="566">
        <v>1569757.47</v>
      </c>
      <c r="E16" s="566">
        <v>0</v>
      </c>
      <c r="F16" s="583">
        <v>63780.23</v>
      </c>
      <c r="G16" s="583">
        <v>0</v>
      </c>
      <c r="H16" s="566">
        <v>0</v>
      </c>
      <c r="I16" s="566">
        <v>50529.219999000008</v>
      </c>
      <c r="J16" s="583">
        <v>31395.149651000003</v>
      </c>
      <c r="K16" s="583">
        <v>0</v>
      </c>
      <c r="L16" s="583">
        <v>19134.070347999997</v>
      </c>
      <c r="M16" s="583">
        <v>0</v>
      </c>
      <c r="N16" s="583">
        <v>0</v>
      </c>
      <c r="O16" s="566">
        <v>0</v>
      </c>
    </row>
    <row r="17" spans="1:15">
      <c r="A17" s="412">
        <v>11</v>
      </c>
      <c r="B17" s="416" t="s">
        <v>575</v>
      </c>
      <c r="C17" s="581">
        <v>339009.69</v>
      </c>
      <c r="D17" s="566">
        <v>339009.69</v>
      </c>
      <c r="E17" s="566">
        <v>0</v>
      </c>
      <c r="F17" s="583">
        <v>0</v>
      </c>
      <c r="G17" s="583">
        <v>0</v>
      </c>
      <c r="H17" s="566">
        <v>0</v>
      </c>
      <c r="I17" s="566">
        <v>6780.1937470000003</v>
      </c>
      <c r="J17" s="583">
        <v>6780.1937470000003</v>
      </c>
      <c r="K17" s="583">
        <v>0</v>
      </c>
      <c r="L17" s="583">
        <v>0</v>
      </c>
      <c r="M17" s="583">
        <v>0</v>
      </c>
      <c r="N17" s="583">
        <v>0</v>
      </c>
      <c r="O17" s="566">
        <v>0</v>
      </c>
    </row>
    <row r="18" spans="1:15">
      <c r="A18" s="412">
        <v>12</v>
      </c>
      <c r="B18" s="416" t="s">
        <v>576</v>
      </c>
      <c r="C18" s="581">
        <v>30617319.7126</v>
      </c>
      <c r="D18" s="566">
        <v>6566107.9526000014</v>
      </c>
      <c r="E18" s="566">
        <v>0</v>
      </c>
      <c r="F18" s="583">
        <v>23284098.550000004</v>
      </c>
      <c r="G18" s="583">
        <v>767113.20999999985</v>
      </c>
      <c r="H18" s="566">
        <v>0</v>
      </c>
      <c r="I18" s="566">
        <v>7500108.3259119997</v>
      </c>
      <c r="J18" s="583">
        <v>131322.15899700002</v>
      </c>
      <c r="K18" s="583">
        <v>0</v>
      </c>
      <c r="L18" s="583">
        <v>6985229.5640349993</v>
      </c>
      <c r="M18" s="583">
        <v>383556.60287999996</v>
      </c>
      <c r="N18" s="583">
        <v>0</v>
      </c>
      <c r="O18" s="566">
        <v>0</v>
      </c>
    </row>
    <row r="19" spans="1:15">
      <c r="A19" s="412">
        <v>13</v>
      </c>
      <c r="B19" s="416" t="s">
        <v>577</v>
      </c>
      <c r="C19" s="581">
        <v>29305027.100000001</v>
      </c>
      <c r="D19" s="566">
        <v>24870535.490000002</v>
      </c>
      <c r="E19" s="566">
        <v>57709.81</v>
      </c>
      <c r="F19" s="583">
        <v>3112227.67</v>
      </c>
      <c r="G19" s="583">
        <v>0</v>
      </c>
      <c r="H19" s="566">
        <v>1264554.1299999999</v>
      </c>
      <c r="I19" s="566">
        <v>2195582.4667489999</v>
      </c>
      <c r="J19" s="583">
        <v>497410.70994099998</v>
      </c>
      <c r="K19" s="583">
        <v>5770.9809999999998</v>
      </c>
      <c r="L19" s="583">
        <v>933668.30031400011</v>
      </c>
      <c r="M19" s="583">
        <v>0</v>
      </c>
      <c r="N19" s="583">
        <v>758732.47549400001</v>
      </c>
      <c r="O19" s="566">
        <v>0</v>
      </c>
    </row>
    <row r="20" spans="1:15">
      <c r="A20" s="412">
        <v>14</v>
      </c>
      <c r="B20" s="416" t="s">
        <v>578</v>
      </c>
      <c r="C20" s="581">
        <v>64776837.589999974</v>
      </c>
      <c r="D20" s="566">
        <v>23763802.140000012</v>
      </c>
      <c r="E20" s="566">
        <v>3778694.4400000004</v>
      </c>
      <c r="F20" s="583">
        <v>13298387.390000001</v>
      </c>
      <c r="G20" s="583">
        <v>23935953.620000001</v>
      </c>
      <c r="H20" s="566">
        <v>0</v>
      </c>
      <c r="I20" s="566">
        <v>16348923.70604899</v>
      </c>
      <c r="J20" s="583">
        <v>475276.04242199997</v>
      </c>
      <c r="K20" s="583">
        <v>377869.443983</v>
      </c>
      <c r="L20" s="583">
        <v>3989516.2113190009</v>
      </c>
      <c r="M20" s="583">
        <v>11506262.008324997</v>
      </c>
      <c r="N20" s="583">
        <v>0</v>
      </c>
      <c r="O20" s="566">
        <v>0</v>
      </c>
    </row>
    <row r="21" spans="1:15">
      <c r="A21" s="412">
        <v>15</v>
      </c>
      <c r="B21" s="416" t="s">
        <v>579</v>
      </c>
      <c r="C21" s="581">
        <v>4645112.1399999997</v>
      </c>
      <c r="D21" s="566">
        <v>80406.080000000002</v>
      </c>
      <c r="E21" s="566">
        <v>209237.58</v>
      </c>
      <c r="F21" s="583">
        <v>4355468.4800000004</v>
      </c>
      <c r="G21" s="583">
        <v>0</v>
      </c>
      <c r="H21" s="566">
        <v>0</v>
      </c>
      <c r="I21" s="566">
        <v>1329172.4253250002</v>
      </c>
      <c r="J21" s="583">
        <v>1608.1215179999999</v>
      </c>
      <c r="K21" s="583">
        <v>20923.758310000001</v>
      </c>
      <c r="L21" s="583">
        <v>1306640.5454970002</v>
      </c>
      <c r="M21" s="583">
        <v>0</v>
      </c>
      <c r="N21" s="583">
        <v>0</v>
      </c>
      <c r="O21" s="566">
        <v>0</v>
      </c>
    </row>
    <row r="22" spans="1:15">
      <c r="A22" s="412">
        <v>16</v>
      </c>
      <c r="B22" s="416" t="s">
        <v>580</v>
      </c>
      <c r="C22" s="581">
        <v>51754795.169999994</v>
      </c>
      <c r="D22" s="566">
        <v>51681722.009999998</v>
      </c>
      <c r="E22" s="566">
        <v>0</v>
      </c>
      <c r="F22" s="583">
        <v>0</v>
      </c>
      <c r="G22" s="583">
        <v>73073.16</v>
      </c>
      <c r="H22" s="566">
        <v>0</v>
      </c>
      <c r="I22" s="566">
        <v>1070171.0193050001</v>
      </c>
      <c r="J22" s="583">
        <v>1033634.440105</v>
      </c>
      <c r="K22" s="583">
        <v>0</v>
      </c>
      <c r="L22" s="583">
        <v>0</v>
      </c>
      <c r="M22" s="583">
        <v>36536.5792</v>
      </c>
      <c r="N22" s="583">
        <v>0</v>
      </c>
      <c r="O22" s="566">
        <v>0</v>
      </c>
    </row>
    <row r="23" spans="1:15">
      <c r="A23" s="412">
        <v>17</v>
      </c>
      <c r="B23" s="416" t="s">
        <v>701</v>
      </c>
      <c r="C23" s="581">
        <v>25430257.430000003</v>
      </c>
      <c r="D23" s="566">
        <v>15472851.34</v>
      </c>
      <c r="E23" s="566">
        <v>9820125.0999999996</v>
      </c>
      <c r="F23" s="583">
        <v>137280.99</v>
      </c>
      <c r="G23" s="583">
        <v>0</v>
      </c>
      <c r="H23" s="566">
        <v>0</v>
      </c>
      <c r="I23" s="566">
        <v>1332653.8328370003</v>
      </c>
      <c r="J23" s="583">
        <v>309457.02680200001</v>
      </c>
      <c r="K23" s="583">
        <v>982012.51035500003</v>
      </c>
      <c r="L23" s="583">
        <v>41184.295680000003</v>
      </c>
      <c r="M23" s="583">
        <v>0</v>
      </c>
      <c r="N23" s="583">
        <v>0</v>
      </c>
      <c r="O23" s="566">
        <v>0</v>
      </c>
    </row>
    <row r="24" spans="1:15">
      <c r="A24" s="412">
        <v>18</v>
      </c>
      <c r="B24" s="416" t="s">
        <v>581</v>
      </c>
      <c r="C24" s="581">
        <v>3657525.8</v>
      </c>
      <c r="D24" s="566">
        <v>1026833.15</v>
      </c>
      <c r="E24" s="566">
        <v>555300.65</v>
      </c>
      <c r="F24" s="583">
        <v>0</v>
      </c>
      <c r="G24" s="583">
        <v>2075392</v>
      </c>
      <c r="H24" s="566">
        <v>0</v>
      </c>
      <c r="I24" s="566">
        <v>1097320.675856</v>
      </c>
      <c r="J24" s="583">
        <v>4094.6108829999998</v>
      </c>
      <c r="K24" s="583">
        <v>55530.064973</v>
      </c>
      <c r="L24" s="583">
        <v>0</v>
      </c>
      <c r="M24" s="583">
        <v>1037696</v>
      </c>
      <c r="N24" s="583">
        <v>0</v>
      </c>
      <c r="O24" s="566">
        <v>0</v>
      </c>
    </row>
    <row r="25" spans="1:15">
      <c r="A25" s="412">
        <v>19</v>
      </c>
      <c r="B25" s="416" t="s">
        <v>582</v>
      </c>
      <c r="C25" s="581">
        <v>34231959.719999999</v>
      </c>
      <c r="D25" s="566">
        <v>855173.19</v>
      </c>
      <c r="E25" s="566">
        <v>0</v>
      </c>
      <c r="F25" s="583">
        <v>30531077.940000001</v>
      </c>
      <c r="G25" s="583">
        <v>2845708.59</v>
      </c>
      <c r="H25" s="566">
        <v>0</v>
      </c>
      <c r="I25" s="566">
        <v>10599281.141586</v>
      </c>
      <c r="J25" s="583">
        <v>17103.463698</v>
      </c>
      <c r="K25" s="583">
        <v>0</v>
      </c>
      <c r="L25" s="583">
        <v>9159323.3834879994</v>
      </c>
      <c r="M25" s="583">
        <v>1422854.2944</v>
      </c>
      <c r="N25" s="583">
        <v>0</v>
      </c>
      <c r="O25" s="566">
        <v>0</v>
      </c>
    </row>
    <row r="26" spans="1:15">
      <c r="A26" s="412">
        <v>20</v>
      </c>
      <c r="B26" s="416" t="s">
        <v>700</v>
      </c>
      <c r="C26" s="581">
        <v>58072583.150000028</v>
      </c>
      <c r="D26" s="566">
        <v>43664180.610000022</v>
      </c>
      <c r="E26" s="566">
        <v>13910719.51</v>
      </c>
      <c r="F26" s="583">
        <v>497683.03</v>
      </c>
      <c r="G26" s="583">
        <v>0</v>
      </c>
      <c r="H26" s="566">
        <v>0</v>
      </c>
      <c r="I26" s="566">
        <v>2413660.4715029998</v>
      </c>
      <c r="J26" s="583">
        <v>873283.6121990002</v>
      </c>
      <c r="K26" s="583">
        <v>1391071.9507599999</v>
      </c>
      <c r="L26" s="583">
        <v>149304.90854400001</v>
      </c>
      <c r="M26" s="583">
        <v>0</v>
      </c>
      <c r="N26" s="583">
        <v>0</v>
      </c>
      <c r="O26" s="566">
        <v>0</v>
      </c>
    </row>
    <row r="27" spans="1:15">
      <c r="A27" s="412">
        <v>21</v>
      </c>
      <c r="B27" s="416" t="s">
        <v>583</v>
      </c>
      <c r="C27" s="581">
        <v>2907161.7262999997</v>
      </c>
      <c r="D27" s="566">
        <v>2907161.7262999997</v>
      </c>
      <c r="E27" s="566">
        <v>0</v>
      </c>
      <c r="F27" s="583">
        <v>0</v>
      </c>
      <c r="G27" s="583">
        <v>0</v>
      </c>
      <c r="H27" s="566">
        <v>0</v>
      </c>
      <c r="I27" s="566">
        <v>58143.234645000004</v>
      </c>
      <c r="J27" s="583">
        <v>58143.234645000004</v>
      </c>
      <c r="K27" s="583">
        <v>0</v>
      </c>
      <c r="L27" s="583">
        <v>0</v>
      </c>
      <c r="M27" s="583">
        <v>0</v>
      </c>
      <c r="N27" s="583">
        <v>0</v>
      </c>
      <c r="O27" s="566">
        <v>0</v>
      </c>
    </row>
    <row r="28" spans="1:15">
      <c r="A28" s="412">
        <v>22</v>
      </c>
      <c r="B28" s="416" t="s">
        <v>584</v>
      </c>
      <c r="C28" s="581">
        <v>38275983.970000006</v>
      </c>
      <c r="D28" s="566">
        <v>31328105.600000001</v>
      </c>
      <c r="E28" s="566">
        <v>0</v>
      </c>
      <c r="F28" s="583">
        <v>503291.2</v>
      </c>
      <c r="G28" s="583">
        <v>187575.17</v>
      </c>
      <c r="H28" s="566">
        <v>6257012</v>
      </c>
      <c r="I28" s="566">
        <v>7128349.0566909993</v>
      </c>
      <c r="J28" s="583">
        <v>626562.11199999996</v>
      </c>
      <c r="K28" s="583">
        <v>0</v>
      </c>
      <c r="L28" s="583">
        <v>150987.36069100001</v>
      </c>
      <c r="M28" s="583">
        <v>93787.584000000003</v>
      </c>
      <c r="N28" s="583">
        <v>6257012</v>
      </c>
      <c r="O28" s="566">
        <v>0</v>
      </c>
    </row>
    <row r="29" spans="1:15">
      <c r="A29" s="412">
        <v>23</v>
      </c>
      <c r="B29" s="416" t="s">
        <v>585</v>
      </c>
      <c r="C29" s="581">
        <v>92179976.570000008</v>
      </c>
      <c r="D29" s="566">
        <v>74592937.330000058</v>
      </c>
      <c r="E29" s="566">
        <v>162960.21999999997</v>
      </c>
      <c r="F29" s="583">
        <v>10054486.549999999</v>
      </c>
      <c r="G29" s="583">
        <v>1123660.1600000001</v>
      </c>
      <c r="H29" s="566">
        <v>6245932.3099999996</v>
      </c>
      <c r="I29" s="566">
        <v>8833890.2000680026</v>
      </c>
      <c r="J29" s="583">
        <v>1491858.7467199997</v>
      </c>
      <c r="K29" s="583">
        <v>16296.022338000002</v>
      </c>
      <c r="L29" s="583">
        <v>3016345.9660759997</v>
      </c>
      <c r="M29" s="583">
        <v>561830.08076799999</v>
      </c>
      <c r="N29" s="583">
        <v>3747559.3841659999</v>
      </c>
      <c r="O29" s="566">
        <v>0</v>
      </c>
    </row>
    <row r="30" spans="1:15">
      <c r="A30" s="412">
        <v>24</v>
      </c>
      <c r="B30" s="416" t="s">
        <v>699</v>
      </c>
      <c r="C30" s="581">
        <v>54811535.69000002</v>
      </c>
      <c r="D30" s="566">
        <v>27558186.269999996</v>
      </c>
      <c r="E30" s="566">
        <v>12702370.539999997</v>
      </c>
      <c r="F30" s="583">
        <v>4834634.2200000016</v>
      </c>
      <c r="G30" s="583">
        <v>631571.17999999993</v>
      </c>
      <c r="H30" s="566">
        <v>9084773.4800000004</v>
      </c>
      <c r="I30" s="566">
        <v>9641022.6823070049</v>
      </c>
      <c r="J30" s="583">
        <v>551163.72577899985</v>
      </c>
      <c r="K30" s="583">
        <v>1270237.0535859999</v>
      </c>
      <c r="L30" s="583">
        <v>1450390.2692259999</v>
      </c>
      <c r="M30" s="583">
        <v>315785.59091199999</v>
      </c>
      <c r="N30" s="583">
        <v>6053446.042804</v>
      </c>
      <c r="O30" s="566">
        <v>0</v>
      </c>
    </row>
    <row r="31" spans="1:15">
      <c r="A31" s="412">
        <v>25</v>
      </c>
      <c r="B31" s="416" t="s">
        <v>586</v>
      </c>
      <c r="C31" s="581">
        <v>34378908.821199983</v>
      </c>
      <c r="D31" s="566">
        <v>29758017.118499991</v>
      </c>
      <c r="E31" s="566">
        <v>563238.67000000004</v>
      </c>
      <c r="F31" s="583">
        <v>2429682.7253</v>
      </c>
      <c r="G31" s="583">
        <v>1623510.3073999998</v>
      </c>
      <c r="H31" s="566">
        <v>4460</v>
      </c>
      <c r="I31" s="566">
        <v>2185356.0901620011</v>
      </c>
      <c r="J31" s="583">
        <v>583912.25248199992</v>
      </c>
      <c r="K31" s="583">
        <v>56323.865822999993</v>
      </c>
      <c r="L31" s="583">
        <v>728904.81890100008</v>
      </c>
      <c r="M31" s="583">
        <v>811755.15295599995</v>
      </c>
      <c r="N31" s="583">
        <v>4460</v>
      </c>
      <c r="O31" s="566">
        <v>0</v>
      </c>
    </row>
    <row r="32" spans="1:15">
      <c r="A32" s="412">
        <v>26</v>
      </c>
      <c r="B32" s="416" t="s">
        <v>696</v>
      </c>
      <c r="C32" s="581">
        <v>1209522.2276000008</v>
      </c>
      <c r="D32" s="566">
        <v>1200088.9958000006</v>
      </c>
      <c r="E32" s="566">
        <v>0</v>
      </c>
      <c r="F32" s="583">
        <v>336.89179999999999</v>
      </c>
      <c r="G32" s="583">
        <v>15.34</v>
      </c>
      <c r="H32" s="566">
        <v>9081</v>
      </c>
      <c r="I32" s="566">
        <v>33191.517455999994</v>
      </c>
      <c r="J32" s="583">
        <v>24001.779916000032</v>
      </c>
      <c r="K32" s="583">
        <v>0</v>
      </c>
      <c r="L32" s="583">
        <v>101.06753999999999</v>
      </c>
      <c r="M32" s="583">
        <v>7.67</v>
      </c>
      <c r="N32" s="583">
        <v>9081</v>
      </c>
      <c r="O32" s="566">
        <v>0</v>
      </c>
    </row>
    <row r="33" spans="1:15">
      <c r="A33" s="412">
        <v>27</v>
      </c>
      <c r="B33" s="434" t="s">
        <v>109</v>
      </c>
      <c r="C33" s="584">
        <f>SUM(C7:C32)</f>
        <v>965168853.17349994</v>
      </c>
      <c r="D33" s="566">
        <f t="shared" ref="D33:N33" si="0">SUM(D7:D32)</f>
        <v>578096348.35109997</v>
      </c>
      <c r="E33" s="566">
        <f t="shared" si="0"/>
        <v>60722412.68</v>
      </c>
      <c r="F33" s="583">
        <f t="shared" si="0"/>
        <v>146494906.29710001</v>
      </c>
      <c r="G33" s="583">
        <f t="shared" si="0"/>
        <v>145384624.28529996</v>
      </c>
      <c r="H33" s="566">
        <f t="shared" si="0"/>
        <v>34470561.560000002</v>
      </c>
      <c r="I33" s="566">
        <f t="shared" si="0"/>
        <v>159165790.16859499</v>
      </c>
      <c r="J33" s="583">
        <f t="shared" si="0"/>
        <v>11534116.825325999</v>
      </c>
      <c r="K33" s="583">
        <f t="shared" si="0"/>
        <v>6072241.2655379996</v>
      </c>
      <c r="L33" s="583">
        <f t="shared" si="0"/>
        <v>43948471.893611006</v>
      </c>
      <c r="M33" s="583">
        <f t="shared" si="0"/>
        <v>70746535.604320005</v>
      </c>
      <c r="N33" s="583">
        <f t="shared" si="0"/>
        <v>26864424.579799995</v>
      </c>
      <c r="O33" s="566">
        <v>0</v>
      </c>
    </row>
    <row r="35" spans="1:15">
      <c r="B35" s="448"/>
      <c r="C35" s="448"/>
    </row>
    <row r="41" spans="1:15">
      <c r="A41" s="445"/>
      <c r="B41" s="445"/>
      <c r="C41" s="445"/>
    </row>
    <row r="42" spans="1:15">
      <c r="A42" s="445"/>
      <c r="B42" s="445"/>
      <c r="C42" s="44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2" sqref="B2"/>
    </sheetView>
  </sheetViews>
  <sheetFormatPr defaultColWidth="8.7109375" defaultRowHeight="12"/>
  <cols>
    <col min="1" max="1" width="11.7109375" style="456" bestFit="1" customWidth="1"/>
    <col min="2" max="2" width="80.28515625" style="456" customWidth="1"/>
    <col min="3" max="3" width="17.28515625" style="456" bestFit="1" customWidth="1"/>
    <col min="4" max="5" width="22.28515625" style="456" bestFit="1" customWidth="1"/>
    <col min="6" max="6" width="20.28515625" style="456" bestFit="1" customWidth="1"/>
    <col min="7" max="7" width="20.85546875" style="456" bestFit="1" customWidth="1"/>
    <col min="8" max="8" width="23.28515625" style="456" bestFit="1" customWidth="1"/>
    <col min="9" max="9" width="22.28515625" style="456" customWidth="1"/>
    <col min="10" max="10" width="19.28515625" style="456" bestFit="1" customWidth="1"/>
    <col min="11" max="11" width="17.7109375" style="456" bestFit="1" customWidth="1"/>
    <col min="12" max="16384" width="8.7109375" style="456"/>
  </cols>
  <sheetData>
    <row r="1" spans="1:11" s="415" customFormat="1" ht="12.75">
      <c r="A1" s="407" t="s">
        <v>30</v>
      </c>
      <c r="B1" s="415" t="str">
        <f>'1. key ratios '!B1</f>
        <v>JSC CARTU BANK</v>
      </c>
    </row>
    <row r="2" spans="1:11" s="415" customFormat="1" ht="13.5">
      <c r="A2" s="407" t="s">
        <v>31</v>
      </c>
      <c r="B2" s="371">
        <f>'1. key ratios '!B2</f>
        <v>44561</v>
      </c>
    </row>
    <row r="3" spans="1:11" s="415" customFormat="1" ht="12.75">
      <c r="A3" s="408" t="s">
        <v>677</v>
      </c>
    </row>
    <row r="4" spans="1:11">
      <c r="C4" s="457" t="s">
        <v>0</v>
      </c>
      <c r="D4" s="457" t="s">
        <v>1</v>
      </c>
      <c r="E4" s="457" t="s">
        <v>2</v>
      </c>
      <c r="F4" s="457" t="s">
        <v>3</v>
      </c>
      <c r="G4" s="457" t="s">
        <v>4</v>
      </c>
      <c r="H4" s="457" t="s">
        <v>5</v>
      </c>
      <c r="I4" s="457" t="s">
        <v>8</v>
      </c>
      <c r="J4" s="457" t="s">
        <v>9</v>
      </c>
      <c r="K4" s="457" t="s">
        <v>10</v>
      </c>
    </row>
    <row r="5" spans="1:11" ht="105" customHeight="1">
      <c r="A5" s="740" t="s">
        <v>678</v>
      </c>
      <c r="B5" s="741"/>
      <c r="C5" s="437" t="s">
        <v>679</v>
      </c>
      <c r="D5" s="437" t="s">
        <v>680</v>
      </c>
      <c r="E5" s="437" t="s">
        <v>681</v>
      </c>
      <c r="F5" s="458" t="s">
        <v>682</v>
      </c>
      <c r="G5" s="437" t="s">
        <v>683</v>
      </c>
      <c r="H5" s="437" t="s">
        <v>684</v>
      </c>
      <c r="I5" s="437" t="s">
        <v>685</v>
      </c>
      <c r="J5" s="437" t="s">
        <v>686</v>
      </c>
      <c r="K5" s="437" t="s">
        <v>687</v>
      </c>
    </row>
    <row r="6" spans="1:11" ht="12.75">
      <c r="A6" s="412">
        <v>1</v>
      </c>
      <c r="B6" s="412" t="s">
        <v>633</v>
      </c>
      <c r="C6" s="566">
        <v>39192779.146060407</v>
      </c>
      <c r="D6" s="566">
        <v>11245526.070392003</v>
      </c>
      <c r="E6" s="566">
        <v>0</v>
      </c>
      <c r="F6" s="566">
        <v>0</v>
      </c>
      <c r="G6" s="566">
        <v>721021093.86316311</v>
      </c>
      <c r="H6" s="566">
        <v>8320744.0758648263</v>
      </c>
      <c r="I6" s="566">
        <v>114010583.81230609</v>
      </c>
      <c r="J6" s="566">
        <v>22220922.493216626</v>
      </c>
      <c r="K6" s="566">
        <v>49157203.712496556</v>
      </c>
    </row>
    <row r="7" spans="1:11" ht="12.75">
      <c r="A7" s="412">
        <v>2</v>
      </c>
      <c r="B7" s="412" t="s">
        <v>688</v>
      </c>
      <c r="C7" s="566">
        <v>0</v>
      </c>
      <c r="D7" s="566">
        <v>0</v>
      </c>
      <c r="E7" s="566">
        <v>0</v>
      </c>
      <c r="F7" s="566">
        <v>0</v>
      </c>
      <c r="G7" s="566">
        <v>0</v>
      </c>
      <c r="H7" s="566">
        <v>0</v>
      </c>
      <c r="I7" s="566">
        <v>0</v>
      </c>
      <c r="J7" s="566">
        <v>0</v>
      </c>
      <c r="K7" s="566">
        <v>18488000</v>
      </c>
    </row>
    <row r="8" spans="1:11" ht="12.75">
      <c r="A8" s="412">
        <v>3</v>
      </c>
      <c r="B8" s="412" t="s">
        <v>641</v>
      </c>
      <c r="C8" s="566">
        <v>4282694.8761475906</v>
      </c>
      <c r="D8" s="566">
        <v>0</v>
      </c>
      <c r="E8" s="566">
        <v>0</v>
      </c>
      <c r="F8" s="566">
        <v>0</v>
      </c>
      <c r="G8" s="566">
        <v>43682689.835986421</v>
      </c>
      <c r="H8" s="566">
        <v>583958.76381214568</v>
      </c>
      <c r="I8" s="566">
        <v>12952155.789801033</v>
      </c>
      <c r="J8" s="566">
        <v>3446116.4446528219</v>
      </c>
      <c r="K8" s="566">
        <v>1288323.1095000003</v>
      </c>
    </row>
    <row r="9" spans="1:11" ht="12.75">
      <c r="A9" s="412">
        <v>4</v>
      </c>
      <c r="B9" s="435" t="s">
        <v>689</v>
      </c>
      <c r="C9" s="566">
        <v>6838154.7054953044</v>
      </c>
      <c r="D9" s="566">
        <v>3590297.2262000004</v>
      </c>
      <c r="E9" s="566">
        <v>0</v>
      </c>
      <c r="F9" s="566">
        <v>0</v>
      </c>
      <c r="G9" s="566">
        <v>260384250.77072188</v>
      </c>
      <c r="H9" s="566">
        <v>4050834.3206204041</v>
      </c>
      <c r="I9" s="566">
        <v>23915720.58394704</v>
      </c>
      <c r="J9" s="566">
        <v>9396616.5690359343</v>
      </c>
      <c r="K9" s="566">
        <v>18174217.966379322</v>
      </c>
    </row>
    <row r="10" spans="1:11" ht="12.75">
      <c r="A10" s="412">
        <v>5</v>
      </c>
      <c r="B10" s="435" t="s">
        <v>690</v>
      </c>
      <c r="C10" s="566">
        <v>0</v>
      </c>
      <c r="D10" s="566">
        <v>0</v>
      </c>
      <c r="E10" s="566">
        <v>0</v>
      </c>
      <c r="F10" s="566">
        <v>0</v>
      </c>
      <c r="G10" s="566">
        <v>0</v>
      </c>
      <c r="H10" s="566">
        <v>0</v>
      </c>
      <c r="I10" s="566">
        <v>0</v>
      </c>
      <c r="J10" s="566">
        <v>0</v>
      </c>
      <c r="K10" s="566">
        <v>0</v>
      </c>
    </row>
    <row r="11" spans="1:11" ht="12.75">
      <c r="A11" s="412">
        <v>6</v>
      </c>
      <c r="B11" s="435" t="s">
        <v>691</v>
      </c>
      <c r="C11" s="566">
        <v>0</v>
      </c>
      <c r="D11" s="566">
        <v>0</v>
      </c>
      <c r="E11" s="566">
        <v>0</v>
      </c>
      <c r="F11" s="566">
        <v>0</v>
      </c>
      <c r="G11" s="566">
        <v>4315569.131298379</v>
      </c>
      <c r="H11" s="566">
        <v>39407.468701621227</v>
      </c>
      <c r="I11" s="566">
        <v>0</v>
      </c>
      <c r="J11" s="566">
        <v>0</v>
      </c>
      <c r="K11" s="566">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Normal="100" workbookViewId="0">
      <selection activeCell="B2" sqref="B2"/>
    </sheetView>
  </sheetViews>
  <sheetFormatPr defaultRowHeight="15"/>
  <cols>
    <col min="1" max="1" width="10" bestFit="1" customWidth="1"/>
    <col min="2" max="2" width="71.7109375" customWidth="1"/>
    <col min="3" max="3" width="10.7109375" bestFit="1" customWidth="1"/>
    <col min="4" max="8" width="9.85546875" customWidth="1"/>
    <col min="9" max="9" width="10.710937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7109375" bestFit="1" customWidth="1"/>
  </cols>
  <sheetData>
    <row r="1" spans="1:19">
      <c r="A1" s="407" t="s">
        <v>30</v>
      </c>
      <c r="B1" s="415" t="str">
        <f>'1. key ratios '!B1</f>
        <v>JSC CARTU BANK</v>
      </c>
    </row>
    <row r="2" spans="1:19">
      <c r="A2" s="407" t="s">
        <v>31</v>
      </c>
      <c r="B2" s="371">
        <f>'1. key ratios '!B2</f>
        <v>44561</v>
      </c>
    </row>
    <row r="3" spans="1:19">
      <c r="A3" s="408" t="s">
        <v>753</v>
      </c>
      <c r="B3" s="415"/>
    </row>
    <row r="4" spans="1:19">
      <c r="A4" s="408"/>
      <c r="B4" s="415"/>
    </row>
    <row r="5" spans="1:19">
      <c r="A5" s="743" t="s">
        <v>754</v>
      </c>
      <c r="B5" s="743"/>
      <c r="C5" s="745" t="s">
        <v>755</v>
      </c>
      <c r="D5" s="745"/>
      <c r="E5" s="745"/>
      <c r="F5" s="745"/>
      <c r="G5" s="745"/>
      <c r="H5" s="745"/>
      <c r="I5" s="745" t="s">
        <v>756</v>
      </c>
      <c r="J5" s="745"/>
      <c r="K5" s="745"/>
      <c r="L5" s="745"/>
      <c r="M5" s="745"/>
      <c r="N5" s="746"/>
      <c r="O5" s="742" t="s">
        <v>757</v>
      </c>
      <c r="P5" s="742" t="s">
        <v>758</v>
      </c>
      <c r="Q5" s="742" t="s">
        <v>759</v>
      </c>
      <c r="R5" s="742" t="s">
        <v>760</v>
      </c>
      <c r="S5" s="742" t="s">
        <v>761</v>
      </c>
    </row>
    <row r="6" spans="1:19" ht="24" customHeight="1">
      <c r="A6" s="744"/>
      <c r="B6" s="744"/>
      <c r="C6" s="585"/>
      <c r="D6" s="586" t="s">
        <v>672</v>
      </c>
      <c r="E6" s="586" t="s">
        <v>673</v>
      </c>
      <c r="F6" s="586" t="s">
        <v>674</v>
      </c>
      <c r="G6" s="586" t="s">
        <v>675</v>
      </c>
      <c r="H6" s="586" t="s">
        <v>676</v>
      </c>
      <c r="I6" s="585"/>
      <c r="J6" s="586" t="s">
        <v>672</v>
      </c>
      <c r="K6" s="586" t="s">
        <v>673</v>
      </c>
      <c r="L6" s="586" t="s">
        <v>674</v>
      </c>
      <c r="M6" s="586" t="s">
        <v>675</v>
      </c>
      <c r="N6" s="587" t="s">
        <v>676</v>
      </c>
      <c r="O6" s="742"/>
      <c r="P6" s="742"/>
      <c r="Q6" s="742"/>
      <c r="R6" s="742"/>
      <c r="S6" s="742"/>
    </row>
    <row r="7" spans="1:19">
      <c r="A7" s="588">
        <v>1</v>
      </c>
      <c r="B7" s="589" t="s">
        <v>762</v>
      </c>
      <c r="C7" s="629">
        <v>279137.46000000002</v>
      </c>
      <c r="D7" s="629">
        <v>217646.15000000002</v>
      </c>
      <c r="E7" s="629">
        <v>0</v>
      </c>
      <c r="F7" s="629">
        <v>59413.93</v>
      </c>
      <c r="G7" s="629">
        <v>0</v>
      </c>
      <c r="H7" s="629">
        <v>2077.38</v>
      </c>
      <c r="I7" s="629">
        <v>24254.481981000004</v>
      </c>
      <c r="J7" s="629">
        <v>4352.9229809999997</v>
      </c>
      <c r="K7" s="629">
        <v>0</v>
      </c>
      <c r="L7" s="629">
        <v>17824.179</v>
      </c>
      <c r="M7" s="629">
        <v>0</v>
      </c>
      <c r="N7" s="629">
        <v>2077.38</v>
      </c>
      <c r="O7" s="590">
        <v>17</v>
      </c>
      <c r="P7" s="630">
        <v>0.14570188133140377</v>
      </c>
      <c r="Q7" s="630">
        <v>0.15584929472849096</v>
      </c>
      <c r="R7" s="630">
        <v>0.12709689640007471</v>
      </c>
      <c r="S7" s="631">
        <v>59.38446997875193</v>
      </c>
    </row>
    <row r="8" spans="1:19">
      <c r="A8" s="588">
        <v>2</v>
      </c>
      <c r="B8" s="591" t="s">
        <v>763</v>
      </c>
      <c r="C8" s="629">
        <v>8691760.8600000031</v>
      </c>
      <c r="D8" s="629">
        <v>5544119.4900000002</v>
      </c>
      <c r="E8" s="629">
        <v>1120298.46</v>
      </c>
      <c r="F8" s="629">
        <v>1315049.2</v>
      </c>
      <c r="G8" s="629">
        <v>707833.71</v>
      </c>
      <c r="H8" s="629">
        <v>4460</v>
      </c>
      <c r="I8" s="629">
        <v>966287.33412799949</v>
      </c>
      <c r="J8" s="629">
        <v>101365.87465199995</v>
      </c>
      <c r="K8" s="629">
        <v>112029.84595800002</v>
      </c>
      <c r="L8" s="629">
        <v>394514.76078199997</v>
      </c>
      <c r="M8" s="629">
        <v>353916.85273599997</v>
      </c>
      <c r="N8" s="629">
        <v>4460</v>
      </c>
      <c r="O8" s="590">
        <v>141</v>
      </c>
      <c r="P8" s="630">
        <v>0.13214782243928255</v>
      </c>
      <c r="Q8" s="630">
        <v>0.14065714371042914</v>
      </c>
      <c r="R8" s="630">
        <v>0.10165611362609435</v>
      </c>
      <c r="S8" s="631">
        <v>73.817085610810139</v>
      </c>
    </row>
    <row r="9" spans="1:19">
      <c r="A9" s="588">
        <v>3</v>
      </c>
      <c r="B9" s="591" t="s">
        <v>764</v>
      </c>
      <c r="C9" s="629">
        <v>0</v>
      </c>
      <c r="D9" s="629">
        <v>0</v>
      </c>
      <c r="E9" s="629">
        <v>0</v>
      </c>
      <c r="F9" s="629">
        <v>0</v>
      </c>
      <c r="G9" s="629">
        <v>0</v>
      </c>
      <c r="H9" s="629">
        <v>0</v>
      </c>
      <c r="I9" s="629">
        <v>0</v>
      </c>
      <c r="J9" s="629">
        <v>0</v>
      </c>
      <c r="K9" s="629">
        <v>0</v>
      </c>
      <c r="L9" s="629">
        <v>0</v>
      </c>
      <c r="M9" s="629">
        <v>0</v>
      </c>
      <c r="N9" s="629">
        <v>0</v>
      </c>
      <c r="O9" s="590">
        <v>0</v>
      </c>
      <c r="P9" s="630">
        <v>0</v>
      </c>
      <c r="Q9" s="630">
        <v>0</v>
      </c>
      <c r="R9" s="630">
        <v>0</v>
      </c>
      <c r="S9" s="631">
        <v>0</v>
      </c>
    </row>
    <row r="10" spans="1:19">
      <c r="A10" s="588">
        <v>4</v>
      </c>
      <c r="B10" s="591" t="s">
        <v>765</v>
      </c>
      <c r="C10" s="629">
        <v>0</v>
      </c>
      <c r="D10" s="629">
        <v>0</v>
      </c>
      <c r="E10" s="629">
        <v>0</v>
      </c>
      <c r="F10" s="629">
        <v>0</v>
      </c>
      <c r="G10" s="629">
        <v>0</v>
      </c>
      <c r="H10" s="629">
        <v>0</v>
      </c>
      <c r="I10" s="629">
        <v>0</v>
      </c>
      <c r="J10" s="629">
        <v>0</v>
      </c>
      <c r="K10" s="629">
        <v>0</v>
      </c>
      <c r="L10" s="629">
        <v>0</v>
      </c>
      <c r="M10" s="629">
        <v>0</v>
      </c>
      <c r="N10" s="629">
        <v>0</v>
      </c>
      <c r="O10" s="590">
        <v>0</v>
      </c>
      <c r="P10" s="630">
        <v>0</v>
      </c>
      <c r="Q10" s="630">
        <v>0</v>
      </c>
      <c r="R10" s="630">
        <v>0</v>
      </c>
      <c r="S10" s="631">
        <v>0</v>
      </c>
    </row>
    <row r="11" spans="1:19">
      <c r="A11" s="588">
        <v>5</v>
      </c>
      <c r="B11" s="591" t="s">
        <v>766</v>
      </c>
      <c r="C11" s="629">
        <v>1994232.1406000007</v>
      </c>
      <c r="D11" s="629">
        <v>1862863.8406000005</v>
      </c>
      <c r="E11" s="629">
        <v>8552.73</v>
      </c>
      <c r="F11" s="629">
        <v>113740.65000000001</v>
      </c>
      <c r="G11" s="629">
        <v>0</v>
      </c>
      <c r="H11" s="629">
        <v>9074.92</v>
      </c>
      <c r="I11" s="629">
        <v>81309.664812000017</v>
      </c>
      <c r="J11" s="629">
        <v>37257.276811999967</v>
      </c>
      <c r="K11" s="629">
        <v>855.27300000000002</v>
      </c>
      <c r="L11" s="629">
        <v>34122.194999999992</v>
      </c>
      <c r="M11" s="629">
        <v>0</v>
      </c>
      <c r="N11" s="629">
        <v>9074.92</v>
      </c>
      <c r="O11" s="590">
        <v>243</v>
      </c>
      <c r="P11" s="630">
        <v>0.10114287662380196</v>
      </c>
      <c r="Q11" s="630">
        <v>0.10600599075823272</v>
      </c>
      <c r="R11" s="630">
        <v>0.10273003337132144</v>
      </c>
      <c r="S11" s="631">
        <v>8.0724725779275417</v>
      </c>
    </row>
    <row r="12" spans="1:19">
      <c r="A12" s="588">
        <v>6</v>
      </c>
      <c r="B12" s="591" t="s">
        <v>767</v>
      </c>
      <c r="C12" s="629">
        <v>296503.49560000031</v>
      </c>
      <c r="D12" s="629">
        <v>296144.93850000034</v>
      </c>
      <c r="E12" s="629">
        <v>0</v>
      </c>
      <c r="F12" s="629">
        <v>337.13709999999998</v>
      </c>
      <c r="G12" s="629">
        <v>15.34</v>
      </c>
      <c r="H12" s="629">
        <v>6.08</v>
      </c>
      <c r="I12" s="629">
        <v>6037.7899000000134</v>
      </c>
      <c r="J12" s="629">
        <v>5922.8987700000125</v>
      </c>
      <c r="K12" s="629">
        <v>0</v>
      </c>
      <c r="L12" s="629">
        <v>101.14112999999999</v>
      </c>
      <c r="M12" s="629">
        <v>7.67</v>
      </c>
      <c r="N12" s="629">
        <v>6.08</v>
      </c>
      <c r="O12" s="590">
        <v>1047</v>
      </c>
      <c r="P12" s="630">
        <v>9.9297300639130115E-2</v>
      </c>
      <c r="Q12" s="630">
        <v>0.10397724938563958</v>
      </c>
      <c r="R12" s="630">
        <v>8.3272808794501024E-2</v>
      </c>
      <c r="S12" s="631">
        <v>6.7938768354853121</v>
      </c>
    </row>
    <row r="13" spans="1:19">
      <c r="A13" s="588">
        <v>7</v>
      </c>
      <c r="B13" s="591" t="s">
        <v>768</v>
      </c>
      <c r="C13" s="629">
        <v>16127581.879999997</v>
      </c>
      <c r="D13" s="629">
        <v>11878726.019999994</v>
      </c>
      <c r="E13" s="629">
        <v>869499.75</v>
      </c>
      <c r="F13" s="629">
        <v>3379356.11</v>
      </c>
      <c r="G13" s="629">
        <v>0</v>
      </c>
      <c r="H13" s="629">
        <v>0</v>
      </c>
      <c r="I13" s="629">
        <v>1336479.7596370003</v>
      </c>
      <c r="J13" s="629">
        <v>235722.94579400006</v>
      </c>
      <c r="K13" s="629">
        <v>86949.973723000003</v>
      </c>
      <c r="L13" s="629">
        <v>1013806.8401200001</v>
      </c>
      <c r="M13" s="629">
        <v>0</v>
      </c>
      <c r="N13" s="629">
        <v>0</v>
      </c>
      <c r="O13" s="590">
        <v>193</v>
      </c>
      <c r="P13" s="630">
        <v>9.7924482390654627E-2</v>
      </c>
      <c r="Q13" s="630">
        <v>0.10304066770763999</v>
      </c>
      <c r="R13" s="630">
        <v>9.1141104689279051E-2</v>
      </c>
      <c r="S13" s="631">
        <v>99.178518811337057</v>
      </c>
    </row>
    <row r="14" spans="1:19">
      <c r="A14" s="592">
        <v>7.1</v>
      </c>
      <c r="B14" s="593" t="s">
        <v>769</v>
      </c>
      <c r="C14" s="629">
        <v>12345335.799999997</v>
      </c>
      <c r="D14" s="629">
        <v>8677790.6499999929</v>
      </c>
      <c r="E14" s="629">
        <v>815110.65</v>
      </c>
      <c r="F14" s="629">
        <v>2852434.4999999995</v>
      </c>
      <c r="G14" s="629">
        <v>0</v>
      </c>
      <c r="H14" s="629">
        <v>0</v>
      </c>
      <c r="I14" s="629">
        <v>1108945.6572350003</v>
      </c>
      <c r="J14" s="629">
        <v>171704.23820000005</v>
      </c>
      <c r="K14" s="629">
        <v>81511.064165999996</v>
      </c>
      <c r="L14" s="629">
        <v>855730.35486900003</v>
      </c>
      <c r="M14" s="629">
        <v>0</v>
      </c>
      <c r="N14" s="629">
        <v>0</v>
      </c>
      <c r="O14" s="590">
        <v>120</v>
      </c>
      <c r="P14" s="630">
        <v>9.7628181022843152E-2</v>
      </c>
      <c r="Q14" s="630">
        <v>0.10271549051003814</v>
      </c>
      <c r="R14" s="630">
        <v>8.9171047975057954E-2</v>
      </c>
      <c r="S14" s="631">
        <v>98.948342461827295</v>
      </c>
    </row>
    <row r="15" spans="1:19">
      <c r="A15" s="592">
        <v>7.2</v>
      </c>
      <c r="B15" s="593" t="s">
        <v>770</v>
      </c>
      <c r="C15" s="629">
        <v>2995411.5200000005</v>
      </c>
      <c r="D15" s="629">
        <v>2486586.9800000004</v>
      </c>
      <c r="E15" s="629">
        <v>25048.53</v>
      </c>
      <c r="F15" s="629">
        <v>483776.01000000007</v>
      </c>
      <c r="G15" s="629">
        <v>0</v>
      </c>
      <c r="H15" s="629">
        <v>0</v>
      </c>
      <c r="I15" s="629">
        <v>197369.39662000007</v>
      </c>
      <c r="J15" s="629">
        <v>49731.739732999995</v>
      </c>
      <c r="K15" s="629">
        <v>2504.8525570000002</v>
      </c>
      <c r="L15" s="629">
        <v>145132.80433000001</v>
      </c>
      <c r="M15" s="629">
        <v>0</v>
      </c>
      <c r="N15" s="629">
        <v>0</v>
      </c>
      <c r="O15" s="590">
        <v>25</v>
      </c>
      <c r="P15" s="630">
        <v>0.10185801886595877</v>
      </c>
      <c r="Q15" s="630">
        <v>0.10735754405941514</v>
      </c>
      <c r="R15" s="630">
        <v>9.2353758164086891E-2</v>
      </c>
      <c r="S15" s="631">
        <v>109.34045659696292</v>
      </c>
    </row>
    <row r="16" spans="1:19">
      <c r="A16" s="592">
        <v>7.3</v>
      </c>
      <c r="B16" s="593" t="s">
        <v>771</v>
      </c>
      <c r="C16" s="629">
        <v>786834.55999999994</v>
      </c>
      <c r="D16" s="629">
        <v>714348.3899999999</v>
      </c>
      <c r="E16" s="629">
        <v>29340.57</v>
      </c>
      <c r="F16" s="629">
        <v>43145.599999999999</v>
      </c>
      <c r="G16" s="629">
        <v>0</v>
      </c>
      <c r="H16" s="629">
        <v>0</v>
      </c>
      <c r="I16" s="629">
        <v>30164.705781999997</v>
      </c>
      <c r="J16" s="629">
        <v>14286.967861000001</v>
      </c>
      <c r="K16" s="629">
        <v>2934.0569999999998</v>
      </c>
      <c r="L16" s="629">
        <v>12943.680921000001</v>
      </c>
      <c r="M16" s="629">
        <v>0</v>
      </c>
      <c r="N16" s="629">
        <v>0</v>
      </c>
      <c r="O16" s="590">
        <v>48</v>
      </c>
      <c r="P16" s="630">
        <v>0</v>
      </c>
      <c r="Q16" s="630">
        <v>0</v>
      </c>
      <c r="R16" s="630">
        <v>0.11743458052986389</v>
      </c>
      <c r="S16" s="631">
        <v>64.104333482376049</v>
      </c>
    </row>
    <row r="17" spans="1:19">
      <c r="A17" s="588">
        <v>8</v>
      </c>
      <c r="B17" s="591" t="s">
        <v>772</v>
      </c>
      <c r="C17" s="629">
        <v>0</v>
      </c>
      <c r="D17" s="629">
        <v>0</v>
      </c>
      <c r="E17" s="629">
        <v>0</v>
      </c>
      <c r="F17" s="629">
        <v>0</v>
      </c>
      <c r="G17" s="629">
        <v>0</v>
      </c>
      <c r="H17" s="629">
        <v>0</v>
      </c>
      <c r="I17" s="629">
        <v>0</v>
      </c>
      <c r="J17" s="629">
        <v>0</v>
      </c>
      <c r="K17" s="629">
        <v>0</v>
      </c>
      <c r="L17" s="629">
        <v>0</v>
      </c>
      <c r="M17" s="629">
        <v>0</v>
      </c>
      <c r="N17" s="629">
        <v>0</v>
      </c>
      <c r="O17" s="590">
        <v>0</v>
      </c>
      <c r="P17" s="630">
        <v>0</v>
      </c>
      <c r="Q17" s="630">
        <v>0</v>
      </c>
      <c r="R17" s="630">
        <v>0</v>
      </c>
      <c r="S17" s="631">
        <v>0</v>
      </c>
    </row>
    <row r="18" spans="1:19">
      <c r="A18" s="594">
        <v>9</v>
      </c>
      <c r="B18" s="595" t="s">
        <v>773</v>
      </c>
      <c r="C18" s="632">
        <v>0</v>
      </c>
      <c r="D18" s="632">
        <v>0</v>
      </c>
      <c r="E18" s="632">
        <v>0</v>
      </c>
      <c r="F18" s="632">
        <v>0</v>
      </c>
      <c r="G18" s="632">
        <v>0</v>
      </c>
      <c r="H18" s="632">
        <v>0</v>
      </c>
      <c r="I18" s="632">
        <v>0</v>
      </c>
      <c r="J18" s="632">
        <v>0</v>
      </c>
      <c r="K18" s="632">
        <v>0</v>
      </c>
      <c r="L18" s="632">
        <v>0</v>
      </c>
      <c r="M18" s="632">
        <v>0</v>
      </c>
      <c r="N18" s="632">
        <v>0</v>
      </c>
      <c r="O18" s="596">
        <v>0</v>
      </c>
      <c r="P18" s="633">
        <v>0</v>
      </c>
      <c r="Q18" s="633">
        <v>0</v>
      </c>
      <c r="R18" s="633">
        <v>0</v>
      </c>
      <c r="S18" s="634">
        <v>0</v>
      </c>
    </row>
    <row r="19" spans="1:19">
      <c r="A19" s="588">
        <v>10</v>
      </c>
      <c r="B19" s="597" t="s">
        <v>774</v>
      </c>
      <c r="C19" s="635">
        <v>27389215.836200003</v>
      </c>
      <c r="D19" s="635">
        <v>19799500.439099997</v>
      </c>
      <c r="E19" s="635">
        <v>1998350.94</v>
      </c>
      <c r="F19" s="635">
        <v>4867897.0270999996</v>
      </c>
      <c r="G19" s="635">
        <v>707849.04999999993</v>
      </c>
      <c r="H19" s="635">
        <v>15618.38</v>
      </c>
      <c r="I19" s="635">
        <v>2414369.0304579996</v>
      </c>
      <c r="J19" s="635">
        <v>384621.91900899995</v>
      </c>
      <c r="K19" s="635">
        <v>199835.09268100001</v>
      </c>
      <c r="L19" s="635">
        <v>1460369.1160320002</v>
      </c>
      <c r="M19" s="635">
        <v>353924.52273599996</v>
      </c>
      <c r="N19" s="635">
        <v>15618.38</v>
      </c>
      <c r="O19" s="636">
        <v>1641</v>
      </c>
      <c r="P19" s="637">
        <v>0.11329107451594024</v>
      </c>
      <c r="Q19" s="637">
        <v>0.11982733659399136</v>
      </c>
      <c r="R19" s="637">
        <v>9.5603028281268709E-2</v>
      </c>
      <c r="S19" s="638">
        <v>83.50813060923322</v>
      </c>
    </row>
    <row r="20" spans="1:19" ht="25.5">
      <c r="A20" s="592">
        <v>10.1</v>
      </c>
      <c r="B20" s="593" t="s">
        <v>775</v>
      </c>
      <c r="C20" s="590"/>
      <c r="D20" s="590"/>
      <c r="E20" s="590"/>
      <c r="F20" s="590"/>
      <c r="G20" s="590"/>
      <c r="H20" s="590"/>
      <c r="I20" s="590"/>
      <c r="J20" s="590"/>
      <c r="K20" s="590"/>
      <c r="L20" s="590"/>
      <c r="M20" s="590"/>
      <c r="N20" s="590"/>
      <c r="O20" s="590"/>
      <c r="P20" s="590"/>
      <c r="Q20" s="590"/>
      <c r="R20" s="590"/>
      <c r="S20" s="59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pane="topRight"/>
      <selection pane="bottomLeft"/>
      <selection pane="bottomRight"/>
    </sheetView>
  </sheetViews>
  <sheetFormatPr defaultColWidth="9.28515625" defaultRowHeight="14.25"/>
  <cols>
    <col min="1" max="1" width="9.5703125" style="4" bestFit="1" customWidth="1"/>
    <col min="2" max="2" width="55.28515625" style="4" bestFit="1" customWidth="1"/>
    <col min="3" max="3" width="13" style="4" customWidth="1"/>
    <col min="4" max="4" width="13.28515625" style="4" customWidth="1"/>
    <col min="5" max="5" width="14.5703125" style="4" customWidth="1"/>
    <col min="6" max="6" width="12.7109375" style="4" customWidth="1"/>
    <col min="7" max="7" width="13.7109375" style="4" customWidth="1"/>
    <col min="8" max="8" width="14.5703125" style="4" customWidth="1"/>
    <col min="9" max="16384" width="9.28515625" style="5"/>
  </cols>
  <sheetData>
    <row r="1" spans="1:8">
      <c r="A1" s="2" t="s">
        <v>30</v>
      </c>
      <c r="B1" s="4" t="str">
        <f>'Info '!C2</f>
        <v>JSC CARTU BANK</v>
      </c>
    </row>
    <row r="2" spans="1:8">
      <c r="A2" s="2" t="s">
        <v>31</v>
      </c>
      <c r="B2" s="371">
        <f>'1. key ratios '!B2</f>
        <v>44561</v>
      </c>
    </row>
    <row r="3" spans="1:8">
      <c r="A3" s="2"/>
    </row>
    <row r="4" spans="1:8" ht="15" thickBot="1">
      <c r="A4" s="3" t="s">
        <v>32</v>
      </c>
      <c r="B4" s="13" t="s">
        <v>33</v>
      </c>
      <c r="C4" s="3"/>
      <c r="D4" s="14"/>
      <c r="E4" s="14"/>
      <c r="F4" s="15"/>
      <c r="G4" s="15"/>
      <c r="H4" s="16" t="s">
        <v>73</v>
      </c>
    </row>
    <row r="5" spans="1:8">
      <c r="A5" s="17"/>
      <c r="B5" s="18"/>
      <c r="C5" s="642" t="s">
        <v>68</v>
      </c>
      <c r="D5" s="643"/>
      <c r="E5" s="644"/>
      <c r="F5" s="642" t="s">
        <v>72</v>
      </c>
      <c r="G5" s="643"/>
      <c r="H5" s="645"/>
    </row>
    <row r="6" spans="1:8">
      <c r="A6" s="19" t="s">
        <v>6</v>
      </c>
      <c r="B6" s="20" t="s">
        <v>34</v>
      </c>
      <c r="C6" s="21" t="s">
        <v>69</v>
      </c>
      <c r="D6" s="21" t="s">
        <v>70</v>
      </c>
      <c r="E6" s="21" t="s">
        <v>71</v>
      </c>
      <c r="F6" s="21" t="s">
        <v>69</v>
      </c>
      <c r="G6" s="21" t="s">
        <v>70</v>
      </c>
      <c r="H6" s="22" t="s">
        <v>71</v>
      </c>
    </row>
    <row r="7" spans="1:8" ht="15.75">
      <c r="A7" s="19">
        <v>1</v>
      </c>
      <c r="B7" s="23" t="s">
        <v>35</v>
      </c>
      <c r="C7" s="481">
        <v>9360386</v>
      </c>
      <c r="D7" s="481">
        <v>17626041</v>
      </c>
      <c r="E7" s="482">
        <f>C7+D7</f>
        <v>26986427</v>
      </c>
      <c r="F7" s="483">
        <v>9417645</v>
      </c>
      <c r="G7" s="484">
        <v>18059764</v>
      </c>
      <c r="H7" s="485">
        <f>F7+G7</f>
        <v>27477409</v>
      </c>
    </row>
    <row r="8" spans="1:8" ht="15.75">
      <c r="A8" s="19">
        <v>2</v>
      </c>
      <c r="B8" s="23" t="s">
        <v>36</v>
      </c>
      <c r="C8" s="481">
        <v>1664881</v>
      </c>
      <c r="D8" s="481">
        <v>202242638</v>
      </c>
      <c r="E8" s="482">
        <f t="shared" ref="E8:E20" si="0">C8+D8</f>
        <v>203907519</v>
      </c>
      <c r="F8" s="483">
        <v>12937606</v>
      </c>
      <c r="G8" s="484">
        <v>206114591</v>
      </c>
      <c r="H8" s="485">
        <f t="shared" ref="H8:H40" si="1">F8+G8</f>
        <v>219052197</v>
      </c>
    </row>
    <row r="9" spans="1:8" ht="15.75">
      <c r="A9" s="19">
        <v>3</v>
      </c>
      <c r="B9" s="23" t="s">
        <v>37</v>
      </c>
      <c r="C9" s="481">
        <v>18663689</v>
      </c>
      <c r="D9" s="481">
        <v>35278627</v>
      </c>
      <c r="E9" s="482">
        <f t="shared" si="0"/>
        <v>53942316</v>
      </c>
      <c r="F9" s="483">
        <v>8587702</v>
      </c>
      <c r="G9" s="484">
        <v>94207886</v>
      </c>
      <c r="H9" s="485">
        <f t="shared" si="1"/>
        <v>102795588</v>
      </c>
    </row>
    <row r="10" spans="1:8" ht="15.75">
      <c r="A10" s="19">
        <v>4</v>
      </c>
      <c r="B10" s="23" t="s">
        <v>38</v>
      </c>
      <c r="C10" s="481">
        <v>0</v>
      </c>
      <c r="D10" s="481">
        <v>0</v>
      </c>
      <c r="E10" s="482">
        <f t="shared" si="0"/>
        <v>0</v>
      </c>
      <c r="F10" s="483">
        <v>0</v>
      </c>
      <c r="G10" s="484">
        <v>0</v>
      </c>
      <c r="H10" s="485">
        <f t="shared" si="1"/>
        <v>0</v>
      </c>
    </row>
    <row r="11" spans="1:8" ht="15.75">
      <c r="A11" s="19">
        <v>5</v>
      </c>
      <c r="B11" s="23" t="s">
        <v>39</v>
      </c>
      <c r="C11" s="481">
        <v>34474340</v>
      </c>
      <c r="D11" s="481">
        <v>15178240</v>
      </c>
      <c r="E11" s="482">
        <f t="shared" si="0"/>
        <v>49652580</v>
      </c>
      <c r="F11" s="483">
        <v>44713273</v>
      </c>
      <c r="G11" s="484">
        <v>16055340</v>
      </c>
      <c r="H11" s="485">
        <f t="shared" si="1"/>
        <v>60768613</v>
      </c>
    </row>
    <row r="12" spans="1:8" ht="15.75">
      <c r="A12" s="19">
        <v>6.1</v>
      </c>
      <c r="B12" s="24" t="s">
        <v>40</v>
      </c>
      <c r="C12" s="481">
        <v>343177576</v>
      </c>
      <c r="D12" s="481">
        <v>621991281</v>
      </c>
      <c r="E12" s="482">
        <f t="shared" si="0"/>
        <v>965168857</v>
      </c>
      <c r="F12" s="483">
        <v>368935070</v>
      </c>
      <c r="G12" s="484">
        <v>720960509</v>
      </c>
      <c r="H12" s="485">
        <f t="shared" si="1"/>
        <v>1089895579</v>
      </c>
    </row>
    <row r="13" spans="1:8" ht="15.75">
      <c r="A13" s="19">
        <v>6.2</v>
      </c>
      <c r="B13" s="24" t="s">
        <v>41</v>
      </c>
      <c r="C13" s="481">
        <v>-60716934</v>
      </c>
      <c r="D13" s="481">
        <v>-98448858</v>
      </c>
      <c r="E13" s="482">
        <f t="shared" si="0"/>
        <v>-159165792</v>
      </c>
      <c r="F13" s="483">
        <v>-61588717</v>
      </c>
      <c r="G13" s="484">
        <v>-113905816</v>
      </c>
      <c r="H13" s="485">
        <f t="shared" si="1"/>
        <v>-175494533</v>
      </c>
    </row>
    <row r="14" spans="1:8" ht="15.75">
      <c r="A14" s="19">
        <v>6</v>
      </c>
      <c r="B14" s="23" t="s">
        <v>42</v>
      </c>
      <c r="C14" s="482">
        <f>C12+C13</f>
        <v>282460642</v>
      </c>
      <c r="D14" s="482">
        <f>D12+D13</f>
        <v>523542423</v>
      </c>
      <c r="E14" s="482">
        <f t="shared" si="0"/>
        <v>806003065</v>
      </c>
      <c r="F14" s="482">
        <f>F12+F13</f>
        <v>307346353</v>
      </c>
      <c r="G14" s="482">
        <f>G12+G13</f>
        <v>607054693</v>
      </c>
      <c r="H14" s="485">
        <f t="shared" si="1"/>
        <v>914401046</v>
      </c>
    </row>
    <row r="15" spans="1:8" ht="15.75">
      <c r="A15" s="19">
        <v>7</v>
      </c>
      <c r="B15" s="23" t="s">
        <v>43</v>
      </c>
      <c r="C15" s="481">
        <v>13679325</v>
      </c>
      <c r="D15" s="481">
        <v>6457357</v>
      </c>
      <c r="E15" s="482">
        <f t="shared" si="0"/>
        <v>20136682</v>
      </c>
      <c r="F15" s="483">
        <v>9268391</v>
      </c>
      <c r="G15" s="484">
        <v>4844116</v>
      </c>
      <c r="H15" s="485">
        <f t="shared" si="1"/>
        <v>14112507</v>
      </c>
    </row>
    <row r="16" spans="1:8" ht="15.75">
      <c r="A16" s="19">
        <v>8</v>
      </c>
      <c r="B16" s="23" t="s">
        <v>199</v>
      </c>
      <c r="C16" s="481">
        <v>15691955</v>
      </c>
      <c r="D16" s="481" t="s">
        <v>777</v>
      </c>
      <c r="E16" s="482">
        <f>C16</f>
        <v>15691955</v>
      </c>
      <c r="F16" s="483">
        <v>4800318</v>
      </c>
      <c r="G16" s="484" t="s">
        <v>777</v>
      </c>
      <c r="H16" s="485">
        <f t="shared" ref="H16:H18" si="2">F16</f>
        <v>4800318</v>
      </c>
    </row>
    <row r="17" spans="1:8" ht="15.75">
      <c r="A17" s="19">
        <v>9</v>
      </c>
      <c r="B17" s="23" t="s">
        <v>44</v>
      </c>
      <c r="C17" s="481">
        <v>7793239</v>
      </c>
      <c r="D17" s="481">
        <v>0</v>
      </c>
      <c r="E17" s="482">
        <f t="shared" si="0"/>
        <v>7793239</v>
      </c>
      <c r="F17" s="483">
        <v>7793239</v>
      </c>
      <c r="G17" s="484">
        <v>0</v>
      </c>
      <c r="H17" s="485">
        <f t="shared" si="1"/>
        <v>7793239</v>
      </c>
    </row>
    <row r="18" spans="1:8" ht="15.75">
      <c r="A18" s="19">
        <v>10</v>
      </c>
      <c r="B18" s="23" t="s">
        <v>45</v>
      </c>
      <c r="C18" s="481">
        <v>20363424</v>
      </c>
      <c r="D18" s="481" t="s">
        <v>777</v>
      </c>
      <c r="E18" s="482">
        <f>C18</f>
        <v>20363424</v>
      </c>
      <c r="F18" s="483">
        <v>20632920</v>
      </c>
      <c r="G18" s="484" t="s">
        <v>777</v>
      </c>
      <c r="H18" s="485">
        <f t="shared" si="2"/>
        <v>20632920</v>
      </c>
    </row>
    <row r="19" spans="1:8" ht="15.75">
      <c r="A19" s="19">
        <v>11</v>
      </c>
      <c r="B19" s="23" t="s">
        <v>46</v>
      </c>
      <c r="C19" s="481">
        <v>17320900</v>
      </c>
      <c r="D19" s="481">
        <v>2093200</v>
      </c>
      <c r="E19" s="482">
        <f t="shared" si="0"/>
        <v>19414100</v>
      </c>
      <c r="F19" s="483">
        <v>33748537</v>
      </c>
      <c r="G19" s="484">
        <v>695015</v>
      </c>
      <c r="H19" s="485">
        <f t="shared" si="1"/>
        <v>34443552</v>
      </c>
    </row>
    <row r="20" spans="1:8" ht="15.75">
      <c r="A20" s="19">
        <v>12</v>
      </c>
      <c r="B20" s="26" t="s">
        <v>47</v>
      </c>
      <c r="C20" s="482">
        <f>SUM(C7:C11)+SUM(C14:C19)</f>
        <v>421472781</v>
      </c>
      <c r="D20" s="482">
        <f>SUM(D7:D11)+SUM(D14:D19)</f>
        <v>802418526</v>
      </c>
      <c r="E20" s="482">
        <f t="shared" si="0"/>
        <v>1223891307</v>
      </c>
      <c r="F20" s="482">
        <f>SUM(F7:F11)+SUM(F14:F19)</f>
        <v>459245984</v>
      </c>
      <c r="G20" s="482">
        <f>SUM(G7:G11)+SUM(G14:G19)</f>
        <v>947031405</v>
      </c>
      <c r="H20" s="485">
        <f t="shared" si="1"/>
        <v>1406277389</v>
      </c>
    </row>
    <row r="21" spans="1:8" ht="15.75">
      <c r="A21" s="19"/>
      <c r="B21" s="20" t="s">
        <v>48</v>
      </c>
      <c r="C21" s="486" t="s">
        <v>715</v>
      </c>
      <c r="D21" s="486"/>
      <c r="E21" s="486"/>
      <c r="F21" s="487" t="s">
        <v>715</v>
      </c>
      <c r="G21" s="488"/>
      <c r="H21" s="489"/>
    </row>
    <row r="22" spans="1:8" ht="15.75">
      <c r="A22" s="19">
        <v>13</v>
      </c>
      <c r="B22" s="23" t="s">
        <v>49</v>
      </c>
      <c r="C22" s="481">
        <v>53500</v>
      </c>
      <c r="D22" s="481">
        <v>108783</v>
      </c>
      <c r="E22" s="482">
        <f>C22+D22</f>
        <v>162283</v>
      </c>
      <c r="F22" s="483">
        <v>50867</v>
      </c>
      <c r="G22" s="484">
        <v>113456</v>
      </c>
      <c r="H22" s="485">
        <f t="shared" si="1"/>
        <v>164323</v>
      </c>
    </row>
    <row r="23" spans="1:8" ht="15.75">
      <c r="A23" s="19">
        <v>14</v>
      </c>
      <c r="B23" s="23" t="s">
        <v>50</v>
      </c>
      <c r="C23" s="481">
        <v>42721323</v>
      </c>
      <c r="D23" s="481">
        <v>274656163</v>
      </c>
      <c r="E23" s="482">
        <f t="shared" ref="E23:E30" si="3">C23+D23</f>
        <v>317377486</v>
      </c>
      <c r="F23" s="483">
        <v>54435707</v>
      </c>
      <c r="G23" s="484">
        <v>319294019</v>
      </c>
      <c r="H23" s="485">
        <f t="shared" si="1"/>
        <v>373729726</v>
      </c>
    </row>
    <row r="24" spans="1:8" ht="15.75">
      <c r="A24" s="19">
        <v>15</v>
      </c>
      <c r="B24" s="23" t="s">
        <v>51</v>
      </c>
      <c r="C24" s="481">
        <v>16637124</v>
      </c>
      <c r="D24" s="481">
        <v>42153984</v>
      </c>
      <c r="E24" s="482">
        <f t="shared" si="3"/>
        <v>58791108</v>
      </c>
      <c r="F24" s="483">
        <v>14801176</v>
      </c>
      <c r="G24" s="484">
        <v>57357879</v>
      </c>
      <c r="H24" s="485">
        <f t="shared" si="1"/>
        <v>72159055</v>
      </c>
    </row>
    <row r="25" spans="1:8" ht="15.75">
      <c r="A25" s="19">
        <v>16</v>
      </c>
      <c r="B25" s="23" t="s">
        <v>52</v>
      </c>
      <c r="C25" s="481">
        <v>82343244</v>
      </c>
      <c r="D25" s="481">
        <v>415813357</v>
      </c>
      <c r="E25" s="482">
        <f t="shared" si="3"/>
        <v>498156601</v>
      </c>
      <c r="F25" s="483">
        <v>74147951</v>
      </c>
      <c r="G25" s="484">
        <v>455234280</v>
      </c>
      <c r="H25" s="485">
        <f t="shared" si="1"/>
        <v>529382231</v>
      </c>
    </row>
    <row r="26" spans="1:8" ht="15.75">
      <c r="A26" s="19">
        <v>17</v>
      </c>
      <c r="B26" s="23" t="s">
        <v>53</v>
      </c>
      <c r="C26" s="486"/>
      <c r="D26" s="486"/>
      <c r="E26" s="482">
        <f t="shared" si="3"/>
        <v>0</v>
      </c>
      <c r="F26" s="487"/>
      <c r="G26" s="488"/>
      <c r="H26" s="485">
        <f t="shared" si="1"/>
        <v>0</v>
      </c>
    </row>
    <row r="27" spans="1:8" ht="15.75">
      <c r="A27" s="19">
        <v>18</v>
      </c>
      <c r="B27" s="23" t="s">
        <v>54</v>
      </c>
      <c r="C27" s="481">
        <v>0</v>
      </c>
      <c r="D27" s="481">
        <v>0</v>
      </c>
      <c r="E27" s="482">
        <f t="shared" si="3"/>
        <v>0</v>
      </c>
      <c r="F27" s="483">
        <v>0</v>
      </c>
      <c r="G27" s="484">
        <v>0</v>
      </c>
      <c r="H27" s="485">
        <f t="shared" si="1"/>
        <v>0</v>
      </c>
    </row>
    <row r="28" spans="1:8" ht="15.75">
      <c r="A28" s="19">
        <v>19</v>
      </c>
      <c r="B28" s="23" t="s">
        <v>55</v>
      </c>
      <c r="C28" s="481">
        <v>6539409</v>
      </c>
      <c r="D28" s="481">
        <v>7307914</v>
      </c>
      <c r="E28" s="482">
        <f t="shared" si="3"/>
        <v>13847323</v>
      </c>
      <c r="F28" s="483">
        <v>3113621</v>
      </c>
      <c r="G28" s="484">
        <v>9792586</v>
      </c>
      <c r="H28" s="485">
        <f t="shared" si="1"/>
        <v>12906207</v>
      </c>
    </row>
    <row r="29" spans="1:8" ht="15.75">
      <c r="A29" s="19">
        <v>20</v>
      </c>
      <c r="B29" s="23" t="s">
        <v>56</v>
      </c>
      <c r="C29" s="481">
        <v>11241960</v>
      </c>
      <c r="D29" s="481">
        <v>10365108</v>
      </c>
      <c r="E29" s="482">
        <f t="shared" si="3"/>
        <v>21607068</v>
      </c>
      <c r="F29" s="483">
        <v>20383835</v>
      </c>
      <c r="G29" s="484">
        <v>3107659</v>
      </c>
      <c r="H29" s="485">
        <f t="shared" si="1"/>
        <v>23491494</v>
      </c>
    </row>
    <row r="30" spans="1:8" ht="15.75">
      <c r="A30" s="19">
        <v>21</v>
      </c>
      <c r="B30" s="23" t="s">
        <v>57</v>
      </c>
      <c r="C30" s="481">
        <v>0</v>
      </c>
      <c r="D30" s="481">
        <v>120806400</v>
      </c>
      <c r="E30" s="482">
        <f t="shared" si="3"/>
        <v>120806400</v>
      </c>
      <c r="F30" s="483">
        <v>0</v>
      </c>
      <c r="G30" s="484">
        <v>214944960</v>
      </c>
      <c r="H30" s="485">
        <f t="shared" si="1"/>
        <v>214944960</v>
      </c>
    </row>
    <row r="31" spans="1:8" ht="15.75">
      <c r="A31" s="19">
        <v>22</v>
      </c>
      <c r="B31" s="26" t="s">
        <v>58</v>
      </c>
      <c r="C31" s="482">
        <f>SUM(C22:C30)</f>
        <v>159536560</v>
      </c>
      <c r="D31" s="482">
        <f>SUM(D22:D30)</f>
        <v>871211709</v>
      </c>
      <c r="E31" s="482">
        <f>C31+D31</f>
        <v>1030748269</v>
      </c>
      <c r="F31" s="482">
        <f>SUM(F22:F30)</f>
        <v>166933157</v>
      </c>
      <c r="G31" s="482">
        <f>SUM(G22:G30)</f>
        <v>1059844839</v>
      </c>
      <c r="H31" s="485">
        <f t="shared" si="1"/>
        <v>1226777996</v>
      </c>
    </row>
    <row r="32" spans="1:8" ht="15.75">
      <c r="A32" s="19"/>
      <c r="B32" s="20" t="s">
        <v>59</v>
      </c>
      <c r="C32" s="486"/>
      <c r="D32" s="486"/>
      <c r="E32" s="481"/>
      <c r="F32" s="487"/>
      <c r="G32" s="488"/>
      <c r="H32" s="489"/>
    </row>
    <row r="33" spans="1:8" ht="15.75">
      <c r="A33" s="19">
        <v>23</v>
      </c>
      <c r="B33" s="23" t="s">
        <v>60</v>
      </c>
      <c r="C33" s="481">
        <v>114430000</v>
      </c>
      <c r="D33" s="486"/>
      <c r="E33" s="482">
        <f>C33</f>
        <v>114430000</v>
      </c>
      <c r="F33" s="483">
        <v>114430000</v>
      </c>
      <c r="G33" s="488"/>
      <c r="H33" s="485">
        <f t="shared" si="1"/>
        <v>114430000</v>
      </c>
    </row>
    <row r="34" spans="1:8" ht="15.75">
      <c r="A34" s="19">
        <v>24</v>
      </c>
      <c r="B34" s="23" t="s">
        <v>61</v>
      </c>
      <c r="C34" s="481">
        <v>0</v>
      </c>
      <c r="D34" s="486"/>
      <c r="E34" s="482">
        <f t="shared" ref="E34:E40" si="4">C34</f>
        <v>0</v>
      </c>
      <c r="F34" s="483">
        <v>0</v>
      </c>
      <c r="G34" s="488"/>
      <c r="H34" s="485">
        <f t="shared" si="1"/>
        <v>0</v>
      </c>
    </row>
    <row r="35" spans="1:8" ht="15.75">
      <c r="A35" s="19">
        <v>25</v>
      </c>
      <c r="B35" s="25" t="s">
        <v>62</v>
      </c>
      <c r="C35" s="481">
        <v>0</v>
      </c>
      <c r="D35" s="486"/>
      <c r="E35" s="482">
        <f t="shared" si="4"/>
        <v>0</v>
      </c>
      <c r="F35" s="483">
        <v>0</v>
      </c>
      <c r="G35" s="488"/>
      <c r="H35" s="485">
        <f t="shared" si="1"/>
        <v>0</v>
      </c>
    </row>
    <row r="36" spans="1:8" ht="15.75">
      <c r="A36" s="19">
        <v>26</v>
      </c>
      <c r="B36" s="23" t="s">
        <v>63</v>
      </c>
      <c r="C36" s="481">
        <v>0</v>
      </c>
      <c r="D36" s="486"/>
      <c r="E36" s="482">
        <f t="shared" si="4"/>
        <v>0</v>
      </c>
      <c r="F36" s="483">
        <v>0</v>
      </c>
      <c r="G36" s="488"/>
      <c r="H36" s="485">
        <f t="shared" si="1"/>
        <v>0</v>
      </c>
    </row>
    <row r="37" spans="1:8" ht="15.75">
      <c r="A37" s="19">
        <v>27</v>
      </c>
      <c r="B37" s="23" t="s">
        <v>64</v>
      </c>
      <c r="C37" s="481">
        <v>7438034</v>
      </c>
      <c r="D37" s="486"/>
      <c r="E37" s="482">
        <f t="shared" si="4"/>
        <v>7438034</v>
      </c>
      <c r="F37" s="483">
        <v>7438034</v>
      </c>
      <c r="G37" s="488"/>
      <c r="H37" s="485">
        <f t="shared" si="1"/>
        <v>7438034</v>
      </c>
    </row>
    <row r="38" spans="1:8" ht="15.75">
      <c r="A38" s="19">
        <v>28</v>
      </c>
      <c r="B38" s="23" t="s">
        <v>65</v>
      </c>
      <c r="C38" s="481">
        <v>71407664</v>
      </c>
      <c r="D38" s="486"/>
      <c r="E38" s="482">
        <f t="shared" si="4"/>
        <v>71407664</v>
      </c>
      <c r="F38" s="483">
        <v>57389169</v>
      </c>
      <c r="G38" s="488"/>
      <c r="H38" s="485">
        <f t="shared" si="1"/>
        <v>57389169</v>
      </c>
    </row>
    <row r="39" spans="1:8" ht="15.75">
      <c r="A39" s="19">
        <v>29</v>
      </c>
      <c r="B39" s="23" t="s">
        <v>66</v>
      </c>
      <c r="C39" s="481">
        <v>-132660</v>
      </c>
      <c r="D39" s="486"/>
      <c r="E39" s="482">
        <f t="shared" si="4"/>
        <v>-132660</v>
      </c>
      <c r="F39" s="483">
        <v>242190</v>
      </c>
      <c r="G39" s="488"/>
      <c r="H39" s="485">
        <f t="shared" si="1"/>
        <v>242190</v>
      </c>
    </row>
    <row r="40" spans="1:8" ht="15.75">
      <c r="A40" s="19">
        <v>30</v>
      </c>
      <c r="B40" s="244" t="s">
        <v>266</v>
      </c>
      <c r="C40" s="481">
        <v>193143038</v>
      </c>
      <c r="D40" s="486"/>
      <c r="E40" s="482">
        <f t="shared" si="4"/>
        <v>193143038</v>
      </c>
      <c r="F40" s="483">
        <v>179499393</v>
      </c>
      <c r="G40" s="488"/>
      <c r="H40" s="485">
        <f t="shared" si="1"/>
        <v>179499393</v>
      </c>
    </row>
    <row r="41" spans="1:8" ht="15" thickBot="1">
      <c r="A41" s="27">
        <v>31</v>
      </c>
      <c r="B41" s="28" t="s">
        <v>67</v>
      </c>
      <c r="C41" s="29">
        <f>C31+C40</f>
        <v>352679598</v>
      </c>
      <c r="D41" s="29">
        <f>D31+D40</f>
        <v>871211709</v>
      </c>
      <c r="E41" s="29">
        <f>C41+D41</f>
        <v>1223891307</v>
      </c>
      <c r="F41" s="29">
        <f>F31+F40</f>
        <v>346432550</v>
      </c>
      <c r="G41" s="29">
        <f>G31+G40</f>
        <v>1059844839</v>
      </c>
      <c r="H41" s="490">
        <f>F41+G41</f>
        <v>1406277389</v>
      </c>
    </row>
    <row r="43" spans="1:8">
      <c r="B43" s="30"/>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49"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CARTU BANK</v>
      </c>
      <c r="C1" s="3"/>
    </row>
    <row r="2" spans="1:8">
      <c r="A2" s="2" t="s">
        <v>31</v>
      </c>
      <c r="B2" s="370">
        <f>'1. key ratios '!B2</f>
        <v>44561</v>
      </c>
      <c r="C2" s="370"/>
    </row>
    <row r="3" spans="1:8">
      <c r="A3" s="2"/>
      <c r="B3" s="3"/>
      <c r="C3" s="3"/>
    </row>
    <row r="4" spans="1:8" ht="13.5" thickBot="1">
      <c r="A4" s="3" t="s">
        <v>195</v>
      </c>
      <c r="B4" s="203" t="s">
        <v>22</v>
      </c>
      <c r="C4" s="3"/>
      <c r="D4" s="14"/>
      <c r="E4" s="14"/>
      <c r="F4" s="15"/>
      <c r="G4" s="15"/>
      <c r="H4" s="32" t="s">
        <v>73</v>
      </c>
    </row>
    <row r="5" spans="1:8">
      <c r="A5" s="33" t="s">
        <v>6</v>
      </c>
      <c r="B5" s="34"/>
      <c r="C5" s="642" t="s">
        <v>68</v>
      </c>
      <c r="D5" s="643"/>
      <c r="E5" s="644"/>
      <c r="F5" s="642" t="s">
        <v>72</v>
      </c>
      <c r="G5" s="643"/>
      <c r="H5" s="645"/>
    </row>
    <row r="6" spans="1:8">
      <c r="A6" s="35" t="s">
        <v>6</v>
      </c>
      <c r="B6" s="36"/>
      <c r="C6" s="21" t="s">
        <v>69</v>
      </c>
      <c r="D6" s="21" t="s">
        <v>70</v>
      </c>
      <c r="E6" s="21" t="s">
        <v>71</v>
      </c>
      <c r="F6" s="21" t="s">
        <v>69</v>
      </c>
      <c r="G6" s="21" t="s">
        <v>70</v>
      </c>
      <c r="H6" s="22" t="s">
        <v>71</v>
      </c>
    </row>
    <row r="7" spans="1:8">
      <c r="A7" s="19"/>
      <c r="B7" s="203" t="s">
        <v>194</v>
      </c>
      <c r="C7" s="37"/>
      <c r="D7" s="37"/>
      <c r="E7" s="37"/>
      <c r="F7" s="37"/>
      <c r="G7" s="37"/>
      <c r="H7" s="38"/>
    </row>
    <row r="8" spans="1:8" ht="15">
      <c r="A8" s="19">
        <v>1</v>
      </c>
      <c r="B8" s="39" t="s">
        <v>193</v>
      </c>
      <c r="C8" s="600">
        <v>2115958</v>
      </c>
      <c r="D8" s="600">
        <v>-575910</v>
      </c>
      <c r="E8" s="601">
        <f>C8+D8</f>
        <v>1540048</v>
      </c>
      <c r="F8" s="600">
        <v>1282963</v>
      </c>
      <c r="G8" s="600">
        <v>106465</v>
      </c>
      <c r="H8" s="602">
        <f>F8+G8</f>
        <v>1389428</v>
      </c>
    </row>
    <row r="9" spans="1:8" ht="15">
      <c r="A9" s="19">
        <v>2</v>
      </c>
      <c r="B9" s="39" t="s">
        <v>192</v>
      </c>
      <c r="C9" s="603">
        <f>SUM(C10:C18)</f>
        <v>29120719</v>
      </c>
      <c r="D9" s="603">
        <f>SUM(D10:D18)</f>
        <v>47277553</v>
      </c>
      <c r="E9" s="601">
        <f t="shared" ref="E9:E67" si="0">C9+D9</f>
        <v>76398272</v>
      </c>
      <c r="F9" s="603">
        <f>SUM(F10:F18)</f>
        <v>28481715</v>
      </c>
      <c r="G9" s="603">
        <f>SUM(G10:G18)</f>
        <v>42194974</v>
      </c>
      <c r="H9" s="602">
        <f t="shared" ref="H9:H67" si="1">F9+G9</f>
        <v>70676689</v>
      </c>
    </row>
    <row r="10" spans="1:8" ht="15">
      <c r="A10" s="19">
        <v>2.1</v>
      </c>
      <c r="B10" s="40" t="s">
        <v>191</v>
      </c>
      <c r="C10" s="600">
        <v>0</v>
      </c>
      <c r="D10" s="600">
        <v>0</v>
      </c>
      <c r="E10" s="601">
        <f t="shared" si="0"/>
        <v>0</v>
      </c>
      <c r="F10" s="600">
        <v>0</v>
      </c>
      <c r="G10" s="600">
        <v>0</v>
      </c>
      <c r="H10" s="602">
        <f t="shared" si="1"/>
        <v>0</v>
      </c>
    </row>
    <row r="11" spans="1:8" ht="15">
      <c r="A11" s="19">
        <v>2.2000000000000002</v>
      </c>
      <c r="B11" s="40" t="s">
        <v>190</v>
      </c>
      <c r="C11" s="600">
        <v>12690353.439999999</v>
      </c>
      <c r="D11" s="600">
        <v>16600942.050000001</v>
      </c>
      <c r="E11" s="601">
        <f t="shared" si="0"/>
        <v>29291295.490000002</v>
      </c>
      <c r="F11" s="600">
        <v>12467020.240000002</v>
      </c>
      <c r="G11" s="600">
        <v>15521749.790000001</v>
      </c>
      <c r="H11" s="602">
        <f t="shared" si="1"/>
        <v>27988770.030000001</v>
      </c>
    </row>
    <row r="12" spans="1:8" ht="15">
      <c r="A12" s="19">
        <v>2.2999999999999998</v>
      </c>
      <c r="B12" s="40" t="s">
        <v>189</v>
      </c>
      <c r="C12" s="600">
        <v>0</v>
      </c>
      <c r="D12" s="600">
        <v>18247.32</v>
      </c>
      <c r="E12" s="601">
        <f t="shared" si="0"/>
        <v>18247.32</v>
      </c>
      <c r="F12" s="600">
        <v>111.56</v>
      </c>
      <c r="G12" s="600">
        <v>657477.55999999994</v>
      </c>
      <c r="H12" s="602">
        <f t="shared" si="1"/>
        <v>657589.12</v>
      </c>
    </row>
    <row r="13" spans="1:8" ht="15">
      <c r="A13" s="19">
        <v>2.4</v>
      </c>
      <c r="B13" s="40" t="s">
        <v>188</v>
      </c>
      <c r="C13" s="600">
        <v>1412676.31</v>
      </c>
      <c r="D13" s="600">
        <v>3431039.7200000007</v>
      </c>
      <c r="E13" s="601">
        <f t="shared" si="0"/>
        <v>4843716.0300000012</v>
      </c>
      <c r="F13" s="600">
        <v>1878533.9100000001</v>
      </c>
      <c r="G13" s="600">
        <v>2200749.31</v>
      </c>
      <c r="H13" s="602">
        <f t="shared" si="1"/>
        <v>4079283.22</v>
      </c>
    </row>
    <row r="14" spans="1:8" ht="15">
      <c r="A14" s="19">
        <v>2.5</v>
      </c>
      <c r="B14" s="40" t="s">
        <v>187</v>
      </c>
      <c r="C14" s="600">
        <v>4933885.05</v>
      </c>
      <c r="D14" s="600">
        <v>6601877.1899999995</v>
      </c>
      <c r="E14" s="601">
        <f t="shared" si="0"/>
        <v>11535762.239999998</v>
      </c>
      <c r="F14" s="600">
        <v>4829485.18</v>
      </c>
      <c r="G14" s="600">
        <v>5890724.0999999996</v>
      </c>
      <c r="H14" s="602">
        <f t="shared" si="1"/>
        <v>10720209.279999999</v>
      </c>
    </row>
    <row r="15" spans="1:8" ht="15">
      <c r="A15" s="19">
        <v>2.6</v>
      </c>
      <c r="B15" s="40" t="s">
        <v>186</v>
      </c>
      <c r="C15" s="600">
        <v>6235380.9900000002</v>
      </c>
      <c r="D15" s="600">
        <v>4442201.9400000004</v>
      </c>
      <c r="E15" s="601">
        <f t="shared" si="0"/>
        <v>10677582.93</v>
      </c>
      <c r="F15" s="600">
        <v>5038133.959999999</v>
      </c>
      <c r="G15" s="600">
        <v>3865493.1100000003</v>
      </c>
      <c r="H15" s="602">
        <f t="shared" si="1"/>
        <v>8903627.0700000003</v>
      </c>
    </row>
    <row r="16" spans="1:8" ht="15">
      <c r="A16" s="19">
        <v>2.7</v>
      </c>
      <c r="B16" s="40" t="s">
        <v>185</v>
      </c>
      <c r="C16" s="600">
        <v>5437.37</v>
      </c>
      <c r="D16" s="600">
        <v>194791.34000000003</v>
      </c>
      <c r="E16" s="601">
        <f t="shared" si="0"/>
        <v>200228.71000000002</v>
      </c>
      <c r="F16" s="600">
        <v>8322.5499999999993</v>
      </c>
      <c r="G16" s="600">
        <v>13240.310000000001</v>
      </c>
      <c r="H16" s="602">
        <f t="shared" si="1"/>
        <v>21562.86</v>
      </c>
    </row>
    <row r="17" spans="1:8" ht="15">
      <c r="A17" s="19">
        <v>2.8</v>
      </c>
      <c r="B17" s="40" t="s">
        <v>184</v>
      </c>
      <c r="C17" s="600">
        <v>1568708</v>
      </c>
      <c r="D17" s="600">
        <v>3177965</v>
      </c>
      <c r="E17" s="601">
        <f t="shared" si="0"/>
        <v>4746673</v>
      </c>
      <c r="F17" s="600">
        <v>1050003</v>
      </c>
      <c r="G17" s="600">
        <v>3725940</v>
      </c>
      <c r="H17" s="602">
        <f t="shared" si="1"/>
        <v>4775943</v>
      </c>
    </row>
    <row r="18" spans="1:8" ht="15">
      <c r="A18" s="19">
        <v>2.9</v>
      </c>
      <c r="B18" s="40" t="s">
        <v>183</v>
      </c>
      <c r="C18" s="600">
        <v>2274277.84</v>
      </c>
      <c r="D18" s="600">
        <v>12810488.439999998</v>
      </c>
      <c r="E18" s="601">
        <f t="shared" si="0"/>
        <v>15084766.279999997</v>
      </c>
      <c r="F18" s="600">
        <v>3210104.5999999978</v>
      </c>
      <c r="G18" s="600">
        <v>10319599.820000004</v>
      </c>
      <c r="H18" s="602">
        <f t="shared" si="1"/>
        <v>13529704.420000002</v>
      </c>
    </row>
    <row r="19" spans="1:8" ht="15">
      <c r="A19" s="19">
        <v>3</v>
      </c>
      <c r="B19" s="39" t="s">
        <v>182</v>
      </c>
      <c r="C19" s="600">
        <v>903397</v>
      </c>
      <c r="D19" s="600">
        <v>3311859</v>
      </c>
      <c r="E19" s="601">
        <f t="shared" si="0"/>
        <v>4215256</v>
      </c>
      <c r="F19" s="600">
        <v>523020</v>
      </c>
      <c r="G19" s="600">
        <v>1647076</v>
      </c>
      <c r="H19" s="602">
        <f t="shared" si="1"/>
        <v>2170096</v>
      </c>
    </row>
    <row r="20" spans="1:8" ht="15">
      <c r="A20" s="19">
        <v>4</v>
      </c>
      <c r="B20" s="39" t="s">
        <v>181</v>
      </c>
      <c r="C20" s="600">
        <v>521011</v>
      </c>
      <c r="D20" s="600">
        <v>1771245</v>
      </c>
      <c r="E20" s="601">
        <f t="shared" si="0"/>
        <v>2292256</v>
      </c>
      <c r="F20" s="600">
        <v>1227204</v>
      </c>
      <c r="G20" s="600">
        <v>0</v>
      </c>
      <c r="H20" s="602">
        <f t="shared" si="1"/>
        <v>1227204</v>
      </c>
    </row>
    <row r="21" spans="1:8" ht="15">
      <c r="A21" s="19">
        <v>5</v>
      </c>
      <c r="B21" s="39" t="s">
        <v>180</v>
      </c>
      <c r="C21" s="600">
        <v>0</v>
      </c>
      <c r="D21" s="600">
        <v>1791</v>
      </c>
      <c r="E21" s="601">
        <f t="shared" si="0"/>
        <v>1791</v>
      </c>
      <c r="F21" s="600">
        <v>0</v>
      </c>
      <c r="G21" s="600">
        <v>18561</v>
      </c>
      <c r="H21" s="602">
        <f>F21+G21</f>
        <v>18561</v>
      </c>
    </row>
    <row r="22" spans="1:8" ht="15">
      <c r="A22" s="19">
        <v>6</v>
      </c>
      <c r="B22" s="41" t="s">
        <v>179</v>
      </c>
      <c r="C22" s="603">
        <f>C8+C9+C19+C20+C21</f>
        <v>32661085</v>
      </c>
      <c r="D22" s="603">
        <f>D8+D9+D19+D20+D21</f>
        <v>51786538</v>
      </c>
      <c r="E22" s="601">
        <f>C22+D22</f>
        <v>84447623</v>
      </c>
      <c r="F22" s="603">
        <f>F8+F9+F19+F20+F21</f>
        <v>31514902</v>
      </c>
      <c r="G22" s="603">
        <f>G8+G9+G19+G20+G21</f>
        <v>43967076</v>
      </c>
      <c r="H22" s="602">
        <f>F22+G22</f>
        <v>75481978</v>
      </c>
    </row>
    <row r="23" spans="1:8" ht="15">
      <c r="A23" s="19"/>
      <c r="B23" s="203" t="s">
        <v>178</v>
      </c>
      <c r="C23" s="600"/>
      <c r="D23" s="600"/>
      <c r="E23" s="604"/>
      <c r="F23" s="600"/>
      <c r="G23" s="600"/>
      <c r="H23" s="605"/>
    </row>
    <row r="24" spans="1:8" ht="15">
      <c r="A24" s="19">
        <v>7</v>
      </c>
      <c r="B24" s="39" t="s">
        <v>177</v>
      </c>
      <c r="C24" s="600">
        <v>1082397</v>
      </c>
      <c r="D24" s="600">
        <v>-177301</v>
      </c>
      <c r="E24" s="601">
        <f t="shared" si="0"/>
        <v>905096</v>
      </c>
      <c r="F24" s="600">
        <v>828238</v>
      </c>
      <c r="G24" s="600">
        <v>595958</v>
      </c>
      <c r="H24" s="602">
        <f t="shared" si="1"/>
        <v>1424196</v>
      </c>
    </row>
    <row r="25" spans="1:8" ht="15">
      <c r="A25" s="19">
        <v>8</v>
      </c>
      <c r="B25" s="39" t="s">
        <v>176</v>
      </c>
      <c r="C25" s="600">
        <v>8281377</v>
      </c>
      <c r="D25" s="600">
        <v>16997895</v>
      </c>
      <c r="E25" s="601">
        <f t="shared" si="0"/>
        <v>25279272</v>
      </c>
      <c r="F25" s="600">
        <v>5742185</v>
      </c>
      <c r="G25" s="600">
        <v>15410329</v>
      </c>
      <c r="H25" s="602">
        <f t="shared" si="1"/>
        <v>21152514</v>
      </c>
    </row>
    <row r="26" spans="1:8" ht="15">
      <c r="A26" s="19">
        <v>9</v>
      </c>
      <c r="B26" s="39" t="s">
        <v>175</v>
      </c>
      <c r="C26" s="600">
        <v>13058</v>
      </c>
      <c r="D26" s="600">
        <v>513</v>
      </c>
      <c r="E26" s="601">
        <f t="shared" si="0"/>
        <v>13571</v>
      </c>
      <c r="F26" s="600">
        <v>59766</v>
      </c>
      <c r="G26" s="600">
        <v>493</v>
      </c>
      <c r="H26" s="602">
        <f t="shared" si="1"/>
        <v>60259</v>
      </c>
    </row>
    <row r="27" spans="1:8" ht="15">
      <c r="A27" s="19">
        <v>10</v>
      </c>
      <c r="B27" s="39" t="s">
        <v>174</v>
      </c>
      <c r="C27" s="600">
        <v>0</v>
      </c>
      <c r="D27" s="600">
        <v>0</v>
      </c>
      <c r="E27" s="601">
        <f t="shared" si="0"/>
        <v>0</v>
      </c>
      <c r="F27" s="600">
        <v>0</v>
      </c>
      <c r="G27" s="600">
        <v>0</v>
      </c>
      <c r="H27" s="602">
        <f t="shared" si="1"/>
        <v>0</v>
      </c>
    </row>
    <row r="28" spans="1:8" ht="15">
      <c r="A28" s="19">
        <v>11</v>
      </c>
      <c r="B28" s="39" t="s">
        <v>173</v>
      </c>
      <c r="C28" s="600">
        <v>0</v>
      </c>
      <c r="D28" s="600">
        <v>9290869</v>
      </c>
      <c r="E28" s="601">
        <f t="shared" si="0"/>
        <v>9290869</v>
      </c>
      <c r="F28" s="600">
        <v>0</v>
      </c>
      <c r="G28" s="600">
        <v>11882282</v>
      </c>
      <c r="H28" s="602">
        <f t="shared" si="1"/>
        <v>11882282</v>
      </c>
    </row>
    <row r="29" spans="1:8" ht="15">
      <c r="A29" s="19">
        <v>12</v>
      </c>
      <c r="B29" s="39" t="s">
        <v>172</v>
      </c>
      <c r="C29" s="600"/>
      <c r="D29" s="600"/>
      <c r="E29" s="601">
        <f t="shared" si="0"/>
        <v>0</v>
      </c>
      <c r="F29" s="600"/>
      <c r="G29" s="600"/>
      <c r="H29" s="602">
        <f t="shared" si="1"/>
        <v>0</v>
      </c>
    </row>
    <row r="30" spans="1:8" ht="15">
      <c r="A30" s="19">
        <v>13</v>
      </c>
      <c r="B30" s="42" t="s">
        <v>171</v>
      </c>
      <c r="C30" s="603">
        <f>SUM(C24:C29)</f>
        <v>9376832</v>
      </c>
      <c r="D30" s="603">
        <f>SUM(D24:D29)</f>
        <v>26111976</v>
      </c>
      <c r="E30" s="601">
        <f t="shared" si="0"/>
        <v>35488808</v>
      </c>
      <c r="F30" s="603">
        <f>SUM(F24:F29)</f>
        <v>6630189</v>
      </c>
      <c r="G30" s="603">
        <f>SUM(G24:G29)</f>
        <v>27889062</v>
      </c>
      <c r="H30" s="602">
        <f t="shared" si="1"/>
        <v>34519251</v>
      </c>
    </row>
    <row r="31" spans="1:8" ht="15">
      <c r="A31" s="19">
        <v>14</v>
      </c>
      <c r="B31" s="42" t="s">
        <v>170</v>
      </c>
      <c r="C31" s="603">
        <f>C22-C30</f>
        <v>23284253</v>
      </c>
      <c r="D31" s="603">
        <f>D22-D30</f>
        <v>25674562</v>
      </c>
      <c r="E31" s="601">
        <f t="shared" si="0"/>
        <v>48958815</v>
      </c>
      <c r="F31" s="603">
        <f>F22-F30</f>
        <v>24884713</v>
      </c>
      <c r="G31" s="603">
        <f>G22-G30</f>
        <v>16078014</v>
      </c>
      <c r="H31" s="602">
        <f t="shared" si="1"/>
        <v>40962727</v>
      </c>
    </row>
    <row r="32" spans="1:8">
      <c r="A32" s="19"/>
      <c r="B32" s="43"/>
      <c r="C32" s="606"/>
      <c r="D32" s="606"/>
      <c r="E32" s="606"/>
      <c r="F32" s="606"/>
      <c r="G32" s="606"/>
      <c r="H32" s="607"/>
    </row>
    <row r="33" spans="1:8" ht="15">
      <c r="A33" s="19"/>
      <c r="B33" s="43" t="s">
        <v>169</v>
      </c>
      <c r="C33" s="600"/>
      <c r="D33" s="600"/>
      <c r="E33" s="604"/>
      <c r="F33" s="600"/>
      <c r="G33" s="600"/>
      <c r="H33" s="605"/>
    </row>
    <row r="34" spans="1:8" ht="15">
      <c r="A34" s="19">
        <v>15</v>
      </c>
      <c r="B34" s="44" t="s">
        <v>168</v>
      </c>
      <c r="C34" s="603">
        <f>C35-C36</f>
        <v>68514</v>
      </c>
      <c r="D34" s="603">
        <f>D35-D36</f>
        <v>-4458396</v>
      </c>
      <c r="E34" s="601">
        <f t="shared" si="0"/>
        <v>-4389882</v>
      </c>
      <c r="F34" s="603">
        <f>F35-F36</f>
        <v>-142032</v>
      </c>
      <c r="G34" s="603">
        <f>G35-G36</f>
        <v>-4137021</v>
      </c>
      <c r="H34" s="602">
        <f t="shared" si="1"/>
        <v>-4279053</v>
      </c>
    </row>
    <row r="35" spans="1:8" ht="15">
      <c r="A35" s="19">
        <v>15.1</v>
      </c>
      <c r="B35" s="40" t="s">
        <v>167</v>
      </c>
      <c r="C35" s="600">
        <v>3277417</v>
      </c>
      <c r="D35" s="600">
        <v>2175164</v>
      </c>
      <c r="E35" s="601">
        <f t="shared" si="0"/>
        <v>5452581</v>
      </c>
      <c r="F35" s="600">
        <v>2792604</v>
      </c>
      <c r="G35" s="600">
        <v>1995020</v>
      </c>
      <c r="H35" s="602">
        <f t="shared" si="1"/>
        <v>4787624</v>
      </c>
    </row>
    <row r="36" spans="1:8" ht="15">
      <c r="A36" s="19">
        <v>15.2</v>
      </c>
      <c r="B36" s="40" t="s">
        <v>166</v>
      </c>
      <c r="C36" s="600">
        <v>3208903</v>
      </c>
      <c r="D36" s="600">
        <v>6633560</v>
      </c>
      <c r="E36" s="601">
        <f t="shared" si="0"/>
        <v>9842463</v>
      </c>
      <c r="F36" s="600">
        <v>2934636</v>
      </c>
      <c r="G36" s="600">
        <v>6132041</v>
      </c>
      <c r="H36" s="602">
        <f t="shared" si="1"/>
        <v>9066677</v>
      </c>
    </row>
    <row r="37" spans="1:8" ht="15">
      <c r="A37" s="19">
        <v>16</v>
      </c>
      <c r="B37" s="39" t="s">
        <v>165</v>
      </c>
      <c r="C37" s="600">
        <v>138056</v>
      </c>
      <c r="D37" s="600">
        <v>0</v>
      </c>
      <c r="E37" s="601">
        <f t="shared" si="0"/>
        <v>138056</v>
      </c>
      <c r="F37" s="600">
        <v>0</v>
      </c>
      <c r="G37" s="600">
        <v>0</v>
      </c>
      <c r="H37" s="602">
        <f t="shared" si="1"/>
        <v>0</v>
      </c>
    </row>
    <row r="38" spans="1:8" ht="15">
      <c r="A38" s="19">
        <v>17</v>
      </c>
      <c r="B38" s="39" t="s">
        <v>164</v>
      </c>
      <c r="C38" s="600">
        <v>3321128</v>
      </c>
      <c r="D38" s="600">
        <v>0</v>
      </c>
      <c r="E38" s="601">
        <f t="shared" si="0"/>
        <v>3321128</v>
      </c>
      <c r="F38" s="600">
        <v>2312905</v>
      </c>
      <c r="G38" s="600">
        <v>0</v>
      </c>
      <c r="H38" s="602">
        <f t="shared" si="1"/>
        <v>2312905</v>
      </c>
    </row>
    <row r="39" spans="1:8" ht="15">
      <c r="A39" s="19">
        <v>18</v>
      </c>
      <c r="B39" s="39" t="s">
        <v>163</v>
      </c>
      <c r="C39" s="600">
        <v>-162700</v>
      </c>
      <c r="D39" s="600">
        <v>-4</v>
      </c>
      <c r="E39" s="601">
        <f t="shared" si="0"/>
        <v>-162704</v>
      </c>
      <c r="F39" s="600">
        <v>127410</v>
      </c>
      <c r="G39" s="600">
        <v>1709706</v>
      </c>
      <c r="H39" s="602">
        <f t="shared" si="1"/>
        <v>1837116</v>
      </c>
    </row>
    <row r="40" spans="1:8" ht="15">
      <c r="A40" s="19">
        <v>19</v>
      </c>
      <c r="B40" s="39" t="s">
        <v>162</v>
      </c>
      <c r="C40" s="600">
        <v>3750037</v>
      </c>
      <c r="D40" s="600"/>
      <c r="E40" s="601">
        <f t="shared" si="0"/>
        <v>3750037</v>
      </c>
      <c r="F40" s="600">
        <v>5601824</v>
      </c>
      <c r="G40" s="600"/>
      <c r="H40" s="602">
        <f t="shared" si="1"/>
        <v>5601824</v>
      </c>
    </row>
    <row r="41" spans="1:8" ht="15">
      <c r="A41" s="19">
        <v>20</v>
      </c>
      <c r="B41" s="39" t="s">
        <v>161</v>
      </c>
      <c r="C41" s="600">
        <v>-3928568</v>
      </c>
      <c r="D41" s="600"/>
      <c r="E41" s="601">
        <f t="shared" si="0"/>
        <v>-3928568</v>
      </c>
      <c r="F41" s="600">
        <v>-294155</v>
      </c>
      <c r="G41" s="600"/>
      <c r="H41" s="602">
        <f t="shared" si="1"/>
        <v>-294155</v>
      </c>
    </row>
    <row r="42" spans="1:8" ht="15">
      <c r="A42" s="19">
        <v>21</v>
      </c>
      <c r="B42" s="39" t="s">
        <v>160</v>
      </c>
      <c r="C42" s="600">
        <v>13012</v>
      </c>
      <c r="D42" s="600">
        <v>0</v>
      </c>
      <c r="E42" s="601">
        <f t="shared" si="0"/>
        <v>13012</v>
      </c>
      <c r="F42" s="600">
        <v>6350</v>
      </c>
      <c r="G42" s="600">
        <v>0</v>
      </c>
      <c r="H42" s="602">
        <f t="shared" si="1"/>
        <v>6350</v>
      </c>
    </row>
    <row r="43" spans="1:8" ht="15">
      <c r="A43" s="19">
        <v>22</v>
      </c>
      <c r="B43" s="39" t="s">
        <v>159</v>
      </c>
      <c r="C43" s="600">
        <v>1485366</v>
      </c>
      <c r="D43" s="600">
        <v>242031</v>
      </c>
      <c r="E43" s="601">
        <f t="shared" si="0"/>
        <v>1727397</v>
      </c>
      <c r="F43" s="600">
        <v>1397214</v>
      </c>
      <c r="G43" s="600">
        <v>294498</v>
      </c>
      <c r="H43" s="602">
        <f t="shared" si="1"/>
        <v>1691712</v>
      </c>
    </row>
    <row r="44" spans="1:8" ht="15">
      <c r="A44" s="19">
        <v>23</v>
      </c>
      <c r="B44" s="39" t="s">
        <v>158</v>
      </c>
      <c r="C44" s="600">
        <v>10588767</v>
      </c>
      <c r="D44" s="600">
        <v>247898</v>
      </c>
      <c r="E44" s="601">
        <f t="shared" si="0"/>
        <v>10836665</v>
      </c>
      <c r="F44" s="600">
        <v>3415429</v>
      </c>
      <c r="G44" s="600">
        <v>63373</v>
      </c>
      <c r="H44" s="602">
        <f t="shared" si="1"/>
        <v>3478802</v>
      </c>
    </row>
    <row r="45" spans="1:8" ht="15">
      <c r="A45" s="19">
        <v>24</v>
      </c>
      <c r="B45" s="42" t="s">
        <v>273</v>
      </c>
      <c r="C45" s="603">
        <f>C34+C37+C38+C39+C40+C41+C42+C43+C44</f>
        <v>15273612</v>
      </c>
      <c r="D45" s="603">
        <f>D34+D37+D38+D39+D40+D41+D42+D43+D44</f>
        <v>-3968471</v>
      </c>
      <c r="E45" s="601">
        <f t="shared" si="0"/>
        <v>11305141</v>
      </c>
      <c r="F45" s="603">
        <f>F34+F37+F38+F39+F40+F41+F42+F43+F44</f>
        <v>12424945</v>
      </c>
      <c r="G45" s="603">
        <f>G34+G37+G38+G39+G40+G41+G42+G43+G44</f>
        <v>-2069444</v>
      </c>
      <c r="H45" s="602">
        <f t="shared" si="1"/>
        <v>10355501</v>
      </c>
    </row>
    <row r="46" spans="1:8">
      <c r="A46" s="19"/>
      <c r="B46" s="203" t="s">
        <v>157</v>
      </c>
      <c r="C46" s="600"/>
      <c r="D46" s="600"/>
      <c r="E46" s="600"/>
      <c r="F46" s="600"/>
      <c r="G46" s="600"/>
      <c r="H46" s="608"/>
    </row>
    <row r="47" spans="1:8" ht="15">
      <c r="A47" s="19">
        <v>25</v>
      </c>
      <c r="B47" s="39" t="s">
        <v>156</v>
      </c>
      <c r="C47" s="600">
        <v>636280</v>
      </c>
      <c r="D47" s="600">
        <v>10835</v>
      </c>
      <c r="E47" s="601">
        <f t="shared" si="0"/>
        <v>647115</v>
      </c>
      <c r="F47" s="600">
        <v>754275</v>
      </c>
      <c r="G47" s="600">
        <v>29825</v>
      </c>
      <c r="H47" s="602">
        <f t="shared" si="1"/>
        <v>784100</v>
      </c>
    </row>
    <row r="48" spans="1:8" ht="15">
      <c r="A48" s="19">
        <v>26</v>
      </c>
      <c r="B48" s="39" t="s">
        <v>155</v>
      </c>
      <c r="C48" s="600">
        <v>397580</v>
      </c>
      <c r="D48" s="600">
        <v>1420</v>
      </c>
      <c r="E48" s="601">
        <f t="shared" si="0"/>
        <v>399000</v>
      </c>
      <c r="F48" s="600">
        <v>484265</v>
      </c>
      <c r="G48" s="600">
        <v>42543</v>
      </c>
      <c r="H48" s="602">
        <f t="shared" si="1"/>
        <v>526808</v>
      </c>
    </row>
    <row r="49" spans="1:8" ht="15">
      <c r="A49" s="19">
        <v>27</v>
      </c>
      <c r="B49" s="39" t="s">
        <v>154</v>
      </c>
      <c r="C49" s="600">
        <v>13067018</v>
      </c>
      <c r="D49" s="600"/>
      <c r="E49" s="601">
        <f t="shared" si="0"/>
        <v>13067018</v>
      </c>
      <c r="F49" s="600">
        <v>12791374</v>
      </c>
      <c r="G49" s="600"/>
      <c r="H49" s="602">
        <f t="shared" si="1"/>
        <v>12791374</v>
      </c>
    </row>
    <row r="50" spans="1:8" ht="15">
      <c r="A50" s="19">
        <v>28</v>
      </c>
      <c r="B50" s="39" t="s">
        <v>153</v>
      </c>
      <c r="C50" s="600">
        <v>45754</v>
      </c>
      <c r="D50" s="600"/>
      <c r="E50" s="601">
        <f t="shared" si="0"/>
        <v>45754</v>
      </c>
      <c r="F50" s="600">
        <v>63762</v>
      </c>
      <c r="G50" s="600"/>
      <c r="H50" s="602">
        <f t="shared" si="1"/>
        <v>63762</v>
      </c>
    </row>
    <row r="51" spans="1:8" ht="15">
      <c r="A51" s="19">
        <v>29</v>
      </c>
      <c r="B51" s="39" t="s">
        <v>152</v>
      </c>
      <c r="C51" s="600">
        <v>4437352</v>
      </c>
      <c r="D51" s="600"/>
      <c r="E51" s="601">
        <f t="shared" si="0"/>
        <v>4437352</v>
      </c>
      <c r="F51" s="600">
        <v>4339236</v>
      </c>
      <c r="G51" s="600"/>
      <c r="H51" s="602">
        <f t="shared" si="1"/>
        <v>4339236</v>
      </c>
    </row>
    <row r="52" spans="1:8" ht="15">
      <c r="A52" s="19">
        <v>30</v>
      </c>
      <c r="B52" s="39" t="s">
        <v>151</v>
      </c>
      <c r="C52" s="600">
        <v>10353892</v>
      </c>
      <c r="D52" s="600">
        <v>244798</v>
      </c>
      <c r="E52" s="601">
        <f t="shared" si="0"/>
        <v>10598690</v>
      </c>
      <c r="F52" s="600">
        <v>5275384</v>
      </c>
      <c r="G52" s="600">
        <v>201968</v>
      </c>
      <c r="H52" s="602">
        <f t="shared" si="1"/>
        <v>5477352</v>
      </c>
    </row>
    <row r="53" spans="1:8" ht="15">
      <c r="A53" s="19">
        <v>31</v>
      </c>
      <c r="B53" s="42" t="s">
        <v>274</v>
      </c>
      <c r="C53" s="603">
        <f>C47+C48+C49+C50+C51+C52</f>
        <v>28937876</v>
      </c>
      <c r="D53" s="603">
        <f>D47+D48+D49+D50+D51+D52</f>
        <v>257053</v>
      </c>
      <c r="E53" s="601">
        <f t="shared" si="0"/>
        <v>29194929</v>
      </c>
      <c r="F53" s="603">
        <f>F47+F48+F49+F50+F51+F52</f>
        <v>23708296</v>
      </c>
      <c r="G53" s="603">
        <f>G47+G48+G49+G50+G51+G52</f>
        <v>274336</v>
      </c>
      <c r="H53" s="602">
        <f t="shared" si="1"/>
        <v>23982632</v>
      </c>
    </row>
    <row r="54" spans="1:8" ht="15">
      <c r="A54" s="19">
        <v>32</v>
      </c>
      <c r="B54" s="42" t="s">
        <v>275</v>
      </c>
      <c r="C54" s="603">
        <f>C45-C53</f>
        <v>-13664264</v>
      </c>
      <c r="D54" s="603">
        <f>D45-D53</f>
        <v>-4225524</v>
      </c>
      <c r="E54" s="601">
        <f t="shared" si="0"/>
        <v>-17889788</v>
      </c>
      <c r="F54" s="603">
        <f>F45-F53</f>
        <v>-11283351</v>
      </c>
      <c r="G54" s="603">
        <f>G45-G53</f>
        <v>-2343780</v>
      </c>
      <c r="H54" s="602">
        <f t="shared" si="1"/>
        <v>-13627131</v>
      </c>
    </row>
    <row r="55" spans="1:8">
      <c r="A55" s="19"/>
      <c r="B55" s="43"/>
      <c r="C55" s="606"/>
      <c r="D55" s="606"/>
      <c r="E55" s="606"/>
      <c r="F55" s="606"/>
      <c r="G55" s="606"/>
      <c r="H55" s="607"/>
    </row>
    <row r="56" spans="1:8" ht="15">
      <c r="A56" s="19">
        <v>33</v>
      </c>
      <c r="B56" s="42" t="s">
        <v>150</v>
      </c>
      <c r="C56" s="603">
        <f>C31+C54</f>
        <v>9619989</v>
      </c>
      <c r="D56" s="603">
        <f>D31+D54</f>
        <v>21449038</v>
      </c>
      <c r="E56" s="601">
        <f t="shared" si="0"/>
        <v>31069027</v>
      </c>
      <c r="F56" s="603">
        <f>F31+F54</f>
        <v>13601362</v>
      </c>
      <c r="G56" s="603">
        <f>G31+G54</f>
        <v>13734234</v>
      </c>
      <c r="H56" s="602">
        <f t="shared" si="1"/>
        <v>27335596</v>
      </c>
    </row>
    <row r="57" spans="1:8">
      <c r="A57" s="19"/>
      <c r="B57" s="43"/>
      <c r="C57" s="606"/>
      <c r="D57" s="606"/>
      <c r="E57" s="606"/>
      <c r="F57" s="606"/>
      <c r="G57" s="606"/>
      <c r="H57" s="607"/>
    </row>
    <row r="58" spans="1:8" ht="15">
      <c r="A58" s="19">
        <v>34</v>
      </c>
      <c r="B58" s="39" t="s">
        <v>149</v>
      </c>
      <c r="C58" s="600">
        <v>-13172293</v>
      </c>
      <c r="D58" s="600"/>
      <c r="E58" s="601">
        <f>C58</f>
        <v>-13172293</v>
      </c>
      <c r="F58" s="600">
        <v>45022124</v>
      </c>
      <c r="G58" s="600"/>
      <c r="H58" s="602">
        <f t="shared" si="1"/>
        <v>45022124</v>
      </c>
    </row>
    <row r="59" spans="1:8" s="204" customFormat="1" ht="15">
      <c r="A59" s="19">
        <v>35</v>
      </c>
      <c r="B59" s="39" t="s">
        <v>148</v>
      </c>
      <c r="C59" s="600">
        <v>-17900</v>
      </c>
      <c r="D59" s="609"/>
      <c r="E59" s="610">
        <f>C59</f>
        <v>-17900</v>
      </c>
      <c r="F59" s="611">
        <v>-1310153</v>
      </c>
      <c r="G59" s="611"/>
      <c r="H59" s="612">
        <f t="shared" si="1"/>
        <v>-1310153</v>
      </c>
    </row>
    <row r="60" spans="1:8" ht="15">
      <c r="A60" s="19">
        <v>36</v>
      </c>
      <c r="B60" s="39" t="s">
        <v>147</v>
      </c>
      <c r="C60" s="600">
        <v>3942025</v>
      </c>
      <c r="D60" s="600"/>
      <c r="E60" s="601">
        <f>C60</f>
        <v>3942025</v>
      </c>
      <c r="F60" s="600">
        <v>12461133</v>
      </c>
      <c r="G60" s="600"/>
      <c r="H60" s="602">
        <f t="shared" si="1"/>
        <v>12461133</v>
      </c>
    </row>
    <row r="61" spans="1:8" ht="15">
      <c r="A61" s="19">
        <v>37</v>
      </c>
      <c r="B61" s="42" t="s">
        <v>146</v>
      </c>
      <c r="C61" s="603">
        <f>C58+C59+C60</f>
        <v>-9248168</v>
      </c>
      <c r="D61" s="603">
        <f>D58+D59+D60</f>
        <v>0</v>
      </c>
      <c r="E61" s="601">
        <f t="shared" si="0"/>
        <v>-9248168</v>
      </c>
      <c r="F61" s="603">
        <f>F58+F59+F60</f>
        <v>56173104</v>
      </c>
      <c r="G61" s="603">
        <f>G58+G59+G60</f>
        <v>0</v>
      </c>
      <c r="H61" s="602">
        <f t="shared" si="1"/>
        <v>56173104</v>
      </c>
    </row>
    <row r="62" spans="1:8">
      <c r="A62" s="19"/>
      <c r="B62" s="45"/>
      <c r="C62" s="600"/>
      <c r="D62" s="600"/>
      <c r="E62" s="600"/>
      <c r="F62" s="600"/>
      <c r="G62" s="600"/>
      <c r="H62" s="608"/>
    </row>
    <row r="63" spans="1:8" ht="15">
      <c r="A63" s="19">
        <v>38</v>
      </c>
      <c r="B63" s="46" t="s">
        <v>145</v>
      </c>
      <c r="C63" s="603">
        <f>C56-C61</f>
        <v>18868157</v>
      </c>
      <c r="D63" s="603">
        <f>D56-D61</f>
        <v>21449038</v>
      </c>
      <c r="E63" s="601">
        <f t="shared" si="0"/>
        <v>40317195</v>
      </c>
      <c r="F63" s="603">
        <f>F56-F61</f>
        <v>-42571742</v>
      </c>
      <c r="G63" s="603">
        <f>G56-G61</f>
        <v>13734234</v>
      </c>
      <c r="H63" s="602">
        <f t="shared" si="1"/>
        <v>-28837508</v>
      </c>
    </row>
    <row r="64" spans="1:8" ht="15">
      <c r="A64" s="35">
        <v>39</v>
      </c>
      <c r="B64" s="39" t="s">
        <v>144</v>
      </c>
      <c r="C64" s="613">
        <v>6298696</v>
      </c>
      <c r="D64" s="613"/>
      <c r="E64" s="601">
        <f t="shared" si="0"/>
        <v>6298696</v>
      </c>
      <c r="F64" s="613">
        <v>-4085878</v>
      </c>
      <c r="G64" s="613"/>
      <c r="H64" s="602">
        <f t="shared" si="1"/>
        <v>-4085878</v>
      </c>
    </row>
    <row r="65" spans="1:8" ht="15">
      <c r="A65" s="19">
        <v>40</v>
      </c>
      <c r="B65" s="42" t="s">
        <v>143</v>
      </c>
      <c r="C65" s="603">
        <f>C63-C64</f>
        <v>12569461</v>
      </c>
      <c r="D65" s="603">
        <f>D63-D64</f>
        <v>21449038</v>
      </c>
      <c r="E65" s="601">
        <f t="shared" si="0"/>
        <v>34018499</v>
      </c>
      <c r="F65" s="603">
        <f>F63-F64</f>
        <v>-38485864</v>
      </c>
      <c r="G65" s="603">
        <f>G63-G64</f>
        <v>13734234</v>
      </c>
      <c r="H65" s="602">
        <f t="shared" si="1"/>
        <v>-24751630</v>
      </c>
    </row>
    <row r="66" spans="1:8" ht="15">
      <c r="A66" s="35">
        <v>41</v>
      </c>
      <c r="B66" s="39" t="s">
        <v>142</v>
      </c>
      <c r="C66" s="613">
        <v>0</v>
      </c>
      <c r="D66" s="613"/>
      <c r="E66" s="601">
        <f t="shared" si="0"/>
        <v>0</v>
      </c>
      <c r="F66" s="613">
        <v>0</v>
      </c>
      <c r="G66" s="613"/>
      <c r="H66" s="602">
        <f t="shared" si="1"/>
        <v>0</v>
      </c>
    </row>
    <row r="67" spans="1:8" ht="15.75" thickBot="1">
      <c r="A67" s="47">
        <v>42</v>
      </c>
      <c r="B67" s="48" t="s">
        <v>141</v>
      </c>
      <c r="C67" s="614">
        <f>C65+C66</f>
        <v>12569461</v>
      </c>
      <c r="D67" s="614">
        <f>D65+D66</f>
        <v>21449038</v>
      </c>
      <c r="E67" s="615">
        <f t="shared" si="0"/>
        <v>34018499</v>
      </c>
      <c r="F67" s="614">
        <f>F65+F66</f>
        <v>-38485864</v>
      </c>
      <c r="G67" s="614">
        <f>G65+G66</f>
        <v>13734234</v>
      </c>
      <c r="H67" s="616">
        <f t="shared" si="1"/>
        <v>-24751630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B2" sqref="B2"/>
    </sheetView>
  </sheetViews>
  <sheetFormatPr defaultColWidth="9.28515625" defaultRowHeight="14.25"/>
  <cols>
    <col min="1" max="1" width="9.5703125" style="5" bestFit="1" customWidth="1"/>
    <col min="2" max="2" width="72.28515625" style="5" customWidth="1"/>
    <col min="3" max="7" width="12.7109375" style="5" customWidth="1"/>
    <col min="8" max="8" width="13.42578125" style="5" bestFit="1" customWidth="1"/>
    <col min="9" max="16384" width="9.28515625" style="5"/>
  </cols>
  <sheetData>
    <row r="1" spans="1:8">
      <c r="A1" s="2" t="s">
        <v>30</v>
      </c>
      <c r="B1" s="3" t="str">
        <f>'Info '!C2</f>
        <v>JSC CARTU BANK</v>
      </c>
    </row>
    <row r="2" spans="1:8">
      <c r="A2" s="2" t="s">
        <v>31</v>
      </c>
      <c r="B2" s="370">
        <f>'1. key ratios '!B2</f>
        <v>44561</v>
      </c>
    </row>
    <row r="3" spans="1:8">
      <c r="A3" s="4"/>
    </row>
    <row r="4" spans="1:8" ht="15" thickBot="1">
      <c r="A4" s="4" t="s">
        <v>74</v>
      </c>
      <c r="B4" s="4"/>
      <c r="C4" s="187"/>
      <c r="D4" s="187"/>
      <c r="E4" s="187"/>
      <c r="F4" s="187"/>
      <c r="G4" s="187"/>
      <c r="H4" s="188" t="s">
        <v>73</v>
      </c>
    </row>
    <row r="5" spans="1:8">
      <c r="A5" s="646" t="s">
        <v>6</v>
      </c>
      <c r="B5" s="648" t="s">
        <v>340</v>
      </c>
      <c r="C5" s="642" t="s">
        <v>68</v>
      </c>
      <c r="D5" s="643"/>
      <c r="E5" s="644"/>
      <c r="F5" s="642" t="s">
        <v>72</v>
      </c>
      <c r="G5" s="643"/>
      <c r="H5" s="645"/>
    </row>
    <row r="6" spans="1:8">
      <c r="A6" s="647"/>
      <c r="B6" s="649"/>
      <c r="C6" s="21" t="s">
        <v>287</v>
      </c>
      <c r="D6" s="21" t="s">
        <v>122</v>
      </c>
      <c r="E6" s="21" t="s">
        <v>109</v>
      </c>
      <c r="F6" s="21" t="s">
        <v>287</v>
      </c>
      <c r="G6" s="21" t="s">
        <v>122</v>
      </c>
      <c r="H6" s="22" t="s">
        <v>109</v>
      </c>
    </row>
    <row r="7" spans="1:8" ht="15.75">
      <c r="A7" s="77">
        <v>1</v>
      </c>
      <c r="B7" s="189" t="s">
        <v>374</v>
      </c>
      <c r="C7" s="617"/>
      <c r="D7" s="617"/>
      <c r="E7" s="618">
        <f>C7+D7</f>
        <v>0</v>
      </c>
      <c r="F7" s="617"/>
      <c r="G7" s="617"/>
      <c r="H7" s="619">
        <f t="shared" ref="H7:H53" si="0">F7+G7</f>
        <v>0</v>
      </c>
    </row>
    <row r="8" spans="1:8" ht="15.75">
      <c r="A8" s="77">
        <v>1.1000000000000001</v>
      </c>
      <c r="B8" s="233" t="s">
        <v>305</v>
      </c>
      <c r="C8" s="617">
        <v>20570996</v>
      </c>
      <c r="D8" s="617">
        <v>10342848</v>
      </c>
      <c r="E8" s="618">
        <f>C8+D8</f>
        <v>30913844</v>
      </c>
      <c r="F8" s="617">
        <v>31386412</v>
      </c>
      <c r="G8" s="617">
        <v>8984046</v>
      </c>
      <c r="H8" s="619">
        <f t="shared" si="0"/>
        <v>40370458</v>
      </c>
    </row>
    <row r="9" spans="1:8" ht="15.75">
      <c r="A9" s="77">
        <v>1.2</v>
      </c>
      <c r="B9" s="233" t="s">
        <v>306</v>
      </c>
      <c r="C9" s="617"/>
      <c r="D9" s="617">
        <v>0</v>
      </c>
      <c r="E9" s="618">
        <f t="shared" ref="E9:E53" si="1">C9+D9</f>
        <v>0</v>
      </c>
      <c r="F9" s="617"/>
      <c r="G9" s="617"/>
      <c r="H9" s="619">
        <f t="shared" si="0"/>
        <v>0</v>
      </c>
    </row>
    <row r="10" spans="1:8" ht="15.75">
      <c r="A10" s="77">
        <v>1.3</v>
      </c>
      <c r="B10" s="233" t="s">
        <v>307</v>
      </c>
      <c r="C10" s="617">
        <v>15360014</v>
      </c>
      <c r="D10" s="617">
        <v>19962081</v>
      </c>
      <c r="E10" s="618">
        <f t="shared" si="1"/>
        <v>35322095</v>
      </c>
      <c r="F10" s="617">
        <v>12408289</v>
      </c>
      <c r="G10" s="617">
        <v>25631524</v>
      </c>
      <c r="H10" s="619">
        <f t="shared" si="0"/>
        <v>38039813</v>
      </c>
    </row>
    <row r="11" spans="1:8" ht="15.75">
      <c r="A11" s="77">
        <v>1.4</v>
      </c>
      <c r="B11" s="233" t="s">
        <v>288</v>
      </c>
      <c r="C11" s="617">
        <v>8975</v>
      </c>
      <c r="D11" s="617">
        <v>0</v>
      </c>
      <c r="E11" s="618">
        <f t="shared" si="1"/>
        <v>8975</v>
      </c>
      <c r="F11" s="617">
        <v>19035</v>
      </c>
      <c r="G11" s="617">
        <v>0</v>
      </c>
      <c r="H11" s="619">
        <f t="shared" si="0"/>
        <v>19035</v>
      </c>
    </row>
    <row r="12" spans="1:8" ht="29.25" customHeight="1">
      <c r="A12" s="77">
        <v>2</v>
      </c>
      <c r="B12" s="191" t="s">
        <v>309</v>
      </c>
      <c r="C12" s="617"/>
      <c r="D12" s="617"/>
      <c r="E12" s="618">
        <f t="shared" si="1"/>
        <v>0</v>
      </c>
      <c r="F12" s="617"/>
      <c r="G12" s="617"/>
      <c r="H12" s="619">
        <f t="shared" si="0"/>
        <v>0</v>
      </c>
    </row>
    <row r="13" spans="1:8" ht="19.899999999999999" customHeight="1">
      <c r="A13" s="77">
        <v>3</v>
      </c>
      <c r="B13" s="191" t="s">
        <v>308</v>
      </c>
      <c r="C13" s="617"/>
      <c r="D13" s="617"/>
      <c r="E13" s="618">
        <f t="shared" si="1"/>
        <v>0</v>
      </c>
      <c r="F13" s="617"/>
      <c r="G13" s="617"/>
      <c r="H13" s="619">
        <f t="shared" si="0"/>
        <v>0</v>
      </c>
    </row>
    <row r="14" spans="1:8" ht="15.75">
      <c r="A14" s="77">
        <v>3.1</v>
      </c>
      <c r="B14" s="234" t="s">
        <v>289</v>
      </c>
      <c r="C14" s="617"/>
      <c r="D14" s="617"/>
      <c r="E14" s="618">
        <f t="shared" si="1"/>
        <v>0</v>
      </c>
      <c r="F14" s="617"/>
      <c r="G14" s="617"/>
      <c r="H14" s="619">
        <f t="shared" si="0"/>
        <v>0</v>
      </c>
    </row>
    <row r="15" spans="1:8" ht="15.75">
      <c r="A15" s="77">
        <v>3.2</v>
      </c>
      <c r="B15" s="234" t="s">
        <v>290</v>
      </c>
      <c r="C15" s="617"/>
      <c r="D15" s="617"/>
      <c r="E15" s="618">
        <f t="shared" si="1"/>
        <v>0</v>
      </c>
      <c r="F15" s="617"/>
      <c r="G15" s="617"/>
      <c r="H15" s="619">
        <f t="shared" si="0"/>
        <v>0</v>
      </c>
    </row>
    <row r="16" spans="1:8" ht="15.75">
      <c r="A16" s="77">
        <v>4</v>
      </c>
      <c r="B16" s="237" t="s">
        <v>319</v>
      </c>
      <c r="C16" s="617"/>
      <c r="D16" s="617"/>
      <c r="E16" s="618">
        <f t="shared" si="1"/>
        <v>0</v>
      </c>
      <c r="F16" s="617"/>
      <c r="G16" s="617"/>
      <c r="H16" s="619">
        <f t="shared" si="0"/>
        <v>0</v>
      </c>
    </row>
    <row r="17" spans="1:8" ht="15.75">
      <c r="A17" s="77">
        <v>4.0999999999999996</v>
      </c>
      <c r="B17" s="234" t="s">
        <v>310</v>
      </c>
      <c r="C17" s="617">
        <v>8155362.464999998</v>
      </c>
      <c r="D17" s="617">
        <v>3090163.6053919992</v>
      </c>
      <c r="E17" s="618">
        <f t="shared" si="1"/>
        <v>11245526.070391998</v>
      </c>
      <c r="F17" s="617">
        <v>9243564.9276268333</v>
      </c>
      <c r="G17" s="617">
        <v>6304775.3308246331</v>
      </c>
      <c r="H17" s="619">
        <f t="shared" si="0"/>
        <v>15548340.258451466</v>
      </c>
    </row>
    <row r="18" spans="1:8" ht="15.75">
      <c r="A18" s="77">
        <v>4.2</v>
      </c>
      <c r="B18" s="234" t="s">
        <v>304</v>
      </c>
      <c r="C18" s="617">
        <v>131659125.5761461</v>
      </c>
      <c r="D18" s="617">
        <v>398360107.35868627</v>
      </c>
      <c r="E18" s="618">
        <f t="shared" si="1"/>
        <v>530019232.93483233</v>
      </c>
      <c r="F18" s="617">
        <v>137636367.07379583</v>
      </c>
      <c r="G18" s="617">
        <v>400978740.90186036</v>
      </c>
      <c r="H18" s="619">
        <f t="shared" si="0"/>
        <v>538615107.97565615</v>
      </c>
    </row>
    <row r="19" spans="1:8" ht="15.75">
      <c r="A19" s="77">
        <v>5</v>
      </c>
      <c r="B19" s="191" t="s">
        <v>318</v>
      </c>
      <c r="C19" s="617"/>
      <c r="D19" s="617"/>
      <c r="E19" s="618">
        <f t="shared" si="1"/>
        <v>0</v>
      </c>
      <c r="F19" s="617"/>
      <c r="G19" s="617"/>
      <c r="H19" s="619">
        <f t="shared" si="0"/>
        <v>0</v>
      </c>
    </row>
    <row r="20" spans="1:8" ht="15.75">
      <c r="A20" s="77">
        <v>5.0999999999999996</v>
      </c>
      <c r="B20" s="235" t="s">
        <v>293</v>
      </c>
      <c r="C20" s="617">
        <v>3100782.9</v>
      </c>
      <c r="D20" s="617">
        <v>40855692.463567995</v>
      </c>
      <c r="E20" s="618">
        <f t="shared" si="1"/>
        <v>43956475.363567993</v>
      </c>
      <c r="F20" s="617">
        <v>3085216.5599999996</v>
      </c>
      <c r="G20" s="617">
        <v>37793425.696182005</v>
      </c>
      <c r="H20" s="619">
        <f t="shared" si="0"/>
        <v>40878642.256182007</v>
      </c>
    </row>
    <row r="21" spans="1:8" ht="15.75">
      <c r="A21" s="77">
        <v>5.2</v>
      </c>
      <c r="B21" s="235" t="s">
        <v>292</v>
      </c>
      <c r="C21" s="617">
        <v>0</v>
      </c>
      <c r="D21" s="617">
        <v>0</v>
      </c>
      <c r="E21" s="618">
        <f t="shared" si="1"/>
        <v>0</v>
      </c>
      <c r="F21" s="617">
        <v>0</v>
      </c>
      <c r="G21" s="617">
        <v>0</v>
      </c>
      <c r="H21" s="619">
        <f t="shared" si="0"/>
        <v>0</v>
      </c>
    </row>
    <row r="22" spans="1:8" ht="15.75">
      <c r="A22" s="77">
        <v>5.3</v>
      </c>
      <c r="B22" s="235" t="s">
        <v>291</v>
      </c>
      <c r="C22" s="617">
        <v>14329287.59322034</v>
      </c>
      <c r="D22" s="617">
        <v>1520967541.4594371</v>
      </c>
      <c r="E22" s="618">
        <f t="shared" si="1"/>
        <v>1535296829.0526574</v>
      </c>
      <c r="F22" s="617">
        <v>16529102.200000003</v>
      </c>
      <c r="G22" s="617">
        <v>1869811454.2942324</v>
      </c>
      <c r="H22" s="619">
        <f t="shared" si="0"/>
        <v>1886340556.4942324</v>
      </c>
    </row>
    <row r="23" spans="1:8" ht="15.75">
      <c r="A23" s="77" t="s">
        <v>15</v>
      </c>
      <c r="B23" s="192" t="s">
        <v>75</v>
      </c>
      <c r="C23" s="617">
        <v>309760</v>
      </c>
      <c r="D23" s="617">
        <v>193627446.18882832</v>
      </c>
      <c r="E23" s="618">
        <f t="shared" si="1"/>
        <v>193937206.18882832</v>
      </c>
      <c r="F23" s="617">
        <v>266687.2</v>
      </c>
      <c r="G23" s="617">
        <v>206071865.27163368</v>
      </c>
      <c r="H23" s="619">
        <f t="shared" si="0"/>
        <v>206338552.47163367</v>
      </c>
    </row>
    <row r="24" spans="1:8" ht="15.75">
      <c r="A24" s="77" t="s">
        <v>16</v>
      </c>
      <c r="B24" s="192" t="s">
        <v>76</v>
      </c>
      <c r="C24" s="617">
        <v>622145.08474576275</v>
      </c>
      <c r="D24" s="617">
        <v>718984778.74302435</v>
      </c>
      <c r="E24" s="618">
        <f t="shared" si="1"/>
        <v>719606923.82777011</v>
      </c>
      <c r="F24" s="617">
        <v>808248.00000000012</v>
      </c>
      <c r="G24" s="617">
        <v>1025481818.8333229</v>
      </c>
      <c r="H24" s="619">
        <f t="shared" si="0"/>
        <v>1026290066.8333229</v>
      </c>
    </row>
    <row r="25" spans="1:8" ht="15.75">
      <c r="A25" s="77" t="s">
        <v>17</v>
      </c>
      <c r="B25" s="192" t="s">
        <v>77</v>
      </c>
      <c r="C25" s="617">
        <v>0</v>
      </c>
      <c r="D25" s="617">
        <v>138258378.00621551</v>
      </c>
      <c r="E25" s="618">
        <f t="shared" si="1"/>
        <v>138258378.00621551</v>
      </c>
      <c r="F25" s="617">
        <v>0</v>
      </c>
      <c r="G25" s="617">
        <v>166438900.91070509</v>
      </c>
      <c r="H25" s="619">
        <f t="shared" si="0"/>
        <v>166438900.91070509</v>
      </c>
    </row>
    <row r="26" spans="1:8" ht="15.75">
      <c r="A26" s="77" t="s">
        <v>18</v>
      </c>
      <c r="B26" s="192" t="s">
        <v>78</v>
      </c>
      <c r="C26" s="617">
        <v>13397382.508474577</v>
      </c>
      <c r="D26" s="617">
        <v>381229384.82280242</v>
      </c>
      <c r="E26" s="618">
        <f t="shared" si="1"/>
        <v>394626767.33127701</v>
      </c>
      <c r="F26" s="617">
        <v>15454167.000000002</v>
      </c>
      <c r="G26" s="617">
        <v>382716732.01352817</v>
      </c>
      <c r="H26" s="619">
        <f t="shared" si="0"/>
        <v>398170899.01352817</v>
      </c>
    </row>
    <row r="27" spans="1:8" ht="15.75">
      <c r="A27" s="77" t="s">
        <v>19</v>
      </c>
      <c r="B27" s="192" t="s">
        <v>79</v>
      </c>
      <c r="C27" s="617">
        <v>0</v>
      </c>
      <c r="D27" s="617">
        <v>88867553.698566735</v>
      </c>
      <c r="E27" s="618">
        <f t="shared" si="1"/>
        <v>88867553.698566735</v>
      </c>
      <c r="F27" s="617">
        <v>0</v>
      </c>
      <c r="G27" s="617">
        <v>89102137.265042439</v>
      </c>
      <c r="H27" s="619">
        <f t="shared" si="0"/>
        <v>89102137.265042439</v>
      </c>
    </row>
    <row r="28" spans="1:8" ht="15.75">
      <c r="A28" s="77">
        <v>5.4</v>
      </c>
      <c r="B28" s="235" t="s">
        <v>294</v>
      </c>
      <c r="C28" s="617">
        <v>193038397.28818431</v>
      </c>
      <c r="D28" s="617">
        <v>262577705.45831689</v>
      </c>
      <c r="E28" s="618">
        <f t="shared" si="1"/>
        <v>455616102.74650121</v>
      </c>
      <c r="F28" s="617">
        <v>154963927.89030343</v>
      </c>
      <c r="G28" s="617">
        <v>470837733.87749046</v>
      </c>
      <c r="H28" s="619">
        <f t="shared" si="0"/>
        <v>625801661.76779389</v>
      </c>
    </row>
    <row r="29" spans="1:8" ht="15.75">
      <c r="A29" s="77">
        <v>5.5</v>
      </c>
      <c r="B29" s="235" t="s">
        <v>295</v>
      </c>
      <c r="C29" s="617">
        <v>22753825.811951999</v>
      </c>
      <c r="D29" s="617">
        <v>206277043.93919998</v>
      </c>
      <c r="E29" s="618">
        <f t="shared" si="1"/>
        <v>229030869.75115198</v>
      </c>
      <c r="F29" s="617">
        <v>10726543.039999999</v>
      </c>
      <c r="G29" s="617">
        <v>197182595.82449999</v>
      </c>
      <c r="H29" s="619">
        <f t="shared" si="0"/>
        <v>207909138.86449999</v>
      </c>
    </row>
    <row r="30" spans="1:8" ht="15.75">
      <c r="A30" s="77">
        <v>5.6</v>
      </c>
      <c r="B30" s="235" t="s">
        <v>296</v>
      </c>
      <c r="C30" s="617">
        <v>0</v>
      </c>
      <c r="D30" s="617">
        <v>4801280</v>
      </c>
      <c r="E30" s="618">
        <f t="shared" si="1"/>
        <v>4801280</v>
      </c>
      <c r="F30" s="617">
        <v>0</v>
      </c>
      <c r="G30" s="617">
        <v>5078730</v>
      </c>
      <c r="H30" s="619">
        <f t="shared" si="0"/>
        <v>5078730</v>
      </c>
    </row>
    <row r="31" spans="1:8" ht="15.75">
      <c r="A31" s="77">
        <v>5.7</v>
      </c>
      <c r="B31" s="235" t="s">
        <v>79</v>
      </c>
      <c r="C31" s="617">
        <v>2887869</v>
      </c>
      <c r="D31" s="617">
        <v>30331699.261951983</v>
      </c>
      <c r="E31" s="618">
        <f t="shared" si="1"/>
        <v>33219568.261951983</v>
      </c>
      <c r="F31" s="617">
        <v>23120083.710000001</v>
      </c>
      <c r="G31" s="617">
        <v>32084467.265531987</v>
      </c>
      <c r="H31" s="619">
        <f t="shared" si="0"/>
        <v>55204550.975531988</v>
      </c>
    </row>
    <row r="32" spans="1:8" ht="15.75">
      <c r="A32" s="77">
        <v>6</v>
      </c>
      <c r="B32" s="191" t="s">
        <v>324</v>
      </c>
      <c r="C32" s="617"/>
      <c r="D32" s="617"/>
      <c r="E32" s="618">
        <f t="shared" si="1"/>
        <v>0</v>
      </c>
      <c r="F32" s="617"/>
      <c r="G32" s="617"/>
      <c r="H32" s="619">
        <f t="shared" si="0"/>
        <v>0</v>
      </c>
    </row>
    <row r="33" spans="1:8" ht="15.75">
      <c r="A33" s="77">
        <v>6.1</v>
      </c>
      <c r="B33" s="236" t="s">
        <v>314</v>
      </c>
      <c r="C33" s="617"/>
      <c r="D33" s="617">
        <v>29911525.25</v>
      </c>
      <c r="E33" s="618">
        <f t="shared" si="1"/>
        <v>29911525.25</v>
      </c>
      <c r="F33" s="617"/>
      <c r="G33" s="617">
        <v>78246584.170000002</v>
      </c>
      <c r="H33" s="619">
        <f t="shared" si="0"/>
        <v>78246584.170000002</v>
      </c>
    </row>
    <row r="34" spans="1:8" ht="15.75">
      <c r="A34" s="77">
        <v>6.2</v>
      </c>
      <c r="B34" s="236" t="s">
        <v>315</v>
      </c>
      <c r="C34" s="617">
        <v>12502400</v>
      </c>
      <c r="D34" s="617">
        <v>17520000</v>
      </c>
      <c r="E34" s="618">
        <f t="shared" si="1"/>
        <v>30022400</v>
      </c>
      <c r="F34" s="617">
        <v>19854000</v>
      </c>
      <c r="G34" s="617">
        <v>60349500</v>
      </c>
      <c r="H34" s="619">
        <f t="shared" si="0"/>
        <v>80203500</v>
      </c>
    </row>
    <row r="35" spans="1:8" ht="15.75">
      <c r="A35" s="77">
        <v>6.3</v>
      </c>
      <c r="B35" s="236" t="s">
        <v>311</v>
      </c>
      <c r="C35" s="617"/>
      <c r="D35" s="617"/>
      <c r="E35" s="618">
        <f t="shared" si="1"/>
        <v>0</v>
      </c>
      <c r="F35" s="617"/>
      <c r="G35" s="617"/>
      <c r="H35" s="619">
        <f t="shared" si="0"/>
        <v>0</v>
      </c>
    </row>
    <row r="36" spans="1:8" ht="15.75">
      <c r="A36" s="77">
        <v>6.4</v>
      </c>
      <c r="B36" s="236" t="s">
        <v>312</v>
      </c>
      <c r="C36" s="617"/>
      <c r="D36" s="617"/>
      <c r="E36" s="618">
        <f t="shared" si="1"/>
        <v>0</v>
      </c>
      <c r="F36" s="617"/>
      <c r="G36" s="617"/>
      <c r="H36" s="619">
        <f t="shared" si="0"/>
        <v>0</v>
      </c>
    </row>
    <row r="37" spans="1:8" ht="15.75">
      <c r="A37" s="77">
        <v>6.5</v>
      </c>
      <c r="B37" s="236" t="s">
        <v>313</v>
      </c>
      <c r="C37" s="617"/>
      <c r="D37" s="617"/>
      <c r="E37" s="618">
        <f t="shared" si="1"/>
        <v>0</v>
      </c>
      <c r="F37" s="617"/>
      <c r="G37" s="617"/>
      <c r="H37" s="619">
        <f t="shared" si="0"/>
        <v>0</v>
      </c>
    </row>
    <row r="38" spans="1:8" ht="15.75">
      <c r="A38" s="77">
        <v>6.6</v>
      </c>
      <c r="B38" s="236" t="s">
        <v>316</v>
      </c>
      <c r="C38" s="617"/>
      <c r="D38" s="617"/>
      <c r="E38" s="618">
        <f t="shared" si="1"/>
        <v>0</v>
      </c>
      <c r="F38" s="617"/>
      <c r="G38" s="617"/>
      <c r="H38" s="619">
        <f t="shared" si="0"/>
        <v>0</v>
      </c>
    </row>
    <row r="39" spans="1:8" ht="15.75">
      <c r="A39" s="77">
        <v>6.7</v>
      </c>
      <c r="B39" s="236" t="s">
        <v>317</v>
      </c>
      <c r="C39" s="617"/>
      <c r="D39" s="617"/>
      <c r="E39" s="618">
        <f t="shared" si="1"/>
        <v>0</v>
      </c>
      <c r="F39" s="617"/>
      <c r="G39" s="617"/>
      <c r="H39" s="619">
        <f t="shared" si="0"/>
        <v>0</v>
      </c>
    </row>
    <row r="40" spans="1:8" ht="15.75">
      <c r="A40" s="77">
        <v>7</v>
      </c>
      <c r="B40" s="191" t="s">
        <v>320</v>
      </c>
      <c r="C40" s="617"/>
      <c r="D40" s="617"/>
      <c r="E40" s="618">
        <f t="shared" si="1"/>
        <v>0</v>
      </c>
      <c r="F40" s="617"/>
      <c r="G40" s="617"/>
      <c r="H40" s="619">
        <f t="shared" si="0"/>
        <v>0</v>
      </c>
    </row>
    <row r="41" spans="1:8" ht="15.75">
      <c r="A41" s="77">
        <v>7.1</v>
      </c>
      <c r="B41" s="190" t="s">
        <v>321</v>
      </c>
      <c r="C41" s="617">
        <v>143846.97999999998</v>
      </c>
      <c r="D41" s="617">
        <v>24095.739999999991</v>
      </c>
      <c r="E41" s="618">
        <f t="shared" si="1"/>
        <v>167942.71999999997</v>
      </c>
      <c r="F41" s="617">
        <v>1406337.0899999999</v>
      </c>
      <c r="G41" s="617">
        <v>1362838.9100000001</v>
      </c>
      <c r="H41" s="619">
        <f t="shared" si="0"/>
        <v>2769176</v>
      </c>
    </row>
    <row r="42" spans="1:8" ht="25.5">
      <c r="A42" s="77">
        <v>7.2</v>
      </c>
      <c r="B42" s="190" t="s">
        <v>322</v>
      </c>
      <c r="C42" s="617">
        <v>2276648.8900000155</v>
      </c>
      <c r="D42" s="617">
        <v>4800029.2200000184</v>
      </c>
      <c r="E42" s="618">
        <f t="shared" si="1"/>
        <v>7076678.1100000339</v>
      </c>
      <c r="F42" s="617">
        <v>2962875.1000000327</v>
      </c>
      <c r="G42" s="617">
        <v>6855260.5500000119</v>
      </c>
      <c r="H42" s="619">
        <f t="shared" si="0"/>
        <v>9818135.6500000451</v>
      </c>
    </row>
    <row r="43" spans="1:8" ht="25.5">
      <c r="A43" s="77">
        <v>7.3</v>
      </c>
      <c r="B43" s="190" t="s">
        <v>325</v>
      </c>
      <c r="C43" s="617">
        <v>5056909.4699999988</v>
      </c>
      <c r="D43" s="617">
        <v>9418578.8500000015</v>
      </c>
      <c r="E43" s="618">
        <f t="shared" si="1"/>
        <v>14475488.32</v>
      </c>
      <c r="F43" s="617">
        <v>4705454.459999999</v>
      </c>
      <c r="G43" s="617">
        <v>8498072.1099999994</v>
      </c>
      <c r="H43" s="619">
        <f t="shared" si="0"/>
        <v>13203526.569999998</v>
      </c>
    </row>
    <row r="44" spans="1:8" ht="25.5">
      <c r="A44" s="77">
        <v>7.4</v>
      </c>
      <c r="B44" s="190" t="s">
        <v>326</v>
      </c>
      <c r="C44" s="617">
        <v>60950938.189997673</v>
      </c>
      <c r="D44" s="617">
        <v>137280462.90000501</v>
      </c>
      <c r="E44" s="618">
        <f t="shared" si="1"/>
        <v>198231401.09000269</v>
      </c>
      <c r="F44" s="617">
        <v>59694417.669997379</v>
      </c>
      <c r="G44" s="617">
        <v>129813296.42000209</v>
      </c>
      <c r="H44" s="619">
        <f t="shared" si="0"/>
        <v>189507714.08999947</v>
      </c>
    </row>
    <row r="45" spans="1:8" ht="15.75">
      <c r="A45" s="77">
        <v>8</v>
      </c>
      <c r="B45" s="191" t="s">
        <v>303</v>
      </c>
      <c r="C45" s="617">
        <v>2122486.3571839998</v>
      </c>
      <c r="D45" s="617">
        <v>0</v>
      </c>
      <c r="E45" s="618">
        <f>SUM(E46:E52)</f>
        <v>2122486.3571839998</v>
      </c>
      <c r="F45" s="617">
        <v>2103598.8425440001</v>
      </c>
      <c r="G45" s="617">
        <v>0</v>
      </c>
      <c r="H45" s="619">
        <f t="shared" si="0"/>
        <v>2103598.8425440001</v>
      </c>
    </row>
    <row r="46" spans="1:8" ht="15.75">
      <c r="A46" s="77">
        <v>8.1</v>
      </c>
      <c r="B46" s="234" t="s">
        <v>327</v>
      </c>
      <c r="C46" s="617">
        <v>96450.317184000014</v>
      </c>
      <c r="D46" s="617">
        <v>0</v>
      </c>
      <c r="E46" s="618">
        <f t="shared" si="1"/>
        <v>96450.317184000014</v>
      </c>
      <c r="F46" s="617">
        <v>105482.00054400001</v>
      </c>
      <c r="G46" s="617">
        <v>0</v>
      </c>
      <c r="H46" s="619">
        <f t="shared" si="0"/>
        <v>105482.00054400001</v>
      </c>
    </row>
    <row r="47" spans="1:8" ht="15.75">
      <c r="A47" s="77">
        <v>8.1999999999999993</v>
      </c>
      <c r="B47" s="234" t="s">
        <v>328</v>
      </c>
      <c r="C47" s="617">
        <v>1969401.4799999997</v>
      </c>
      <c r="D47" s="617">
        <v>0</v>
      </c>
      <c r="E47" s="618">
        <f t="shared" si="1"/>
        <v>1969401.4799999997</v>
      </c>
      <c r="F47" s="617">
        <v>1944863.1760000002</v>
      </c>
      <c r="G47" s="617">
        <v>0</v>
      </c>
      <c r="H47" s="619">
        <f t="shared" si="0"/>
        <v>1944863.1760000002</v>
      </c>
    </row>
    <row r="48" spans="1:8" ht="15.75">
      <c r="A48" s="77">
        <v>8.3000000000000007</v>
      </c>
      <c r="B48" s="234" t="s">
        <v>329</v>
      </c>
      <c r="C48" s="617">
        <v>38600.32</v>
      </c>
      <c r="D48" s="617">
        <v>0</v>
      </c>
      <c r="E48" s="618">
        <f t="shared" si="1"/>
        <v>38600.32</v>
      </c>
      <c r="F48" s="617">
        <v>34013.226000000002</v>
      </c>
      <c r="G48" s="617">
        <v>0</v>
      </c>
      <c r="H48" s="619">
        <f t="shared" si="0"/>
        <v>34013.226000000002</v>
      </c>
    </row>
    <row r="49" spans="1:8" ht="15.75">
      <c r="A49" s="77">
        <v>8.4</v>
      </c>
      <c r="B49" s="234" t="s">
        <v>330</v>
      </c>
      <c r="C49" s="617">
        <v>17134.239999999998</v>
      </c>
      <c r="D49" s="617">
        <v>0</v>
      </c>
      <c r="E49" s="618">
        <f t="shared" si="1"/>
        <v>17134.239999999998</v>
      </c>
      <c r="F49" s="617">
        <v>14740.44</v>
      </c>
      <c r="G49" s="617">
        <v>0</v>
      </c>
      <c r="H49" s="619">
        <f t="shared" si="0"/>
        <v>14740.44</v>
      </c>
    </row>
    <row r="50" spans="1:8" ht="15.75">
      <c r="A50" s="77">
        <v>8.5</v>
      </c>
      <c r="B50" s="234" t="s">
        <v>331</v>
      </c>
      <c r="C50" s="617">
        <v>900</v>
      </c>
      <c r="D50" s="617">
        <v>0</v>
      </c>
      <c r="E50" s="618">
        <f t="shared" si="1"/>
        <v>900</v>
      </c>
      <c r="F50" s="617">
        <v>3600</v>
      </c>
      <c r="G50" s="617">
        <v>0</v>
      </c>
      <c r="H50" s="619">
        <f t="shared" si="0"/>
        <v>3600</v>
      </c>
    </row>
    <row r="51" spans="1:8" ht="15.75">
      <c r="A51" s="77">
        <v>8.6</v>
      </c>
      <c r="B51" s="234" t="s">
        <v>332</v>
      </c>
      <c r="C51" s="617">
        <v>0</v>
      </c>
      <c r="D51" s="617">
        <v>0</v>
      </c>
      <c r="E51" s="618">
        <f t="shared" si="1"/>
        <v>0</v>
      </c>
      <c r="F51" s="617">
        <v>900</v>
      </c>
      <c r="G51" s="617">
        <v>0</v>
      </c>
      <c r="H51" s="619">
        <f t="shared" si="0"/>
        <v>900</v>
      </c>
    </row>
    <row r="52" spans="1:8" ht="15.75">
      <c r="A52" s="77">
        <v>8.6999999999999993</v>
      </c>
      <c r="B52" s="234" t="s">
        <v>333</v>
      </c>
      <c r="C52" s="617">
        <v>0</v>
      </c>
      <c r="D52" s="617">
        <v>0</v>
      </c>
      <c r="E52" s="618">
        <f t="shared" si="1"/>
        <v>0</v>
      </c>
      <c r="F52" s="617">
        <v>0</v>
      </c>
      <c r="G52" s="617">
        <v>0</v>
      </c>
      <c r="H52" s="619">
        <f t="shared" si="0"/>
        <v>0</v>
      </c>
    </row>
    <row r="53" spans="1:8" ht="16.5" thickBot="1">
      <c r="A53" s="193">
        <v>9</v>
      </c>
      <c r="B53" s="194" t="s">
        <v>323</v>
      </c>
      <c r="C53" s="620"/>
      <c r="D53" s="620"/>
      <c r="E53" s="621">
        <f t="shared" si="1"/>
        <v>0</v>
      </c>
      <c r="F53" s="620"/>
      <c r="G53" s="620"/>
      <c r="H53" s="62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cols>
    <col min="1" max="1" width="9.5703125" style="4" bestFit="1" customWidth="1"/>
    <col min="2" max="2" width="93.5703125" style="4" customWidth="1"/>
    <col min="3" max="4" width="13.7109375" style="4" customWidth="1"/>
    <col min="5" max="7" width="13.7109375" style="31" customWidth="1"/>
    <col min="8" max="11" width="9.7109375" style="31" customWidth="1"/>
    <col min="12" max="16384" width="9.28515625" style="31"/>
  </cols>
  <sheetData>
    <row r="1" spans="1:7">
      <c r="A1" s="2" t="s">
        <v>30</v>
      </c>
      <c r="B1" s="3" t="str">
        <f>'Info '!C2</f>
        <v>JSC CARTU BANK</v>
      </c>
      <c r="C1" s="3"/>
    </row>
    <row r="2" spans="1:7">
      <c r="A2" s="2" t="s">
        <v>31</v>
      </c>
      <c r="B2" s="370">
        <f>'1. key ratios '!B2</f>
        <v>44561</v>
      </c>
      <c r="C2" s="3"/>
    </row>
    <row r="3" spans="1:7">
      <c r="A3" s="2"/>
      <c r="B3" s="3"/>
      <c r="C3" s="3"/>
    </row>
    <row r="4" spans="1:7" ht="15" customHeight="1" thickBot="1">
      <c r="A4" s="4" t="s">
        <v>198</v>
      </c>
      <c r="B4" s="137" t="s">
        <v>297</v>
      </c>
      <c r="C4" s="49" t="s">
        <v>73</v>
      </c>
    </row>
    <row r="5" spans="1:7" ht="15" customHeight="1">
      <c r="A5" s="221" t="s">
        <v>6</v>
      </c>
      <c r="B5" s="222"/>
      <c r="C5" s="368" t="str">
        <f>INT((MONTH($B$2))/3)&amp;"Q"&amp;"-"&amp;YEAR($B$2)</f>
        <v>4Q-2021</v>
      </c>
      <c r="D5" s="368" t="str">
        <f>IF(INT(MONTH($B$2))=3, "4"&amp;"Q"&amp;"-"&amp;YEAR($B$2)-1, IF(INT(MONTH($B$2))=6, "1"&amp;"Q"&amp;"-"&amp;YEAR($B$2), IF(INT(MONTH($B$2))=9, "2"&amp;"Q"&amp;"-"&amp;YEAR($B$2),IF(INT(MONTH($B$2))=12, "3"&amp;"Q"&amp;"-"&amp;YEAR($B$2), 0))))</f>
        <v>3Q-2021</v>
      </c>
      <c r="E5" s="368" t="str">
        <f>IF(INT(MONTH($B$2))=3, "3"&amp;"Q"&amp;"-"&amp;YEAR($B$2)-1, IF(INT(MONTH($B$2))=6, "4"&amp;"Q"&amp;"-"&amp;YEAR($B$2)-1, IF(INT(MONTH($B$2))=9, "1"&amp;"Q"&amp;"-"&amp;YEAR($B$2),IF(INT(MONTH($B$2))=12, "2"&amp;"Q"&amp;"-"&amp;YEAR($B$2), 0))))</f>
        <v>2Q-2021</v>
      </c>
      <c r="F5" s="368" t="str">
        <f>IF(INT(MONTH($B$2))=3, "2"&amp;"Q"&amp;"-"&amp;YEAR($B$2)-1, IF(INT(MONTH($B$2))=6, "3"&amp;"Q"&amp;"-"&amp;YEAR($B$2)-1, IF(INT(MONTH($B$2))=9, "4"&amp;"Q"&amp;"-"&amp;YEAR($B$2)-1,IF(INT(MONTH($B$2))=12, "1"&amp;"Q"&amp;"-"&amp;YEAR($B$2), 0))))</f>
        <v>1Q-2021</v>
      </c>
      <c r="G5" s="369" t="str">
        <f>IF(INT(MONTH($B$2))=3, "1"&amp;"Q"&amp;"-"&amp;YEAR($B$2)-1, IF(INT(MONTH($B$2))=6, "2"&amp;"Q"&amp;"-"&amp;YEAR($B$2)-1, IF(INT(MONTH($B$2))=9, "3"&amp;"Q"&amp;"-"&amp;YEAR($B$2)-1,IF(INT(MONTH($B$2))=12, "4"&amp;"Q"&amp;"-"&amp;YEAR($B$2)-1, 0))))</f>
        <v>4Q-2020</v>
      </c>
    </row>
    <row r="6" spans="1:7" ht="15" customHeight="1">
      <c r="A6" s="50">
        <v>1</v>
      </c>
      <c r="B6" s="310" t="s">
        <v>301</v>
      </c>
      <c r="C6" s="623">
        <f>C7+C9+C10</f>
        <v>1161153557.2589002</v>
      </c>
      <c r="D6" s="624">
        <f>D7+D9+D10</f>
        <v>1174630332.3047283</v>
      </c>
      <c r="E6" s="624">
        <f t="shared" ref="E6:G6" si="0">E7+E9+E10</f>
        <v>1233193198.9992094</v>
      </c>
      <c r="F6" s="623">
        <f t="shared" si="0"/>
        <v>1341919280.7882493</v>
      </c>
      <c r="G6" s="625">
        <f t="shared" si="0"/>
        <v>1334090037.0837593</v>
      </c>
    </row>
    <row r="7" spans="1:7" ht="15" customHeight="1">
      <c r="A7" s="50">
        <v>1.1000000000000001</v>
      </c>
      <c r="B7" s="310" t="s">
        <v>481</v>
      </c>
      <c r="C7" s="626">
        <v>1128092368.3730202</v>
      </c>
      <c r="D7" s="627">
        <v>1131607065.0510361</v>
      </c>
      <c r="E7" s="627">
        <v>1203787592.3812177</v>
      </c>
      <c r="F7" s="626">
        <v>1310108647.8626573</v>
      </c>
      <c r="G7" s="628">
        <v>1295330298.2654977</v>
      </c>
    </row>
    <row r="8" spans="1:7">
      <c r="A8" s="50" t="s">
        <v>14</v>
      </c>
      <c r="B8" s="310" t="s">
        <v>197</v>
      </c>
      <c r="C8" s="626">
        <v>40402657.5</v>
      </c>
      <c r="D8" s="627">
        <v>40152727.5</v>
      </c>
      <c r="E8" s="627">
        <v>39042007.5</v>
      </c>
      <c r="F8" s="626">
        <v>39752650</v>
      </c>
      <c r="G8" s="628">
        <v>40165010</v>
      </c>
    </row>
    <row r="9" spans="1:7" ht="15" customHeight="1">
      <c r="A9" s="50">
        <v>1.2</v>
      </c>
      <c r="B9" s="311" t="s">
        <v>196</v>
      </c>
      <c r="C9" s="626">
        <v>32460740.885879934</v>
      </c>
      <c r="D9" s="627">
        <v>42189467.253692165</v>
      </c>
      <c r="E9" s="627">
        <v>28803878.617991645</v>
      </c>
      <c r="F9" s="626">
        <v>31410192.925591871</v>
      </c>
      <c r="G9" s="628">
        <v>37155668.818261586</v>
      </c>
    </row>
    <row r="10" spans="1:7" ht="15" customHeight="1">
      <c r="A10" s="50">
        <v>1.3</v>
      </c>
      <c r="B10" s="310" t="s">
        <v>28</v>
      </c>
      <c r="C10" s="626">
        <v>600448</v>
      </c>
      <c r="D10" s="627">
        <v>833800</v>
      </c>
      <c r="E10" s="627">
        <v>601728</v>
      </c>
      <c r="F10" s="626">
        <v>400440</v>
      </c>
      <c r="G10" s="628">
        <v>1604070</v>
      </c>
    </row>
    <row r="11" spans="1:7" ht="15" customHeight="1">
      <c r="A11" s="50">
        <v>2</v>
      </c>
      <c r="B11" s="310" t="s">
        <v>298</v>
      </c>
      <c r="C11" s="626">
        <v>32703895.311471444</v>
      </c>
      <c r="D11" s="627">
        <v>43545013.770006515</v>
      </c>
      <c r="E11" s="627">
        <v>30807802.803780936</v>
      </c>
      <c r="F11" s="626">
        <v>15959405.689869506</v>
      </c>
      <c r="G11" s="628">
        <v>14246901.453070909</v>
      </c>
    </row>
    <row r="12" spans="1:7" ht="15" customHeight="1">
      <c r="A12" s="50">
        <v>3</v>
      </c>
      <c r="B12" s="310" t="s">
        <v>299</v>
      </c>
      <c r="C12" s="626">
        <v>105286124.37499999</v>
      </c>
      <c r="D12" s="627">
        <v>100202502.49999999</v>
      </c>
      <c r="E12" s="627">
        <v>100202502.49999999</v>
      </c>
      <c r="F12" s="626">
        <v>100202502.49999999</v>
      </c>
      <c r="G12" s="628">
        <v>100202502.49999999</v>
      </c>
    </row>
    <row r="13" spans="1:7" ht="15" customHeight="1" thickBot="1">
      <c r="A13" s="52">
        <v>4</v>
      </c>
      <c r="B13" s="53" t="s">
        <v>300</v>
      </c>
      <c r="C13" s="312">
        <f>C6+C11+C12</f>
        <v>1299143576.9453716</v>
      </c>
      <c r="D13" s="366">
        <f>D6+D11+D12</f>
        <v>1318377848.5747347</v>
      </c>
      <c r="E13" s="366">
        <f t="shared" ref="E13:G13" si="1">E6+E11+E12</f>
        <v>1364203504.3029904</v>
      </c>
      <c r="F13" s="312">
        <f t="shared" si="1"/>
        <v>1458081188.9781187</v>
      </c>
      <c r="G13" s="367">
        <f t="shared" si="1"/>
        <v>1448539441.0368302</v>
      </c>
    </row>
    <row r="14" spans="1:7">
      <c r="B14" s="56"/>
    </row>
    <row r="15" spans="1:7" ht="25.5">
      <c r="B15" s="56" t="s">
        <v>482</v>
      </c>
    </row>
    <row r="16" spans="1:7">
      <c r="B16" s="56"/>
    </row>
    <row r="17" s="31" customFormat="1" ht="11.25"/>
    <row r="18" s="31" customFormat="1" ht="11.25"/>
    <row r="19" s="31" customFormat="1" ht="11.25"/>
    <row r="20" s="31" customFormat="1" ht="11.25"/>
    <row r="21" s="31" customFormat="1" ht="11.25"/>
    <row r="22" s="31" customFormat="1" ht="11.25"/>
    <row r="23" s="31" customFormat="1" ht="11.25"/>
    <row r="24" s="31" customFormat="1" ht="11.25"/>
    <row r="25" s="31" customFormat="1" ht="11.25"/>
    <row r="26" s="31" customFormat="1" ht="11.25"/>
    <row r="27" s="31" customFormat="1" ht="11.25"/>
    <row r="28" s="31" customFormat="1" ht="11.25"/>
    <row r="29" s="31"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CARTU BANK</v>
      </c>
    </row>
    <row r="2" spans="1:8">
      <c r="A2" s="2" t="s">
        <v>31</v>
      </c>
      <c r="B2" s="370">
        <f>'1. key ratios '!B2</f>
        <v>44561</v>
      </c>
    </row>
    <row r="4" spans="1:8" ht="28.15" customHeight="1" thickBot="1">
      <c r="A4" s="57" t="s">
        <v>80</v>
      </c>
      <c r="B4" s="58" t="s">
        <v>267</v>
      </c>
      <c r="C4" s="59"/>
    </row>
    <row r="5" spans="1:8">
      <c r="A5" s="60"/>
      <c r="B5" s="361" t="s">
        <v>81</v>
      </c>
      <c r="C5" s="362" t="s">
        <v>495</v>
      </c>
    </row>
    <row r="6" spans="1:8">
      <c r="A6" s="61">
        <v>1</v>
      </c>
      <c r="B6" s="491" t="s">
        <v>712</v>
      </c>
      <c r="C6" s="492" t="s">
        <v>716</v>
      </c>
    </row>
    <row r="7" spans="1:8">
      <c r="A7" s="61">
        <v>2</v>
      </c>
      <c r="B7" s="491" t="s">
        <v>717</v>
      </c>
      <c r="C7" s="492" t="s">
        <v>718</v>
      </c>
    </row>
    <row r="8" spans="1:8">
      <c r="A8" s="61">
        <v>3</v>
      </c>
      <c r="B8" s="491" t="s">
        <v>719</v>
      </c>
      <c r="C8" s="492" t="s">
        <v>720</v>
      </c>
    </row>
    <row r="9" spans="1:8">
      <c r="A9" s="61">
        <v>4</v>
      </c>
      <c r="B9" s="491" t="s">
        <v>721</v>
      </c>
      <c r="C9" s="492" t="s">
        <v>720</v>
      </c>
    </row>
    <row r="10" spans="1:8">
      <c r="A10" s="61">
        <v>5</v>
      </c>
      <c r="B10" s="491" t="s">
        <v>722</v>
      </c>
      <c r="C10" s="492" t="s">
        <v>718</v>
      </c>
    </row>
    <row r="11" spans="1:8">
      <c r="A11" s="61">
        <v>6</v>
      </c>
      <c r="B11" s="62"/>
      <c r="C11" s="63"/>
    </row>
    <row r="12" spans="1:8">
      <c r="A12" s="61">
        <v>7</v>
      </c>
      <c r="B12" s="62"/>
      <c r="C12" s="63"/>
      <c r="H12" s="64"/>
    </row>
    <row r="13" spans="1:8">
      <c r="A13" s="61">
        <v>8</v>
      </c>
      <c r="B13" s="62"/>
      <c r="C13" s="63"/>
    </row>
    <row r="14" spans="1:8">
      <c r="A14" s="61">
        <v>9</v>
      </c>
      <c r="B14" s="62"/>
      <c r="C14" s="63"/>
    </row>
    <row r="15" spans="1:8">
      <c r="A15" s="61">
        <v>10</v>
      </c>
      <c r="B15" s="62"/>
      <c r="C15" s="63"/>
    </row>
    <row r="16" spans="1:8">
      <c r="A16" s="61"/>
      <c r="B16" s="363"/>
      <c r="C16" s="364"/>
    </row>
    <row r="17" spans="1:3" ht="25.5">
      <c r="A17" s="61"/>
      <c r="B17" s="200" t="s">
        <v>82</v>
      </c>
      <c r="C17" s="365" t="s">
        <v>496</v>
      </c>
    </row>
    <row r="18" spans="1:3">
      <c r="A18" s="61">
        <v>1</v>
      </c>
      <c r="B18" s="491" t="s">
        <v>713</v>
      </c>
      <c r="C18" s="493" t="s">
        <v>723</v>
      </c>
    </row>
    <row r="19" spans="1:3">
      <c r="A19" s="61">
        <v>2</v>
      </c>
      <c r="B19" s="491" t="s">
        <v>724</v>
      </c>
      <c r="C19" s="493" t="s">
        <v>725</v>
      </c>
    </row>
    <row r="20" spans="1:3">
      <c r="A20" s="61">
        <v>3</v>
      </c>
      <c r="B20" s="491" t="s">
        <v>726</v>
      </c>
      <c r="C20" s="493" t="s">
        <v>727</v>
      </c>
    </row>
    <row r="21" spans="1:3">
      <c r="A21" s="61">
        <v>4</v>
      </c>
      <c r="B21" s="491" t="s">
        <v>728</v>
      </c>
      <c r="C21" s="493" t="s">
        <v>729</v>
      </c>
    </row>
    <row r="22" spans="1:3">
      <c r="A22" s="61">
        <v>5</v>
      </c>
      <c r="B22" s="491" t="s">
        <v>730</v>
      </c>
      <c r="C22" s="493" t="s">
        <v>731</v>
      </c>
    </row>
    <row r="23" spans="1:3">
      <c r="A23" s="61">
        <v>6</v>
      </c>
      <c r="B23" s="62"/>
      <c r="C23" s="65"/>
    </row>
    <row r="24" spans="1:3">
      <c r="A24" s="61">
        <v>7</v>
      </c>
      <c r="B24" s="62"/>
      <c r="C24" s="65"/>
    </row>
    <row r="25" spans="1:3">
      <c r="A25" s="61">
        <v>8</v>
      </c>
      <c r="B25" s="62"/>
      <c r="C25" s="65"/>
    </row>
    <row r="26" spans="1:3">
      <c r="A26" s="61">
        <v>9</v>
      </c>
      <c r="B26" s="62"/>
      <c r="C26" s="65"/>
    </row>
    <row r="27" spans="1:3" ht="15.75" customHeight="1">
      <c r="A27" s="61">
        <v>10</v>
      </c>
      <c r="B27" s="62"/>
      <c r="C27" s="66"/>
    </row>
    <row r="28" spans="1:3" ht="15.75" customHeight="1">
      <c r="A28" s="61"/>
      <c r="B28" s="62"/>
      <c r="C28" s="66"/>
    </row>
    <row r="29" spans="1:3" ht="30" customHeight="1">
      <c r="A29" s="61"/>
      <c r="B29" s="650" t="s">
        <v>83</v>
      </c>
      <c r="C29" s="651"/>
    </row>
    <row r="30" spans="1:3">
      <c r="A30" s="61">
        <v>1</v>
      </c>
      <c r="B30" s="491" t="s">
        <v>732</v>
      </c>
      <c r="C30" s="494">
        <v>1</v>
      </c>
    </row>
    <row r="31" spans="1:3" ht="15.75" customHeight="1">
      <c r="A31" s="61"/>
      <c r="B31" s="62"/>
      <c r="C31" s="63"/>
    </row>
    <row r="32" spans="1:3" ht="29.25" customHeight="1">
      <c r="A32" s="61"/>
      <c r="B32" s="650" t="s">
        <v>84</v>
      </c>
      <c r="C32" s="651"/>
    </row>
    <row r="33" spans="1:3">
      <c r="A33" s="61">
        <v>1</v>
      </c>
      <c r="B33" s="491" t="s">
        <v>733</v>
      </c>
      <c r="C33" s="494">
        <v>1</v>
      </c>
    </row>
    <row r="34" spans="1:3" ht="15" thickBot="1">
      <c r="A34" s="67"/>
      <c r="B34" s="68"/>
      <c r="C34" s="69"/>
    </row>
  </sheetData>
  <mergeCells count="2">
    <mergeCell ref="B32:C32"/>
    <mergeCell ref="B29:C29"/>
  </mergeCells>
  <dataValidations disablePrompts="1"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55" t="s">
        <v>30</v>
      </c>
      <c r="B1" s="3" t="str">
        <f>'Info '!C2</f>
        <v>JSC CARTU BANK</v>
      </c>
    </row>
    <row r="2" spans="1:5" s="2" customFormat="1" ht="15.75" customHeight="1">
      <c r="A2" s="55" t="s">
        <v>31</v>
      </c>
      <c r="B2" s="370">
        <f>'1. key ratios '!B2</f>
        <v>44561</v>
      </c>
    </row>
    <row r="3" spans="1:5" s="2" customFormat="1" ht="15.75" customHeight="1">
      <c r="A3" s="55"/>
    </row>
    <row r="4" spans="1:5" s="2" customFormat="1" ht="15.75" customHeight="1" thickBot="1">
      <c r="A4" s="260" t="s">
        <v>202</v>
      </c>
      <c r="B4" s="656" t="s">
        <v>347</v>
      </c>
      <c r="C4" s="657"/>
      <c r="D4" s="657"/>
      <c r="E4" s="657"/>
    </row>
    <row r="5" spans="1:5" s="73" customFormat="1" ht="17.649999999999999" customHeight="1">
      <c r="A5" s="205"/>
      <c r="B5" s="206"/>
      <c r="C5" s="71" t="s">
        <v>0</v>
      </c>
      <c r="D5" s="71" t="s">
        <v>1</v>
      </c>
      <c r="E5" s="72" t="s">
        <v>2</v>
      </c>
    </row>
    <row r="6" spans="1:5" ht="14.65" customHeight="1">
      <c r="A6" s="151"/>
      <c r="B6" s="652" t="s">
        <v>354</v>
      </c>
      <c r="C6" s="652" t="s">
        <v>93</v>
      </c>
      <c r="D6" s="654" t="s">
        <v>201</v>
      </c>
      <c r="E6" s="655"/>
    </row>
    <row r="7" spans="1:5" ht="99.6" customHeight="1">
      <c r="A7" s="151"/>
      <c r="B7" s="653"/>
      <c r="C7" s="652"/>
      <c r="D7" s="292" t="s">
        <v>200</v>
      </c>
      <c r="E7" s="293" t="s">
        <v>355</v>
      </c>
    </row>
    <row r="8" spans="1:5">
      <c r="A8" s="74">
        <v>1</v>
      </c>
      <c r="B8" s="294" t="s">
        <v>35</v>
      </c>
      <c r="C8" s="495">
        <v>26986427</v>
      </c>
      <c r="D8" s="495"/>
      <c r="E8" s="496">
        <v>26986427</v>
      </c>
    </row>
    <row r="9" spans="1:5">
      <c r="A9" s="74">
        <v>2</v>
      </c>
      <c r="B9" s="294" t="s">
        <v>36</v>
      </c>
      <c r="C9" s="495">
        <v>203907519</v>
      </c>
      <c r="D9" s="495"/>
      <c r="E9" s="496">
        <v>203907519</v>
      </c>
    </row>
    <row r="10" spans="1:5">
      <c r="A10" s="74">
        <v>3</v>
      </c>
      <c r="B10" s="294" t="s">
        <v>37</v>
      </c>
      <c r="C10" s="495">
        <v>53942316</v>
      </c>
      <c r="D10" s="495"/>
      <c r="E10" s="496">
        <v>53942316</v>
      </c>
    </row>
    <row r="11" spans="1:5">
      <c r="A11" s="74">
        <v>4</v>
      </c>
      <c r="B11" s="294" t="s">
        <v>38</v>
      </c>
      <c r="C11" s="495">
        <v>0</v>
      </c>
      <c r="D11" s="495"/>
      <c r="E11" s="496">
        <v>0</v>
      </c>
    </row>
    <row r="12" spans="1:5">
      <c r="A12" s="74">
        <v>5</v>
      </c>
      <c r="B12" s="294" t="s">
        <v>39</v>
      </c>
      <c r="C12" s="495">
        <v>49652580</v>
      </c>
      <c r="D12" s="495">
        <v>-132660</v>
      </c>
      <c r="E12" s="496">
        <v>49785240</v>
      </c>
    </row>
    <row r="13" spans="1:5">
      <c r="A13" s="74">
        <v>6.1</v>
      </c>
      <c r="B13" s="295" t="s">
        <v>40</v>
      </c>
      <c r="C13" s="497">
        <v>965168857</v>
      </c>
      <c r="D13" s="495"/>
      <c r="E13" s="496">
        <v>965168857</v>
      </c>
    </row>
    <row r="14" spans="1:5">
      <c r="A14" s="74">
        <v>6.2</v>
      </c>
      <c r="B14" s="296" t="s">
        <v>41</v>
      </c>
      <c r="C14" s="498">
        <v>-159165792</v>
      </c>
      <c r="D14" s="499"/>
      <c r="E14" s="500">
        <v>-159165792</v>
      </c>
    </row>
    <row r="15" spans="1:5">
      <c r="A15" s="74">
        <v>6</v>
      </c>
      <c r="B15" s="294" t="s">
        <v>42</v>
      </c>
      <c r="C15" s="495">
        <v>806003065</v>
      </c>
      <c r="D15" s="495"/>
      <c r="E15" s="496">
        <v>806003065</v>
      </c>
    </row>
    <row r="16" spans="1:5">
      <c r="A16" s="74">
        <v>7</v>
      </c>
      <c r="B16" s="294" t="s">
        <v>43</v>
      </c>
      <c r="C16" s="495">
        <v>20136682</v>
      </c>
      <c r="D16" s="495"/>
      <c r="E16" s="496">
        <v>20136682</v>
      </c>
    </row>
    <row r="17" spans="1:7">
      <c r="A17" s="74">
        <v>8</v>
      </c>
      <c r="B17" s="294" t="s">
        <v>199</v>
      </c>
      <c r="C17" s="495">
        <v>15691955</v>
      </c>
      <c r="D17" s="495"/>
      <c r="E17" s="496">
        <v>15691955</v>
      </c>
      <c r="F17" s="75"/>
      <c r="G17" s="75"/>
    </row>
    <row r="18" spans="1:7">
      <c r="A18" s="74">
        <v>9</v>
      </c>
      <c r="B18" s="294" t="s">
        <v>44</v>
      </c>
      <c r="C18" s="495">
        <v>7793239</v>
      </c>
      <c r="D18" s="495"/>
      <c r="E18" s="496">
        <v>7793239</v>
      </c>
      <c r="G18" s="75"/>
    </row>
    <row r="19" spans="1:7">
      <c r="A19" s="74">
        <v>10</v>
      </c>
      <c r="B19" s="294" t="s">
        <v>45</v>
      </c>
      <c r="C19" s="495">
        <v>20363424</v>
      </c>
      <c r="D19" s="495">
        <v>3903149</v>
      </c>
      <c r="E19" s="496">
        <v>16460275</v>
      </c>
      <c r="G19" s="75"/>
    </row>
    <row r="20" spans="1:7">
      <c r="A20" s="74">
        <v>11</v>
      </c>
      <c r="B20" s="294" t="s">
        <v>46</v>
      </c>
      <c r="C20" s="495">
        <v>19414100</v>
      </c>
      <c r="D20" s="495">
        <v>0</v>
      </c>
      <c r="E20" s="496">
        <v>19414100</v>
      </c>
    </row>
    <row r="21" spans="1:7" ht="26.25" thickBot="1">
      <c r="A21" s="154"/>
      <c r="B21" s="261" t="s">
        <v>357</v>
      </c>
      <c r="C21" s="207">
        <f>SUM(C8:C12, C15:C20)</f>
        <v>1223891307</v>
      </c>
      <c r="D21" s="207">
        <f>SUM(D8:D12, D15:D20)</f>
        <v>3770489</v>
      </c>
      <c r="E21" s="297">
        <f>SUM(E8:E12, E15:E20)</f>
        <v>1220120818</v>
      </c>
    </row>
    <row r="22" spans="1:7">
      <c r="A22" s="5"/>
      <c r="B22" s="5"/>
      <c r="C22" s="5"/>
      <c r="D22" s="5"/>
      <c r="E22" s="5"/>
    </row>
    <row r="23" spans="1:7">
      <c r="A23" s="5"/>
      <c r="B23" s="5"/>
      <c r="C23" s="5"/>
      <c r="D23" s="5"/>
      <c r="E23" s="5"/>
    </row>
    <row r="25" spans="1:7" s="4" customFormat="1">
      <c r="B25" s="76"/>
      <c r="F25" s="5"/>
      <c r="G25" s="5"/>
    </row>
    <row r="26" spans="1:7" s="4" customFormat="1">
      <c r="B26" s="76"/>
      <c r="F26" s="5"/>
      <c r="G26" s="5"/>
    </row>
    <row r="27" spans="1:7" s="4" customFormat="1">
      <c r="B27" s="76"/>
      <c r="F27" s="5"/>
      <c r="G27" s="5"/>
    </row>
    <row r="28" spans="1:7" s="4" customFormat="1">
      <c r="B28" s="76"/>
      <c r="F28" s="5"/>
      <c r="G28" s="5"/>
    </row>
    <row r="29" spans="1:7" s="4" customFormat="1">
      <c r="B29" s="76"/>
      <c r="F29" s="5"/>
      <c r="G29" s="5"/>
    </row>
    <row r="30" spans="1:7" s="4" customFormat="1">
      <c r="B30" s="76"/>
      <c r="F30" s="5"/>
      <c r="G30" s="5"/>
    </row>
    <row r="31" spans="1:7" s="4" customFormat="1">
      <c r="B31" s="76"/>
      <c r="F31" s="5"/>
      <c r="G31" s="5"/>
    </row>
    <row r="32" spans="1:7" s="4" customFormat="1">
      <c r="B32" s="76"/>
      <c r="F32" s="5"/>
      <c r="G32" s="5"/>
    </row>
    <row r="33" spans="2:7" s="4" customFormat="1">
      <c r="B33" s="76"/>
      <c r="F33" s="5"/>
      <c r="G33" s="5"/>
    </row>
    <row r="34" spans="2:7" s="4" customFormat="1">
      <c r="B34" s="76"/>
      <c r="F34" s="5"/>
      <c r="G34" s="5"/>
    </row>
    <row r="35" spans="2:7" s="4" customFormat="1">
      <c r="B35" s="76"/>
      <c r="F35" s="5"/>
      <c r="G35" s="5"/>
    </row>
    <row r="36" spans="2:7" s="4" customFormat="1">
      <c r="B36" s="76"/>
      <c r="F36" s="5"/>
      <c r="G36" s="5"/>
    </row>
    <row r="37" spans="2:7" s="4" customFormat="1">
      <c r="B37" s="76"/>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CARTU BANK</v>
      </c>
    </row>
    <row r="2" spans="1:6" s="2" customFormat="1" ht="15.75" customHeight="1">
      <c r="A2" s="2" t="s">
        <v>31</v>
      </c>
      <c r="B2" s="370">
        <f>'1. key ratios '!B2</f>
        <v>44561</v>
      </c>
      <c r="C2" s="4"/>
      <c r="D2" s="4"/>
      <c r="E2" s="4"/>
      <c r="F2" s="4"/>
    </row>
    <row r="3" spans="1:6" s="2" customFormat="1" ht="15.75" customHeight="1">
      <c r="C3" s="4"/>
      <c r="D3" s="4"/>
      <c r="E3" s="4"/>
      <c r="F3" s="4"/>
    </row>
    <row r="4" spans="1:6" s="2" customFormat="1" ht="13.5" thickBot="1">
      <c r="A4" s="2" t="s">
        <v>85</v>
      </c>
      <c r="B4" s="262" t="s">
        <v>334</v>
      </c>
      <c r="C4" s="70" t="s">
        <v>73</v>
      </c>
      <c r="D4" s="4"/>
      <c r="E4" s="4"/>
      <c r="F4" s="4"/>
    </row>
    <row r="5" spans="1:6">
      <c r="A5" s="211">
        <v>1</v>
      </c>
      <c r="B5" s="263" t="s">
        <v>356</v>
      </c>
      <c r="C5" s="212">
        <f>'7. LI1 '!E21</f>
        <v>1220120818</v>
      </c>
    </row>
    <row r="6" spans="1:6" ht="15">
      <c r="A6" s="77">
        <v>2.1</v>
      </c>
      <c r="B6" s="152" t="s">
        <v>335</v>
      </c>
      <c r="C6" s="501">
        <v>64896945.841371991</v>
      </c>
    </row>
    <row r="7" spans="1:6" s="56" customFormat="1" ht="15" outlineLevel="1">
      <c r="A7" s="50">
        <v>2.2000000000000002</v>
      </c>
      <c r="B7" s="51" t="s">
        <v>336</v>
      </c>
      <c r="C7" s="502">
        <v>30022400</v>
      </c>
    </row>
    <row r="8" spans="1:6" s="56" customFormat="1" ht="25.5">
      <c r="A8" s="50">
        <v>3</v>
      </c>
      <c r="B8" s="209" t="s">
        <v>337</v>
      </c>
      <c r="C8" s="213">
        <f>SUM(C5:C7)</f>
        <v>1315040163.841372</v>
      </c>
    </row>
    <row r="9" spans="1:6" ht="15">
      <c r="A9" s="77">
        <v>4</v>
      </c>
      <c r="B9" s="78" t="s">
        <v>87</v>
      </c>
      <c r="C9" s="501">
        <v>11905017</v>
      </c>
    </row>
    <row r="10" spans="1:6" s="56" customFormat="1" ht="15" outlineLevel="1">
      <c r="A10" s="50">
        <v>5.0999999999999996</v>
      </c>
      <c r="B10" s="51" t="s">
        <v>338</v>
      </c>
      <c r="C10" s="502">
        <v>-30268762.203629993</v>
      </c>
    </row>
    <row r="11" spans="1:6" s="56" customFormat="1" ht="15" outlineLevel="1">
      <c r="A11" s="50">
        <v>5.2</v>
      </c>
      <c r="B11" s="51" t="s">
        <v>339</v>
      </c>
      <c r="C11" s="502">
        <v>-29421952</v>
      </c>
    </row>
    <row r="12" spans="1:6" s="56" customFormat="1" ht="15">
      <c r="A12" s="50">
        <v>6</v>
      </c>
      <c r="B12" s="208" t="s">
        <v>483</v>
      </c>
      <c r="C12" s="502">
        <v>0</v>
      </c>
    </row>
    <row r="13" spans="1:6" s="56" customFormat="1" ht="13.5" thickBot="1">
      <c r="A13" s="52">
        <v>7</v>
      </c>
      <c r="B13" s="210" t="s">
        <v>285</v>
      </c>
      <c r="C13" s="214">
        <f>SUM(C8:C12)</f>
        <v>1267254466.637742</v>
      </c>
    </row>
    <row r="15" spans="1:6" ht="25.5">
      <c r="B15" s="56" t="s">
        <v>484</v>
      </c>
    </row>
    <row r="17" spans="1:2" ht="15">
      <c r="A17" s="223"/>
      <c r="B17" s="224"/>
    </row>
    <row r="18" spans="1:2" ht="15">
      <c r="A18" s="228"/>
      <c r="B18" s="229"/>
    </row>
    <row r="19" spans="1:2">
      <c r="A19" s="230"/>
      <c r="B19" s="225"/>
    </row>
    <row r="20" spans="1:2">
      <c r="A20" s="231"/>
      <c r="B20" s="226"/>
    </row>
    <row r="21" spans="1:2">
      <c r="A21" s="231"/>
      <c r="B21" s="229"/>
    </row>
    <row r="22" spans="1:2">
      <c r="A22" s="230"/>
      <c r="B22" s="227"/>
    </row>
    <row r="23" spans="1:2">
      <c r="A23" s="231"/>
      <c r="B23" s="226"/>
    </row>
    <row r="24" spans="1:2">
      <c r="A24" s="231"/>
      <c r="B24" s="226"/>
    </row>
    <row r="25" spans="1:2">
      <c r="A25" s="231"/>
      <c r="B25" s="232"/>
    </row>
    <row r="26" spans="1:2">
      <c r="A26" s="231"/>
      <c r="B26" s="229"/>
    </row>
    <row r="27" spans="1:2">
      <c r="B27" s="76"/>
    </row>
    <row r="28" spans="1:2">
      <c r="B28" s="76"/>
    </row>
    <row r="29" spans="1:2">
      <c r="B29" s="76"/>
    </row>
    <row r="30" spans="1:2">
      <c r="B30" s="76"/>
    </row>
    <row r="31" spans="1:2">
      <c r="B31" s="76"/>
    </row>
    <row r="32" spans="1:2">
      <c r="B32" s="76"/>
    </row>
    <row r="33" spans="2:2">
      <c r="B33" s="7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cL+2SM5Q2uoeT54i2ZiXw9y3ERQ7T+7zmC4qbQp5uCY=</DigestValue>
    </Reference>
    <Reference Type="http://www.w3.org/2000/09/xmldsig#Object" URI="#idOfficeObject">
      <DigestMethod Algorithm="http://www.w3.org/2001/04/xmlenc#sha256"/>
      <DigestValue>x5R/8l3+mKdZRmVc9jxsSPQ/BpLfjQyIYjcDe8CFqck=</DigestValue>
    </Reference>
    <Reference Type="http://uri.etsi.org/01903#SignedProperties" URI="#idSignedProperties">
      <Transforms>
        <Transform Algorithm="http://www.w3.org/TR/2001/REC-xml-c14n-20010315"/>
      </Transforms>
      <DigestMethod Algorithm="http://www.w3.org/2001/04/xmlenc#sha256"/>
      <DigestValue>8kHN7ARpcAEkg4PDxmUPFpzb7o0yB8CZ83wGsZSRwKY=</DigestValue>
    </Reference>
  </SignedInfo>
  <SignatureValue>I5J0ZgXGf4BUkwAGOmR/dEx2J9jmhyS1jEge6iCCtXk3RsbP0rJ7IuJQRBJy8nmjylLd4wHw/QDO
EgKmm9xd3MctrIxwCWOVDZr7r1JzmJHziaaWU3nCsp7KToOP697dRA5Csh/QtzwcGesrw5qptiRd
sKKCNvzoZMWpM/dvOBtX2dwLFdUNPw1xqqF8D+jg1cbc2geIGnqxngC4/R016RPJnMGFBmOVhpDl
OFMX1bH8hzDTcJnZQJK7H9YR+SjORzDtS0BfkhcJYwPrqMwktKVk0ACetUnAz0r5xeSkMX3weaw1
wmpYMWoLbfQzwM+wMpSt3O9OFFzvHAbx9z/VuQ==</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x4c71lavzo9R9JSmcPOgRfU7hjc43HDPpecWiLM3u/Y=</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9N6v45WqJCvl//+wzk1BXxh2rk1nxqQu6iLLDH7cwfM=</DigestValue>
      </Reference>
      <Reference URI="/xl/styles.xml?ContentType=application/vnd.openxmlformats-officedocument.spreadsheetml.styles+xml">
        <DigestMethod Algorithm="http://www.w3.org/2001/04/xmlenc#sha256"/>
        <DigestValue>91YsJ+aoPlHSOzBOgC5R1IGLlQemnXhGh9GkA7IMn80=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4U+bTQO58oodzAp0NBG3YLQrsNHmdXaUBT9IUuJny10=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c35NtFsft3AuoVUdhlrYSRIEJjGuZ01i6aM+vQ/7/UU=</DigestValue>
      </Reference>
      <Reference URI="/xl/worksheets/sheet10.xml?ContentType=application/vnd.openxmlformats-officedocument.spreadsheetml.worksheet+xml">
        <DigestMethod Algorithm="http://www.w3.org/2001/04/xmlenc#sha256"/>
        <DigestValue>xVfhXhcsbUZ9xwY9KsTGDK7rBdW+VwyZPv6TMDpqqFI=</DigestValue>
      </Reference>
      <Reference URI="/xl/worksheets/sheet11.xml?ContentType=application/vnd.openxmlformats-officedocument.spreadsheetml.worksheet+xml">
        <DigestMethod Algorithm="http://www.w3.org/2001/04/xmlenc#sha256"/>
        <DigestValue>TOLBxI8K1rojrpDY04hK9gq3SSqBiNgOUJ3jnpGO/aM=</DigestValue>
      </Reference>
      <Reference URI="/xl/worksheets/sheet12.xml?ContentType=application/vnd.openxmlformats-officedocument.spreadsheetml.worksheet+xml">
        <DigestMethod Algorithm="http://www.w3.org/2001/04/xmlenc#sha256"/>
        <DigestValue>p0ugjydIXfI0V8b4RmzTQNUp1T/Yzkj/B22l/OLv3II=</DigestValue>
      </Reference>
      <Reference URI="/xl/worksheets/sheet13.xml?ContentType=application/vnd.openxmlformats-officedocument.spreadsheetml.worksheet+xml">
        <DigestMethod Algorithm="http://www.w3.org/2001/04/xmlenc#sha256"/>
        <DigestValue>avDaXG+AyPo0x42eo4qJa4ji5gDoSaNMApUoFsEItGU=</DigestValue>
      </Reference>
      <Reference URI="/xl/worksheets/sheet14.xml?ContentType=application/vnd.openxmlformats-officedocument.spreadsheetml.worksheet+xml">
        <DigestMethod Algorithm="http://www.w3.org/2001/04/xmlenc#sha256"/>
        <DigestValue>uDKshkkTA4G9pnBjwWcU9yPAONIOoeja7tfhxG90j94=</DigestValue>
      </Reference>
      <Reference URI="/xl/worksheets/sheet15.xml?ContentType=application/vnd.openxmlformats-officedocument.spreadsheetml.worksheet+xml">
        <DigestMethod Algorithm="http://www.w3.org/2001/04/xmlenc#sha256"/>
        <DigestValue>U1OZH328Me8Y4S6TaOhxo1dsn9uSPY2n81Z4R/WYP2A=</DigestValue>
      </Reference>
      <Reference URI="/xl/worksheets/sheet16.xml?ContentType=application/vnd.openxmlformats-officedocument.spreadsheetml.worksheet+xml">
        <DigestMethod Algorithm="http://www.w3.org/2001/04/xmlenc#sha256"/>
        <DigestValue>zyIsaaQpuLhSgyxnyOs/39J96djNEYrwgpNCouILQVE=</DigestValue>
      </Reference>
      <Reference URI="/xl/worksheets/sheet17.xml?ContentType=application/vnd.openxmlformats-officedocument.spreadsheetml.worksheet+xml">
        <DigestMethod Algorithm="http://www.w3.org/2001/04/xmlenc#sha256"/>
        <DigestValue>/+WyM+zq922mEpkHejHuam4xQyUbFZcxmuLMzyJwPC4=</DigestValue>
      </Reference>
      <Reference URI="/xl/worksheets/sheet18.xml?ContentType=application/vnd.openxmlformats-officedocument.spreadsheetml.worksheet+xml">
        <DigestMethod Algorithm="http://www.w3.org/2001/04/xmlenc#sha256"/>
        <DigestValue>mXIYKSvi4CaIkHqROYWLFUpHibK8GALIAjscAbhKIK0=</DigestValue>
      </Reference>
      <Reference URI="/xl/worksheets/sheet19.xml?ContentType=application/vnd.openxmlformats-officedocument.spreadsheetml.worksheet+xml">
        <DigestMethod Algorithm="http://www.w3.org/2001/04/xmlenc#sha256"/>
        <DigestValue>2yCGG7hiNOIHrmWSVkbNlzYGhCW4vJI6HPLjiXwsVV8=</DigestValue>
      </Reference>
      <Reference URI="/xl/worksheets/sheet2.xml?ContentType=application/vnd.openxmlformats-officedocument.spreadsheetml.worksheet+xml">
        <DigestMethod Algorithm="http://www.w3.org/2001/04/xmlenc#sha256"/>
        <DigestValue>5t4ZXTFvmzz2bbGkwu2BDjdShR1K93PXz6SkCUOxe6I=</DigestValue>
      </Reference>
      <Reference URI="/xl/worksheets/sheet20.xml?ContentType=application/vnd.openxmlformats-officedocument.spreadsheetml.worksheet+xml">
        <DigestMethod Algorithm="http://www.w3.org/2001/04/xmlenc#sha256"/>
        <DigestValue>3e4jtrxvtNneCemB0RY7ltb14PBl861ZwFLFpO4iNOk=</DigestValue>
      </Reference>
      <Reference URI="/xl/worksheets/sheet21.xml?ContentType=application/vnd.openxmlformats-officedocument.spreadsheetml.worksheet+xml">
        <DigestMethod Algorithm="http://www.w3.org/2001/04/xmlenc#sha256"/>
        <DigestValue>+ErPyj9ZKZbQsvEjF0W7rqh6JrdZxRk8cBPmKYULACE=</DigestValue>
      </Reference>
      <Reference URI="/xl/worksheets/sheet22.xml?ContentType=application/vnd.openxmlformats-officedocument.spreadsheetml.worksheet+xml">
        <DigestMethod Algorithm="http://www.w3.org/2001/04/xmlenc#sha256"/>
        <DigestValue>Tmnq3jVJJXwsXXhfTd+lpHyPKXpfHa5xB+zRYjj4gDA=</DigestValue>
      </Reference>
      <Reference URI="/xl/worksheets/sheet23.xml?ContentType=application/vnd.openxmlformats-officedocument.spreadsheetml.worksheet+xml">
        <DigestMethod Algorithm="http://www.w3.org/2001/04/xmlenc#sha256"/>
        <DigestValue>CRsuqZr9ATL6Sen7NKiD6YQJCO3zCE7dcm2pHoa/zYs=</DigestValue>
      </Reference>
      <Reference URI="/xl/worksheets/sheet24.xml?ContentType=application/vnd.openxmlformats-officedocument.spreadsheetml.worksheet+xml">
        <DigestMethod Algorithm="http://www.w3.org/2001/04/xmlenc#sha256"/>
        <DigestValue>GHYUMG1opnA7IzDznEBk1rmUi2slzGG8x0ynB0z3H80=</DigestValue>
      </Reference>
      <Reference URI="/xl/worksheets/sheet25.xml?ContentType=application/vnd.openxmlformats-officedocument.spreadsheetml.worksheet+xml">
        <DigestMethod Algorithm="http://www.w3.org/2001/04/xmlenc#sha256"/>
        <DigestValue>NxgYPbCfHmnJFxesyJX7AZUlpLZo2k+4xY0jBIGGjY0=</DigestValue>
      </Reference>
      <Reference URI="/xl/worksheets/sheet26.xml?ContentType=application/vnd.openxmlformats-officedocument.spreadsheetml.worksheet+xml">
        <DigestMethod Algorithm="http://www.w3.org/2001/04/xmlenc#sha256"/>
        <DigestValue>1dBB4aDEBAGvjlUkyP9MlV9DTw8Dyu7BbCZNO2PsdyI=</DigestValue>
      </Reference>
      <Reference URI="/xl/worksheets/sheet27.xml?ContentType=application/vnd.openxmlformats-officedocument.spreadsheetml.worksheet+xml">
        <DigestMethod Algorithm="http://www.w3.org/2001/04/xmlenc#sha256"/>
        <DigestValue>OMiVqB9374WOXmRxIxPUkq6YrCoRTGCZ8BabUUwCCAA=</DigestValue>
      </Reference>
      <Reference URI="/xl/worksheets/sheet28.xml?ContentType=application/vnd.openxmlformats-officedocument.spreadsheetml.worksheet+xml">
        <DigestMethod Algorithm="http://www.w3.org/2001/04/xmlenc#sha256"/>
        <DigestValue>9aso0k2+obpm21Edhplc5vNnYto7NYyBA0HhScPs8aY=</DigestValue>
      </Reference>
      <Reference URI="/xl/worksheets/sheet29.xml?ContentType=application/vnd.openxmlformats-officedocument.spreadsheetml.worksheet+xml">
        <DigestMethod Algorithm="http://www.w3.org/2001/04/xmlenc#sha256"/>
        <DigestValue>9Dfn/RwYFtu+i4x5uEdknwJ9nLrYnJXCc76qe6enXYg=</DigestValue>
      </Reference>
      <Reference URI="/xl/worksheets/sheet3.xml?ContentType=application/vnd.openxmlformats-officedocument.spreadsheetml.worksheet+xml">
        <DigestMethod Algorithm="http://www.w3.org/2001/04/xmlenc#sha256"/>
        <DigestValue>Cy140OuKqRyzvoHIJrfFCRz/V+3/3KKqBsklXXJbNks=</DigestValue>
      </Reference>
      <Reference URI="/xl/worksheets/sheet4.xml?ContentType=application/vnd.openxmlformats-officedocument.spreadsheetml.worksheet+xml">
        <DigestMethod Algorithm="http://www.w3.org/2001/04/xmlenc#sha256"/>
        <DigestValue>V38vHK9dVXnK+bqQb3HdO8NxeHv0oni6rW9MgcTui/c=</DigestValue>
      </Reference>
      <Reference URI="/xl/worksheets/sheet5.xml?ContentType=application/vnd.openxmlformats-officedocument.spreadsheetml.worksheet+xml">
        <DigestMethod Algorithm="http://www.w3.org/2001/04/xmlenc#sha256"/>
        <DigestValue>FQj8t/NHfbIJ2eOPngonHhsACZAS8Va7EPUReAz2/fM=</DigestValue>
      </Reference>
      <Reference URI="/xl/worksheets/sheet6.xml?ContentType=application/vnd.openxmlformats-officedocument.spreadsheetml.worksheet+xml">
        <DigestMethod Algorithm="http://www.w3.org/2001/04/xmlenc#sha256"/>
        <DigestValue>A1tR5yi5TlTvTfHr+0oeY3cYLUCz5thiFrDyRJlXlFg=</DigestValue>
      </Reference>
      <Reference URI="/xl/worksheets/sheet7.xml?ContentType=application/vnd.openxmlformats-officedocument.spreadsheetml.worksheet+xml">
        <DigestMethod Algorithm="http://www.w3.org/2001/04/xmlenc#sha256"/>
        <DigestValue>Dm8PBk302cu64iDxgStf4wAA64/ZP7LikNZkbXuNIoY=</DigestValue>
      </Reference>
      <Reference URI="/xl/worksheets/sheet8.xml?ContentType=application/vnd.openxmlformats-officedocument.spreadsheetml.worksheet+xml">
        <DigestMethod Algorithm="http://www.w3.org/2001/04/xmlenc#sha256"/>
        <DigestValue>SAIF32LIbvvwdLHNKc/f8OMSTQC9yAX8GWVAwUogavU=</DigestValue>
      </Reference>
      <Reference URI="/xl/worksheets/sheet9.xml?ContentType=application/vnd.openxmlformats-officedocument.spreadsheetml.worksheet+xml">
        <DigestMethod Algorithm="http://www.w3.org/2001/04/xmlenc#sha256"/>
        <DigestValue>ViewXFI/K7CJ+C3c0TwYo0C04Gk6XBqXqkMjU4oGSmQ=</DigestValue>
      </Reference>
    </Manifest>
    <SignatureProperties>
      <SignatureProperty Id="idSignatureTime" Target="#idPackageSignature">
        <mdssi:SignatureTime xmlns:mdssi="http://schemas.openxmlformats.org/package/2006/digital-signature">
          <mdssi:Format>YYYY-MM-DDThh:mm:ssTZD</mdssi:Format>
          <mdssi:Value>2023-02-27T07:51:27Z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3</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2023-02-27T07:51:27Z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i+5RuhfjCpkVANvhC3xqYB9SlMeBUuM6kdKG49ooaqA=</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L0GhM0oi7DwyE2vH2D3HYz5Cmxp+Jj5gWiR6x2S3Vso=</DigestValue>
    </Reference>
  </SignedInfo>
  <SignatureValue>SbDzHUWzmYqiXQGCYi8AKJWYIHnxYXmkFX6cgE/ovi7DgK0ASIxrxAX2FzmUGrFhPermqgCQJ/dg
6c1s+4HdMXqVOFu85+sWA8Q36/5TYqz2WV3Q/o8c4bV1Q36GZSrMN5Pt0Q2EkWH2STE7gjLFmNaN
8zQwTHumKh17GMGKQBq8cn9BnuxL08Wwnmpz9B1d79TbF+eAs61iXlf4yKpClOxs45ZctVmIuipD
w2oyPrweObQHTHMS6fPDlb6uJImYsLGCFaeNs9kTYZwUTXcxjvzqEQ3o60RpFR7WJjWbK+5iF+oH
v7YxKwfWICE1F0gDmddlWnBoQ65DabsoWbFcnQ==</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x4c71lavzo9R9JSmcPOgRfU7hjc43HDPpecWiLM3u/Y=</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9N6v45WqJCvl//+wzk1BXxh2rk1nxqQu6iLLDH7cwfM=</DigestValue>
      </Reference>
      <Reference URI="/xl/styles.xml?ContentType=application/vnd.openxmlformats-officedocument.spreadsheetml.styles+xml">
        <DigestMethod Algorithm="http://www.w3.org/2001/04/xmlenc#sha256"/>
        <DigestValue>91YsJ+aoPlHSOzBOgC5R1IGLlQemnXhGh9GkA7IMn80=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4U+bTQO58oodzAp0NBG3YLQrsNHmdXaUBT9IUuJny10=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c35NtFsft3AuoVUdhlrYSRIEJjGuZ01i6aM+vQ/7/UU=</DigestValue>
      </Reference>
      <Reference URI="/xl/worksheets/sheet10.xml?ContentType=application/vnd.openxmlformats-officedocument.spreadsheetml.worksheet+xml">
        <DigestMethod Algorithm="http://www.w3.org/2001/04/xmlenc#sha256"/>
        <DigestValue>xVfhXhcsbUZ9xwY9KsTGDK7rBdW+VwyZPv6TMDpqqFI=</DigestValue>
      </Reference>
      <Reference URI="/xl/worksheets/sheet11.xml?ContentType=application/vnd.openxmlformats-officedocument.spreadsheetml.worksheet+xml">
        <DigestMethod Algorithm="http://www.w3.org/2001/04/xmlenc#sha256"/>
        <DigestValue>TOLBxI8K1rojrpDY04hK9gq3SSqBiNgOUJ3jnpGO/aM=</DigestValue>
      </Reference>
      <Reference URI="/xl/worksheets/sheet12.xml?ContentType=application/vnd.openxmlformats-officedocument.spreadsheetml.worksheet+xml">
        <DigestMethod Algorithm="http://www.w3.org/2001/04/xmlenc#sha256"/>
        <DigestValue>p0ugjydIXfI0V8b4RmzTQNUp1T/Yzkj/B22l/OLv3II=</DigestValue>
      </Reference>
      <Reference URI="/xl/worksheets/sheet13.xml?ContentType=application/vnd.openxmlformats-officedocument.spreadsheetml.worksheet+xml">
        <DigestMethod Algorithm="http://www.w3.org/2001/04/xmlenc#sha256"/>
        <DigestValue>avDaXG+AyPo0x42eo4qJa4ji5gDoSaNMApUoFsEItGU=</DigestValue>
      </Reference>
      <Reference URI="/xl/worksheets/sheet14.xml?ContentType=application/vnd.openxmlformats-officedocument.spreadsheetml.worksheet+xml">
        <DigestMethod Algorithm="http://www.w3.org/2001/04/xmlenc#sha256"/>
        <DigestValue>uDKshkkTA4G9pnBjwWcU9yPAONIOoeja7tfhxG90j94=</DigestValue>
      </Reference>
      <Reference URI="/xl/worksheets/sheet15.xml?ContentType=application/vnd.openxmlformats-officedocument.spreadsheetml.worksheet+xml">
        <DigestMethod Algorithm="http://www.w3.org/2001/04/xmlenc#sha256"/>
        <DigestValue>U1OZH328Me8Y4S6TaOhxo1dsn9uSPY2n81Z4R/WYP2A=</DigestValue>
      </Reference>
      <Reference URI="/xl/worksheets/sheet16.xml?ContentType=application/vnd.openxmlformats-officedocument.spreadsheetml.worksheet+xml">
        <DigestMethod Algorithm="http://www.w3.org/2001/04/xmlenc#sha256"/>
        <DigestValue>zyIsaaQpuLhSgyxnyOs/39J96djNEYrwgpNCouILQVE=</DigestValue>
      </Reference>
      <Reference URI="/xl/worksheets/sheet17.xml?ContentType=application/vnd.openxmlformats-officedocument.spreadsheetml.worksheet+xml">
        <DigestMethod Algorithm="http://www.w3.org/2001/04/xmlenc#sha256"/>
        <DigestValue>/+WyM+zq922mEpkHejHuam4xQyUbFZcxmuLMzyJwPC4=</DigestValue>
      </Reference>
      <Reference URI="/xl/worksheets/sheet18.xml?ContentType=application/vnd.openxmlformats-officedocument.spreadsheetml.worksheet+xml">
        <DigestMethod Algorithm="http://www.w3.org/2001/04/xmlenc#sha256"/>
        <DigestValue>mXIYKSvi4CaIkHqROYWLFUpHibK8GALIAjscAbhKIK0=</DigestValue>
      </Reference>
      <Reference URI="/xl/worksheets/sheet19.xml?ContentType=application/vnd.openxmlformats-officedocument.spreadsheetml.worksheet+xml">
        <DigestMethod Algorithm="http://www.w3.org/2001/04/xmlenc#sha256"/>
        <DigestValue>2yCGG7hiNOIHrmWSVkbNlzYGhCW4vJI6HPLjiXwsVV8=</DigestValue>
      </Reference>
      <Reference URI="/xl/worksheets/sheet2.xml?ContentType=application/vnd.openxmlformats-officedocument.spreadsheetml.worksheet+xml">
        <DigestMethod Algorithm="http://www.w3.org/2001/04/xmlenc#sha256"/>
        <DigestValue>5t4ZXTFvmzz2bbGkwu2BDjdShR1K93PXz6SkCUOxe6I=</DigestValue>
      </Reference>
      <Reference URI="/xl/worksheets/sheet20.xml?ContentType=application/vnd.openxmlformats-officedocument.spreadsheetml.worksheet+xml">
        <DigestMethod Algorithm="http://www.w3.org/2001/04/xmlenc#sha256"/>
        <DigestValue>3e4jtrxvtNneCemB0RY7ltb14PBl861ZwFLFpO4iNOk=</DigestValue>
      </Reference>
      <Reference URI="/xl/worksheets/sheet21.xml?ContentType=application/vnd.openxmlformats-officedocument.spreadsheetml.worksheet+xml">
        <DigestMethod Algorithm="http://www.w3.org/2001/04/xmlenc#sha256"/>
        <DigestValue>+ErPyj9ZKZbQsvEjF0W7rqh6JrdZxRk8cBPmKYULACE=</DigestValue>
      </Reference>
      <Reference URI="/xl/worksheets/sheet22.xml?ContentType=application/vnd.openxmlformats-officedocument.spreadsheetml.worksheet+xml">
        <DigestMethod Algorithm="http://www.w3.org/2001/04/xmlenc#sha256"/>
        <DigestValue>Tmnq3jVJJXwsXXhfTd+lpHyPKXpfHa5xB+zRYjj4gDA=</DigestValue>
      </Reference>
      <Reference URI="/xl/worksheets/sheet23.xml?ContentType=application/vnd.openxmlformats-officedocument.spreadsheetml.worksheet+xml">
        <DigestMethod Algorithm="http://www.w3.org/2001/04/xmlenc#sha256"/>
        <DigestValue>CRsuqZr9ATL6Sen7NKiD6YQJCO3zCE7dcm2pHoa/zYs=</DigestValue>
      </Reference>
      <Reference URI="/xl/worksheets/sheet24.xml?ContentType=application/vnd.openxmlformats-officedocument.spreadsheetml.worksheet+xml">
        <DigestMethod Algorithm="http://www.w3.org/2001/04/xmlenc#sha256"/>
        <DigestValue>GHYUMG1opnA7IzDznEBk1rmUi2slzGG8x0ynB0z3H80=</DigestValue>
      </Reference>
      <Reference URI="/xl/worksheets/sheet25.xml?ContentType=application/vnd.openxmlformats-officedocument.spreadsheetml.worksheet+xml">
        <DigestMethod Algorithm="http://www.w3.org/2001/04/xmlenc#sha256"/>
        <DigestValue>NxgYPbCfHmnJFxesyJX7AZUlpLZo2k+4xY0jBIGGjY0=</DigestValue>
      </Reference>
      <Reference URI="/xl/worksheets/sheet26.xml?ContentType=application/vnd.openxmlformats-officedocument.spreadsheetml.worksheet+xml">
        <DigestMethod Algorithm="http://www.w3.org/2001/04/xmlenc#sha256"/>
        <DigestValue>1dBB4aDEBAGvjlUkyP9MlV9DTw8Dyu7BbCZNO2PsdyI=</DigestValue>
      </Reference>
      <Reference URI="/xl/worksheets/sheet27.xml?ContentType=application/vnd.openxmlformats-officedocument.spreadsheetml.worksheet+xml">
        <DigestMethod Algorithm="http://www.w3.org/2001/04/xmlenc#sha256"/>
        <DigestValue>OMiVqB9374WOXmRxIxPUkq6YrCoRTGCZ8BabUUwCCAA=</DigestValue>
      </Reference>
      <Reference URI="/xl/worksheets/sheet28.xml?ContentType=application/vnd.openxmlformats-officedocument.spreadsheetml.worksheet+xml">
        <DigestMethod Algorithm="http://www.w3.org/2001/04/xmlenc#sha256"/>
        <DigestValue>9aso0k2+obpm21Edhplc5vNnYto7NYyBA0HhScPs8aY=</DigestValue>
      </Reference>
      <Reference URI="/xl/worksheets/sheet29.xml?ContentType=application/vnd.openxmlformats-officedocument.spreadsheetml.worksheet+xml">
        <DigestMethod Algorithm="http://www.w3.org/2001/04/xmlenc#sha256"/>
        <DigestValue>9Dfn/RwYFtu+i4x5uEdknwJ9nLrYnJXCc76qe6enXYg=</DigestValue>
      </Reference>
      <Reference URI="/xl/worksheets/sheet3.xml?ContentType=application/vnd.openxmlformats-officedocument.spreadsheetml.worksheet+xml">
        <DigestMethod Algorithm="http://www.w3.org/2001/04/xmlenc#sha256"/>
        <DigestValue>Cy140OuKqRyzvoHIJrfFCRz/V+3/3KKqBsklXXJbNks=</DigestValue>
      </Reference>
      <Reference URI="/xl/worksheets/sheet4.xml?ContentType=application/vnd.openxmlformats-officedocument.spreadsheetml.worksheet+xml">
        <DigestMethod Algorithm="http://www.w3.org/2001/04/xmlenc#sha256"/>
        <DigestValue>V38vHK9dVXnK+bqQb3HdO8NxeHv0oni6rW9MgcTui/c=</DigestValue>
      </Reference>
      <Reference URI="/xl/worksheets/sheet5.xml?ContentType=application/vnd.openxmlformats-officedocument.spreadsheetml.worksheet+xml">
        <DigestMethod Algorithm="http://www.w3.org/2001/04/xmlenc#sha256"/>
        <DigestValue>FQj8t/NHfbIJ2eOPngonHhsACZAS8Va7EPUReAz2/fM=</DigestValue>
      </Reference>
      <Reference URI="/xl/worksheets/sheet6.xml?ContentType=application/vnd.openxmlformats-officedocument.spreadsheetml.worksheet+xml">
        <DigestMethod Algorithm="http://www.w3.org/2001/04/xmlenc#sha256"/>
        <DigestValue>A1tR5yi5TlTvTfHr+0oeY3cYLUCz5thiFrDyRJlXlFg=</DigestValue>
      </Reference>
      <Reference URI="/xl/worksheets/sheet7.xml?ContentType=application/vnd.openxmlformats-officedocument.spreadsheetml.worksheet+xml">
        <DigestMethod Algorithm="http://www.w3.org/2001/04/xmlenc#sha256"/>
        <DigestValue>Dm8PBk302cu64iDxgStf4wAA64/ZP7LikNZkbXuNIoY=</DigestValue>
      </Reference>
      <Reference URI="/xl/worksheets/sheet8.xml?ContentType=application/vnd.openxmlformats-officedocument.spreadsheetml.worksheet+xml">
        <DigestMethod Algorithm="http://www.w3.org/2001/04/xmlenc#sha256"/>
        <DigestValue>SAIF32LIbvvwdLHNKc/f8OMSTQC9yAX8GWVAwUogavU=</DigestValue>
      </Reference>
      <Reference URI="/xl/worksheets/sheet9.xml?ContentType=application/vnd.openxmlformats-officedocument.spreadsheetml.worksheet+xml">
        <DigestMethod Algorithm="http://www.w3.org/2001/04/xmlenc#sha256"/>
        <DigestValue>ViewXFI/K7CJ+C3c0TwYo0C04Gk6XBqXqkMjU4oGSmQ=</DigestValue>
      </Reference>
    </Manifest>
    <SignatureProperties>
      <SignatureProperty Id="idSignatureTime" Target="#idPackageSignature">
        <mdssi:SignatureTime xmlns:mdssi="http://schemas.openxmlformats.org/package/2006/digital-signature">
          <mdssi:Format>YYYY-MM-DDThh:mm:ssTZD</mdssi:Format>
          <mdssi:Value>2023-02-27T08:07:14Z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2023-02-27T08:07:14Z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2023-02-24T13:33:20Z</dcterms:modified>
</cp:coreProperties>
</file>