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G41" i="83" l="1"/>
  <c r="F41" i="83"/>
  <c r="D41" i="83"/>
  <c r="C41" i="83"/>
  <c r="E41" i="83" s="1"/>
  <c r="C30" i="95" l="1"/>
  <c r="C36" i="95" s="1"/>
  <c r="C18" i="95"/>
  <c r="C8" i="95"/>
  <c r="E8" i="92"/>
  <c r="K8" i="92" s="1"/>
  <c r="K16" i="93"/>
  <c r="J16" i="93"/>
  <c r="I16" i="93"/>
  <c r="H16" i="93"/>
  <c r="G16" i="93"/>
  <c r="F16" i="93"/>
  <c r="E16" i="93"/>
  <c r="D16" i="93"/>
  <c r="C16" i="93"/>
  <c r="C21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T21" i="64"/>
  <c r="U21" i="64"/>
  <c r="C54" i="69"/>
  <c r="C44" i="69"/>
  <c r="C32" i="69"/>
  <c r="C52" i="89"/>
  <c r="C43" i="89"/>
  <c r="C35" i="89"/>
  <c r="C31" i="89"/>
  <c r="C30" i="89" s="1"/>
  <c r="C41" i="89" s="1"/>
  <c r="C12" i="89"/>
  <c r="E52" i="75"/>
  <c r="E51" i="75"/>
  <c r="E50" i="75"/>
  <c r="E49" i="75"/>
  <c r="E48" i="75"/>
  <c r="E47" i="75"/>
  <c r="C45" i="75"/>
  <c r="G45" i="75"/>
  <c r="F45" i="75"/>
  <c r="D45" i="75"/>
  <c r="E43" i="75"/>
  <c r="E42" i="75"/>
  <c r="E41" i="75"/>
  <c r="E40" i="75"/>
  <c r="E39" i="75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G11" i="75"/>
  <c r="E11" i="75"/>
  <c r="E10" i="75"/>
  <c r="E9" i="75"/>
  <c r="E8" i="75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D45" i="85"/>
  <c r="D54" i="85" s="1"/>
  <c r="C45" i="85"/>
  <c r="C54" i="85" s="1"/>
  <c r="E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H34" i="85"/>
  <c r="G34" i="85"/>
  <c r="G45" i="85" s="1"/>
  <c r="G54" i="85" s="1"/>
  <c r="F34" i="85"/>
  <c r="F45" i="85" s="1"/>
  <c r="E34" i="85"/>
  <c r="D34" i="85"/>
  <c r="C34" i="85"/>
  <c r="G30" i="85"/>
  <c r="F30" i="85"/>
  <c r="H30" i="85" s="1"/>
  <c r="D30" i="85"/>
  <c r="E30" i="85" s="1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F22" i="85"/>
  <c r="C22" i="85"/>
  <c r="C31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H9" i="85" s="1"/>
  <c r="D9" i="85"/>
  <c r="E9" i="85" s="1"/>
  <c r="C9" i="85"/>
  <c r="H8" i="85"/>
  <c r="E8" i="85"/>
  <c r="H19" i="83"/>
  <c r="H18" i="83"/>
  <c r="H17" i="83"/>
  <c r="H16" i="83"/>
  <c r="H15" i="83"/>
  <c r="F40" i="83"/>
  <c r="C40" i="83"/>
  <c r="E40" i="83" s="1"/>
  <c r="E39" i="83"/>
  <c r="E38" i="83"/>
  <c r="E37" i="83"/>
  <c r="E36" i="83"/>
  <c r="E35" i="83"/>
  <c r="E34" i="83"/>
  <c r="E33" i="83"/>
  <c r="G31" i="83"/>
  <c r="F31" i="83"/>
  <c r="E31" i="83"/>
  <c r="D31" i="83"/>
  <c r="C31" i="83"/>
  <c r="E30" i="83"/>
  <c r="E29" i="83"/>
  <c r="E28" i="83"/>
  <c r="E27" i="83"/>
  <c r="E26" i="83"/>
  <c r="E25" i="83"/>
  <c r="E24" i="83"/>
  <c r="E23" i="83"/>
  <c r="E22" i="83"/>
  <c r="G20" i="83"/>
  <c r="D20" i="83"/>
  <c r="E19" i="83"/>
  <c r="E18" i="83"/>
  <c r="E17" i="83"/>
  <c r="E16" i="83"/>
  <c r="E15" i="83"/>
  <c r="G14" i="83"/>
  <c r="F14" i="83"/>
  <c r="F20" i="83" s="1"/>
  <c r="D14" i="83"/>
  <c r="C14" i="83"/>
  <c r="C20" i="83" s="1"/>
  <c r="E20" i="83" s="1"/>
  <c r="E13" i="83"/>
  <c r="E12" i="83"/>
  <c r="E11" i="83"/>
  <c r="E10" i="83"/>
  <c r="E9" i="83"/>
  <c r="E8" i="83"/>
  <c r="E7" i="83"/>
  <c r="E44" i="75" l="1"/>
  <c r="E46" i="75"/>
  <c r="E45" i="75" s="1"/>
  <c r="H45" i="85"/>
  <c r="F54" i="85"/>
  <c r="H54" i="85" s="1"/>
  <c r="C56" i="85"/>
  <c r="H22" i="85"/>
  <c r="G56" i="85"/>
  <c r="G63" i="85" s="1"/>
  <c r="G65" i="85" s="1"/>
  <c r="D22" i="85"/>
  <c r="D31" i="85" s="1"/>
  <c r="D56" i="85" s="1"/>
  <c r="D63" i="85" s="1"/>
  <c r="D65" i="85" s="1"/>
  <c r="E45" i="85"/>
  <c r="F31" i="85"/>
  <c r="E14" i="83"/>
  <c r="E22" i="85" l="1"/>
  <c r="E31" i="85"/>
  <c r="E56" i="85"/>
  <c r="C63" i="85"/>
  <c r="H31" i="85"/>
  <c r="F56" i="85"/>
  <c r="F63" i="85" l="1"/>
  <c r="H56" i="85"/>
  <c r="E63" i="85"/>
  <c r="C65" i="85"/>
  <c r="E65" i="85" s="1"/>
  <c r="E53" i="75"/>
  <c r="E7" i="75"/>
  <c r="H39" i="83"/>
  <c r="H38" i="83"/>
  <c r="H37" i="83"/>
  <c r="H36" i="83"/>
  <c r="H35" i="83"/>
  <c r="H34" i="83"/>
  <c r="H33" i="83"/>
  <c r="H63" i="85" l="1"/>
  <c r="F65" i="85"/>
  <c r="H65" i="85" s="1"/>
  <c r="K23" i="93"/>
  <c r="J23" i="93"/>
  <c r="I23" i="93"/>
  <c r="H23" i="93"/>
  <c r="G23" i="93"/>
  <c r="F23" i="93"/>
  <c r="K21" i="93"/>
  <c r="K24" i="93" s="1"/>
  <c r="J21" i="93"/>
  <c r="J24" i="93" s="1"/>
  <c r="J25" i="93" s="1"/>
  <c r="I21" i="93"/>
  <c r="I24" i="93" s="1"/>
  <c r="H21" i="93"/>
  <c r="H24" i="93" s="1"/>
  <c r="G21" i="93"/>
  <c r="G24" i="93" s="1"/>
  <c r="F21" i="93"/>
  <c r="F24" i="93" s="1"/>
  <c r="E21" i="93"/>
  <c r="D21" i="93"/>
  <c r="C21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C22" i="91"/>
  <c r="D22" i="91"/>
  <c r="E22" i="91"/>
  <c r="F22" i="91"/>
  <c r="G22" i="91"/>
  <c r="F25" i="93" l="1"/>
  <c r="G25" i="93"/>
  <c r="K25" i="93"/>
  <c r="H25" i="93"/>
  <c r="I25" i="93"/>
  <c r="C6" i="86"/>
  <c r="C13" i="86" s="1"/>
  <c r="D6" i="86"/>
  <c r="D13" i="86" s="1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9" i="75"/>
  <c r="H8" i="75"/>
  <c r="H7" i="75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C21" i="94" l="1"/>
  <c r="B17" i="84" s="1"/>
  <c r="C20" i="94"/>
  <c r="B16" i="84" s="1"/>
  <c r="C19" i="94"/>
  <c r="B15" i="84" s="1"/>
  <c r="H22" i="91" l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7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C21" i="92"/>
  <c r="E21" i="92"/>
  <c r="C38" i="95" s="1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6" i="89"/>
  <c r="C28" i="89" s="1"/>
  <c r="D22" i="90" l="1"/>
  <c r="E22" i="90"/>
  <c r="F22" i="90"/>
  <c r="G22" i="90"/>
  <c r="H22" i="90"/>
  <c r="I22" i="90"/>
  <c r="J22" i="90"/>
  <c r="C13" i="73" l="1"/>
  <c r="H40" i="83"/>
  <c r="H30" i="83"/>
  <c r="H29" i="83"/>
  <c r="H28" i="83"/>
  <c r="H27" i="83"/>
  <c r="H26" i="83"/>
  <c r="H25" i="83"/>
  <c r="H24" i="83"/>
  <c r="H23" i="83"/>
  <c r="H22" i="83"/>
  <c r="H13" i="83"/>
  <c r="H12" i="83"/>
  <c r="H11" i="83"/>
  <c r="H10" i="83"/>
  <c r="H9" i="83"/>
  <c r="H8" i="83"/>
  <c r="H7" i="83"/>
  <c r="D67" i="85" l="1"/>
  <c r="G67" i="85"/>
  <c r="H14" i="83"/>
  <c r="H31" i="83"/>
  <c r="H20" i="83"/>
  <c r="H41" i="83"/>
  <c r="F67" i="85" l="1"/>
  <c r="H67" i="85" s="1"/>
  <c r="C67" i="85" l="1"/>
  <c r="E67" i="85" s="1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<sst xmlns="http://schemas.openxmlformats.org/spreadsheetml/2006/main" count="761" uniqueCount="531">
  <si>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</si>
  <si>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</si>
  <si>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</si>
  <si>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</si>
  <si>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</si>
  <si>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</si>
  <si>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</si>
  <si>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</si>
  <si>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</si>
  <si>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</si>
  <si>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</si>
  <si>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</si>
  <si>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</si>
  <si>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</si>
  <si>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</si>
  <si>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</si>
  <si>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</si>
  <si>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</si>
  <si>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</si>
  <si>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</si>
  <si>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</si>
  <si>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</si>
  <si>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</si>
  <si>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</si>
  <si>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</si>
  <si>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</si>
  <si>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</si>
  <si>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</si>
  <si>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</si>
  <si>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</si>
  <si>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</si>
  <si>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</si>
  <si>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</si>
  <si>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</si>
  <si>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</si>
  <si>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</si>
  <si>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</si>
  <si>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</si>
  <si>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</si>
  <si>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</si>
  <si>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</si>
  <si>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</si>
  <si>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</si>
  <si>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</si>
  <si>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</si>
  <si>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</si>
  <si>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</si>
  <si>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</si>
  <si>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</si>
  <si>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</si>
  <si>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</si>
  <si>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</si>
  <si>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</si>
  <si>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</si>
  <si>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</si>
  <si>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</si>
  <si>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</si>
  <si>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</si>
  <si>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</si>
  <si>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</si>
  <si>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</si>
  <si>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</si>
  <si>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</si>
  <si>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</si>
  <si>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</si>
  <si>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</si>
  <si>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</si>
  <si>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</si>
  <si>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</si>
  <si>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</si>
  <si>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</si>
  <si>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</si>
  <si>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</si>
  <si>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</si>
  <si>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</si>
  <si>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</si>
  <si>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</si>
  <si>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</si>
  <si>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</si>
  <si>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</si>
  <si>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</si>
  <si>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</si>
  <si>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</si>
  <si>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</si>
  <si>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</si>
  <si>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</si>
  <si>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</si>
  <si>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</si>
  <si>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</si>
  <si>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</si>
  <si>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</si>
  <si>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</si>
  <si>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</si>
  <si>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</si>
  <si>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</si>
  <si>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</si>
  <si>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</si>
  <si>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</si>
  <si>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</si>
  <si>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</si>
  <si>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</si>
  <si>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</si>
  <si>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</si>
  <si>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</si>
  <si>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</si>
  <si>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</si>
  <si>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</si>
  <si>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</si>
  <si>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</si>
  <si>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</si>
  <si>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</si>
  <si>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</si>
  <si>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</si>
  <si>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</si>
  <si>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</si>
  <si>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</si>
  <si>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</si>
  <si>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</si>
  <si>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</si>
  <si>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</si>
  <si>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</si>
  <si>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</si>
  <si>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</si>
  <si>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</si>
  <si>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</si>
  <si>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</si>
  <si>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</si>
  <si>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</si>
  <si>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</si>
  <si>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</si>
  <si>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</si>
  <si>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</si>
  <si>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</si>
  <si>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</si>
  <si>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</si>
  <si>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</si>
  <si>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</si>
  <si>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</si>
  <si>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</si>
  <si>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</si>
  <si>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</si>
  <si>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</si>
  <si>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</si>
  <si>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</si>
  <si>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</si>
  <si>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</si>
  <si>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</si>
  <si>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</si>
  <si>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</si>
  <si>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</si>
  <si>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</si>
  <si>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</si>
  <si>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</si>
  <si>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</si>
  <si>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</si>
  <si>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</si>
  <si>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</si>
  <si>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</si>
  <si>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</si>
  <si>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</si>
  <si>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</si>
  <si>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</si>
  <si>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</si>
  <si>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</si>
  <si>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</si>
  <si>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</si>
  <si>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</si>
  <si>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</si>
  <si>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</si>
  <si>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</si>
  <si>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</si>
  <si>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</si>
  <si>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</si>
  <si>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</si>
  <si>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</si>
  <si>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</si>
  <si>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</si>
  <si>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</si>
  <si>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</si>
  <si>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</si>
  <si>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</si>
  <si>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</si>
  <si>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</si>
  <si>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</si>
  <si>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</si>
  <si>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</si>
  <si>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</si>
  <si>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</si>
  <si>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</si>
  <si>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</si>
  <si>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</si>
  <si>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</si>
  <si>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</si>
  <si>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</si>
  <si>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</si>
  <si>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</si>
  <si>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</si>
  <si>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</si>
  <si>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</si>
  <si>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</si>
  <si>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</si>
  <si>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</si>
  <si>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</si>
  <si>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</si>
  <si>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</si>
  <si>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</si>
  <si>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</si>
  <si>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</si>
  <si>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</si>
  <si>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</si>
  <si>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</si>
  <si>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</si>
  <si>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</si>
  <si>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</si>
  <si>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</si>
  <si>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</si>
  <si>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</si>
  <si>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</si>
  <si>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</si>
  <si>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</si>
  <si>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</si>
  <si>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</si>
  <si>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</si>
  <si>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</si>
  <si>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</si>
  <si>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</si>
  <si>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</si>
  <si>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</si>
  <si>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</si>
  <si>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</si>
  <si>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</si>
  <si>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</si>
  <si>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</si>
  <si>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</si>
  <si>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</si>
  <si>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</si>
  <si>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</si>
  <si>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</si>
  <si>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</si>
  <si>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</si>
  <si>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</si>
  <si>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</si>
  <si>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</si>
  <si>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</si>
  <si>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</si>
  <si>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</si>
  <si>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</si>
  <si>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</si>
  <si>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</si>
  <si>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</si>
  <si>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</si>
  <si>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</si>
  <si>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</si>
  <si>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</si>
  <si>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</si>
  <si>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</si>
  <si>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</si>
  <si>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</si>
  <si>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</si>
  <si>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</si>
  <si>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</si>
  <si>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</si>
  <si>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</si>
  <si>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</si>
  <si>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</si>
  <si>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</si>
  <si>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</si>
  <si>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</si>
  <si>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</si>
  <si>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</si>
  <si>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</si>
  <si>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</si>
  <si>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</si>
  <si>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</si>
  <si>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</si>
  <si>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</si>
  <si>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</si>
  <si>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</si>
  <si>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</si>
  <si>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</si>
  <si>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</si>
  <si>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</si>
  <si>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</si>
  <si>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</si>
  <si>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</si>
  <si>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</si>
  <si>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</si>
  <si>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</si>
  <si>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</si>
  <si>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</si>
  <si>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</si>
  <si>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</si>
  <si>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</si>
  <si>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</si>
  <si>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</si>
  <si>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</si>
  <si>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</si>
  <si>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</si>
  <si>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</si>
  <si>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</si>
  <si>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</si>
  <si>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</si>
  <si>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</si>
  <si>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</si>
  <si>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</si>
  <si>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</si>
  <si>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</si>
  <si>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</si>
  <si>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</si>
  <si>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</si>
  <si>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</si>
  <si>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</si>
  <si>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</si>
  <si>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</si>
  <si>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</si>
  <si>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</si>
  <si>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</si>
  <si>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</si>
  <si>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</si>
  <si>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</si>
  <si>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</si>
  <si>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</si>
  <si>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</si>
  <si>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</si>
  <si>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</si>
  <si>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</si>
  <si>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</si>
  <si>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</si>
  <si>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</si>
  <si>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</si>
  <si>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</si>
  <si>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</si>
  <si>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</si>
  <si>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</si>
  <si>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</si>
  <si>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</si>
  <si>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</si>
  <si>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</si>
  <si>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</si>
  <si>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</si>
  <si>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</si>
  <si>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</si>
  <si>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</si>
  <si>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</si>
  <si>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</si>
  <si>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</si>
  <si>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</si>
  <si>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</si>
  <si>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</si>
  <si>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</si>
  <si>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</si>
  <si>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</si>
  <si>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</si>
  <si>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</si>
  <si>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</si>
  <si>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</si>
  <si>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</si>
  <si>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</si>
  <si>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</si>
  <si>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</si>
  <si>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</si>
  <si>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</si>
  <si>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</si>
  <si>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</si>
  <si>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</si>
  <si>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</si>
  <si>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</si>
  <si>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</si>
  <si>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</si>
  <si>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</si>
  <si>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</si>
  <si>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</si>
  <si>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</si>
  <si>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</si>
  <si>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</si>
  <si>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</si>
  <si>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</si>
  <si>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</si>
  <si>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</si>
  <si>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</si>
  <si>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</si>
  <si>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</si>
  <si>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</si>
  <si>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</si>
  <si>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</si>
  <si>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</si>
  <si>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</si>
  <si>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</si>
  <si>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</si>
  <si>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</si>
  <si>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</si>
  <si>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</si>
  <si>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</si>
  <si>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</si>
  <si>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</si>
  <si>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</si>
  <si>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</si>
  <si>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</si>
  <si>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</si>
  <si>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</si>
  <si>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</si>
  <si>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</si>
  <si>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</si>
  <si>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</si>
  <si>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</si>
  <si>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</si>
  <si>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</si>
  <si>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</si>
  <si>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</si>
  <si>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</si>
  <si>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</si>
  <si>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</si>
  <si>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</si>
  <si>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</si>
  <si>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</si>
  <si>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</si>
  <si>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</si>
  <si>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</si>
  <si>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</si>
  <si>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</si>
  <si>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</si>
  <si>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</si>
  <si>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</si>
  <si>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</si>
  <si>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</si>
  <si>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</si>
  <si>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</si>
  <si>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</si>
  <si>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</si>
  <si>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</si>
  <si>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</si>
  <si>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</si>
  <si>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</si>
  <si>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</si>
  <si>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</si>
  <si>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</si>
  <si>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</si>
  <si>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</si>
  <si>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</si>
  <si>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</si>
  <si>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</si>
  <si>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</si>
  <si>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</si>
  <si>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</si>
  <si>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</si>
  <si>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</si>
  <si>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</si>
  <si>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</si>
  <si>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</si>
  <si>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</si>
  <si>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</si>
  <si>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</si>
  <si>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</si>
  <si>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</si>
  <si>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</si>
  <si>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</si>
  <si>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</si>
  <si>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</si>
  <si>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</si>
  <si>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</si>
  <si>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</si>
  <si>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</si>
  <si>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</si>
  <si>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</si>
  <si>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</si>
  <si>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</si>
  <si>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</si>
  <si>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</si>
  <si>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</si>
  <si>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</si>
  <si>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</si>
  <si>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</si>
  <si>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</si>
  <si>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</si>
  <si>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</si>
  <si>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</si>
  <si>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</si>
  <si>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</si>
  <si>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</si>
  <si>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</si>
  <si>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</si>
  <si>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</si>
  <si>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</si>
  <si>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</si>
  <si>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</si>
  <si>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</si>
  <si>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</si>
  <si>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</si>
  <si>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</si>
  <si>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</si>
  <si>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</si>
  <si>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4Q 2019</t>
  </si>
  <si>
    <t>3Q 2019</t>
  </si>
  <si>
    <t>JSC CARTU BANK</t>
  </si>
  <si>
    <t>Nikoloz Chkhetiani</t>
  </si>
  <si>
    <t>Nato Khaindrava</t>
  </si>
  <si>
    <t>www.cartubank.ge</t>
  </si>
  <si>
    <t>Besik Demetrashvili</t>
  </si>
  <si>
    <t>Temur Kobakhidze</t>
  </si>
  <si>
    <t>Zaza Verdzeuli</t>
  </si>
  <si>
    <t>Tea Jokhadze</t>
  </si>
  <si>
    <t>Givi Lebanidze</t>
  </si>
  <si>
    <t>David Galuashvili</t>
  </si>
  <si>
    <t xml:space="preserve">Zurab Gogua </t>
  </si>
  <si>
    <t>Beka Kvaratskhelia</t>
  </si>
  <si>
    <t xml:space="preserve">Jsc "Cartu Group" </t>
  </si>
  <si>
    <t xml:space="preserve">Uta Ivanishvili </t>
  </si>
  <si>
    <t>X</t>
  </si>
  <si>
    <t xml:space="preserve">  </t>
  </si>
  <si>
    <t>1Q 2020</t>
  </si>
  <si>
    <t>Of which common reserves</t>
  </si>
  <si>
    <t>Table 9 (Capital), N39</t>
  </si>
  <si>
    <t>Net Investment Securities</t>
  </si>
  <si>
    <t>6.2.1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</si>
  <si>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</si>
  <si>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</si>
  <si>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</si>
  <si>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</si>
  <si>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</si>
  <si>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</si>
  <si>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</si>
  <si>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</si>
  <si>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</si>
  <si>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</si>
  <si>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</si>
  <si>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>6.2.2</t>
  </si>
  <si>
    <t>Of which the COVID 19 reserve</t>
  </si>
  <si>
    <t>2Q 2020</t>
  </si>
  <si>
    <t>Table 9 (Capital), N40</t>
  </si>
  <si>
    <t>Including deferred tax assets</t>
  </si>
  <si>
    <t>3Q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</si>
</sst>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96" fillId="0" borderId="7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0" fontId="2" fillId="0" borderId="91" xfId="0" applyFont="1" applyBorder="1" applyAlignment="1">
      <alignment wrapText="1"/>
    </xf>
    <xf numFmtId="9" fontId="84" fillId="0" borderId="91" xfId="20962" applyFont="1" applyBorder="1" applyAlignment="1"/>
    <xf numFmtId="193" fontId="112" fillId="0" borderId="104" xfId="0" applyNumberFormat="1" applyFont="1" applyFill="1" applyBorder="1" applyAlignment="1" applyProtection="1">
      <alignment horizontal="right"/>
      <protection locked="0"/>
    </xf>
    <xf numFmtId="193" fontId="94" fillId="36" borderId="104" xfId="7" applyNumberFormat="1" applyFont="1" applyFill="1" applyBorder="1" applyAlignment="1" applyProtection="1">
      <alignment horizontal="right"/>
    </xf>
    <xf numFmtId="193" fontId="112" fillId="36" borderId="104" xfId="0" applyNumberFormat="1" applyFont="1" applyFill="1" applyBorder="1" applyAlignment="1">
      <alignment horizontal="right"/>
    </xf>
    <xf numFmtId="193" fontId="94" fillId="0" borderId="104" xfId="7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>
      <alignment horizontal="center"/>
    </xf>
    <xf numFmtId="193" fontId="112" fillId="36" borderId="104" xfId="0" applyNumberFormat="1" applyFont="1" applyFill="1" applyBorder="1" applyAlignment="1" applyProtection="1">
      <alignment horizontal="right"/>
    </xf>
    <xf numFmtId="193" fontId="112" fillId="0" borderId="104" xfId="0" applyNumberFormat="1" applyFont="1" applyFill="1" applyBorder="1" applyAlignment="1" applyProtection="1">
      <alignment horizontal="left" indent="1"/>
      <protection locked="0"/>
    </xf>
    <xf numFmtId="193" fontId="94" fillId="36" borderId="104" xfId="7" applyNumberFormat="1" applyFont="1" applyFill="1" applyBorder="1" applyAlignment="1" applyProtection="1"/>
    <xf numFmtId="193" fontId="112" fillId="0" borderId="104" xfId="0" applyNumberFormat="1" applyFont="1" applyFill="1" applyBorder="1" applyAlignment="1" applyProtection="1">
      <protection locked="0"/>
    </xf>
    <xf numFmtId="193" fontId="112" fillId="0" borderId="104" xfId="0" applyNumberFormat="1" applyFont="1" applyFill="1" applyBorder="1" applyAlignment="1" applyProtection="1">
      <alignment horizontal="right" vertical="center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>
      <alignment horizontal="center"/>
    </xf>
    <xf numFmtId="193" fontId="112" fillId="0" borderId="88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/>
    <xf numFmtId="193" fontId="112" fillId="36" borderId="25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3" fontId="3" fillId="0" borderId="88" xfId="0" applyNumberFormat="1" applyFont="1" applyFill="1" applyBorder="1" applyAlignment="1">
      <alignment horizontal="right" vertical="center" wrapText="1"/>
    </xf>
    <xf numFmtId="3" fontId="4" fillId="36" borderId="88" xfId="0" applyNumberFormat="1" applyFont="1" applyFill="1" applyBorder="1" applyAlignment="1">
      <alignment horizontal="left" vertical="center" wrapText="1"/>
    </xf>
    <xf numFmtId="3" fontId="4" fillId="36" borderId="88" xfId="20962" applyNumberFormat="1" applyFont="1" applyFill="1" applyBorder="1" applyAlignment="1">
      <alignment horizontal="left" vertical="center" wrapText="1"/>
    </xf>
    <xf numFmtId="3" fontId="4" fillId="36" borderId="8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84" fillId="0" borderId="11" xfId="0" applyFont="1" applyBorder="1" applyAlignment="1">
      <alignment horizontal="left" wrapText="1" indent="2"/>
    </xf>
    <xf numFmtId="167" fontId="114" fillId="76" borderId="65" xfId="0" applyNumberFormat="1" applyFont="1" applyFill="1" applyBorder="1" applyAlignment="1">
      <alignment horizontal="center"/>
    </xf>
    <xf numFmtId="193" fontId="2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93" fontId="115" fillId="0" borderId="17" xfId="0" applyNumberFormat="1" applyFont="1" applyBorder="1" applyAlignment="1">
      <alignment vertical="center"/>
    </xf>
    <xf numFmtId="193" fontId="115" fillId="36" borderId="13" xfId="0" applyNumberFormat="1" applyFont="1" applyFill="1" applyBorder="1" applyAlignment="1">
      <alignment vertical="center"/>
    </xf>
    <xf numFmtId="193" fontId="94" fillId="0" borderId="13" xfId="0" applyNumberFormat="1" applyFont="1" applyBorder="1" applyAlignment="1">
      <alignment vertical="center"/>
    </xf>
    <xf numFmtId="167" fontId="115" fillId="0" borderId="65" xfId="0" applyNumberFormat="1" applyFont="1" applyBorder="1" applyAlignment="1">
      <alignment horizontal="center"/>
    </xf>
    <xf numFmtId="193" fontId="116" fillId="0" borderId="13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164" fontId="84" fillId="0" borderId="0" xfId="7" applyNumberFormat="1" applyFo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F31" sqref="F3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3"/>
      <c r="B1" s="231" t="s">
        <v>348</v>
      </c>
      <c r="C1" s="183"/>
    </row>
    <row r="2" spans="1:3">
      <c r="A2" s="232">
        <v>1</v>
      </c>
      <c r="B2" s="387" t="s">
        <v>349</v>
      </c>
      <c r="C2" s="92" t="s">
        <v>493</v>
      </c>
    </row>
    <row r="3" spans="1:3">
      <c r="A3" s="232">
        <v>2</v>
      </c>
      <c r="B3" s="388" t="s">
        <v>345</v>
      </c>
      <c r="C3" s="92" t="s">
        <v>494</v>
      </c>
    </row>
    <row r="4" spans="1:3">
      <c r="A4" s="232">
        <v>3</v>
      </c>
      <c r="B4" s="389" t="s">
        <v>350</v>
      </c>
      <c r="C4" s="92" t="s">
        <v>495</v>
      </c>
    </row>
    <row r="5" spans="1:3">
      <c r="A5" s="233">
        <v>4</v>
      </c>
      <c r="B5" s="390" t="s">
        <v>346</v>
      </c>
      <c r="C5" s="92" t="s">
        <v>496</v>
      </c>
    </row>
    <row r="6" spans="1:3" s="234" customFormat="1" ht="45.75" customHeight="1">
      <c r="A6" s="533" t="s">
        <v>424</v>
      </c>
      <c r="B6" s="534"/>
      <c r="C6" s="534"/>
    </row>
    <row r="7" spans="1:3" ht="15">
      <c r="A7" s="235" t="s">
        <v>29</v>
      </c>
      <c r="B7" s="231" t="s">
        <v>347</v>
      </c>
    </row>
    <row r="8" spans="1:3">
      <c r="A8" s="183">
        <v>1</v>
      </c>
      <c r="B8" s="281" t="s">
        <v>20</v>
      </c>
    </row>
    <row r="9" spans="1:3">
      <c r="A9" s="183">
        <v>2</v>
      </c>
      <c r="B9" s="282" t="s">
        <v>21</v>
      </c>
    </row>
    <row r="10" spans="1:3">
      <c r="A10" s="183">
        <v>3</v>
      </c>
      <c r="B10" s="282" t="s">
        <v>22</v>
      </c>
    </row>
    <row r="11" spans="1:3">
      <c r="A11" s="183">
        <v>4</v>
      </c>
      <c r="B11" s="282" t="s">
        <v>23</v>
      </c>
      <c r="C11" s="97"/>
    </row>
    <row r="12" spans="1:3">
      <c r="A12" s="183">
        <v>5</v>
      </c>
      <c r="B12" s="282" t="s">
        <v>24</v>
      </c>
    </row>
    <row r="13" spans="1:3">
      <c r="A13" s="183">
        <v>6</v>
      </c>
      <c r="B13" s="283" t="s">
        <v>357</v>
      </c>
    </row>
    <row r="14" spans="1:3">
      <c r="A14" s="183">
        <v>7</v>
      </c>
      <c r="B14" s="282" t="s">
        <v>351</v>
      </c>
    </row>
    <row r="15" spans="1:3">
      <c r="A15" s="183">
        <v>8</v>
      </c>
      <c r="B15" s="282" t="s">
        <v>352</v>
      </c>
    </row>
    <row r="16" spans="1:3">
      <c r="A16" s="183">
        <v>9</v>
      </c>
      <c r="B16" s="282" t="s">
        <v>25</v>
      </c>
    </row>
    <row r="17" spans="1:2">
      <c r="A17" s="386" t="s">
        <v>423</v>
      </c>
      <c r="B17" s="385" t="s">
        <v>410</v>
      </c>
    </row>
    <row r="18" spans="1:2">
      <c r="A18" s="183">
        <v>10</v>
      </c>
      <c r="B18" s="282" t="s">
        <v>26</v>
      </c>
    </row>
    <row r="19" spans="1:2">
      <c r="A19" s="183">
        <v>11</v>
      </c>
      <c r="B19" s="283" t="s">
        <v>353</v>
      </c>
    </row>
    <row r="20" spans="1:2">
      <c r="A20" s="183">
        <v>12</v>
      </c>
      <c r="B20" s="283" t="s">
        <v>27</v>
      </c>
    </row>
    <row r="21" spans="1:2">
      <c r="A21" s="443">
        <v>13</v>
      </c>
      <c r="B21" s="444" t="s">
        <v>354</v>
      </c>
    </row>
    <row r="22" spans="1:2">
      <c r="A22" s="443">
        <v>14</v>
      </c>
      <c r="B22" s="445" t="s">
        <v>381</v>
      </c>
    </row>
    <row r="23" spans="1:2">
      <c r="A23" s="446">
        <v>15</v>
      </c>
      <c r="B23" s="447" t="s">
        <v>28</v>
      </c>
    </row>
    <row r="24" spans="1:2">
      <c r="A24" s="446">
        <v>15.1</v>
      </c>
      <c r="B24" s="448" t="s">
        <v>437</v>
      </c>
    </row>
    <row r="25" spans="1:2">
      <c r="A25" s="100"/>
      <c r="B25" s="15"/>
    </row>
    <row r="26" spans="1:2">
      <c r="A26" s="100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2.75"/>
  <cols>
    <col min="1" max="1" width="9.5703125" style="10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CARTU BANK</v>
      </c>
    </row>
    <row r="2" spans="1:3" s="87" customFormat="1" ht="15.75" customHeight="1">
      <c r="A2" s="87" t="s">
        <v>31</v>
      </c>
      <c r="B2" s="467">
        <f>'1. key ratios '!B2</f>
        <v>44104</v>
      </c>
    </row>
    <row r="3" spans="1:3" s="87" customFormat="1" ht="15.75" customHeight="1"/>
    <row r="4" spans="1:3" ht="13.5" thickBot="1">
      <c r="A4" s="100" t="s">
        <v>249</v>
      </c>
      <c r="B4" s="164" t="s">
        <v>248</v>
      </c>
    </row>
    <row r="5" spans="1:3">
      <c r="A5" s="101" t="s">
        <v>6</v>
      </c>
      <c r="B5" s="102"/>
      <c r="C5" s="103" t="s">
        <v>73</v>
      </c>
    </row>
    <row r="6" spans="1:3">
      <c r="A6" s="104">
        <v>1</v>
      </c>
      <c r="B6" s="105" t="s">
        <v>247</v>
      </c>
      <c r="C6" s="106">
        <f>SUM(C7:C11)</f>
        <v>173471749</v>
      </c>
    </row>
    <row r="7" spans="1:3">
      <c r="A7" s="104">
        <v>2</v>
      </c>
      <c r="B7" s="107" t="s">
        <v>246</v>
      </c>
      <c r="C7" s="108">
        <v>114430000</v>
      </c>
    </row>
    <row r="8" spans="1:3">
      <c r="A8" s="104">
        <v>3</v>
      </c>
      <c r="B8" s="109" t="s">
        <v>245</v>
      </c>
      <c r="C8" s="108"/>
    </row>
    <row r="9" spans="1:3">
      <c r="A9" s="104">
        <v>4</v>
      </c>
      <c r="B9" s="109" t="s">
        <v>244</v>
      </c>
      <c r="C9" s="108"/>
    </row>
    <row r="10" spans="1:3">
      <c r="A10" s="104">
        <v>5</v>
      </c>
      <c r="B10" s="109" t="s">
        <v>243</v>
      </c>
      <c r="C10" s="108">
        <v>6838034</v>
      </c>
    </row>
    <row r="11" spans="1:3">
      <c r="A11" s="104">
        <v>6</v>
      </c>
      <c r="B11" s="110" t="s">
        <v>242</v>
      </c>
      <c r="C11" s="108">
        <v>52203715</v>
      </c>
    </row>
    <row r="12" spans="1:3" s="76" customFormat="1">
      <c r="A12" s="104">
        <v>7</v>
      </c>
      <c r="B12" s="105" t="s">
        <v>241</v>
      </c>
      <c r="C12" s="111">
        <f>SUM(C13:C27)</f>
        <v>9355550</v>
      </c>
    </row>
    <row r="13" spans="1:3" s="76" customFormat="1">
      <c r="A13" s="104">
        <v>8</v>
      </c>
      <c r="B13" s="112" t="s">
        <v>240</v>
      </c>
      <c r="C13" s="113"/>
    </row>
    <row r="14" spans="1:3" s="76" customFormat="1" ht="25.5">
      <c r="A14" s="104">
        <v>9</v>
      </c>
      <c r="B14" s="114" t="s">
        <v>239</v>
      </c>
      <c r="C14" s="113"/>
    </row>
    <row r="15" spans="1:3" s="76" customFormat="1">
      <c r="A15" s="104">
        <v>10</v>
      </c>
      <c r="B15" s="115" t="s">
        <v>238</v>
      </c>
      <c r="C15" s="113">
        <v>3736435</v>
      </c>
    </row>
    <row r="16" spans="1:3" s="76" customFormat="1">
      <c r="A16" s="104">
        <v>11</v>
      </c>
      <c r="B16" s="116" t="s">
        <v>237</v>
      </c>
      <c r="C16" s="113"/>
    </row>
    <row r="17" spans="1:3" s="76" customFormat="1">
      <c r="A17" s="104">
        <v>12</v>
      </c>
      <c r="B17" s="115" t="s">
        <v>236</v>
      </c>
      <c r="C17" s="113"/>
    </row>
    <row r="18" spans="1:3" s="76" customFormat="1">
      <c r="A18" s="104">
        <v>13</v>
      </c>
      <c r="B18" s="115" t="s">
        <v>235</v>
      </c>
      <c r="C18" s="113"/>
    </row>
    <row r="19" spans="1:3" s="76" customFormat="1">
      <c r="A19" s="104">
        <v>14</v>
      </c>
      <c r="B19" s="115" t="s">
        <v>234</v>
      </c>
      <c r="C19" s="113"/>
    </row>
    <row r="20" spans="1:3" s="76" customFormat="1">
      <c r="A20" s="104">
        <v>15</v>
      </c>
      <c r="B20" s="115" t="s">
        <v>233</v>
      </c>
      <c r="C20" s="113">
        <v>5619115</v>
      </c>
    </row>
    <row r="21" spans="1:3" s="76" customFormat="1" ht="25.5">
      <c r="A21" s="104">
        <v>16</v>
      </c>
      <c r="B21" s="114" t="s">
        <v>232</v>
      </c>
      <c r="C21" s="113"/>
    </row>
    <row r="22" spans="1:3" s="76" customFormat="1">
      <c r="A22" s="104">
        <v>17</v>
      </c>
      <c r="B22" s="117" t="s">
        <v>231</v>
      </c>
      <c r="C22" s="113"/>
    </row>
    <row r="23" spans="1:3" s="76" customFormat="1">
      <c r="A23" s="104">
        <v>18</v>
      </c>
      <c r="B23" s="114" t="s">
        <v>230</v>
      </c>
      <c r="C23" s="113"/>
    </row>
    <row r="24" spans="1:3" s="76" customFormat="1" ht="25.5">
      <c r="A24" s="104">
        <v>19</v>
      </c>
      <c r="B24" s="114" t="s">
        <v>207</v>
      </c>
      <c r="C24" s="113"/>
    </row>
    <row r="25" spans="1:3" s="76" customFormat="1">
      <c r="A25" s="104">
        <v>20</v>
      </c>
      <c r="B25" s="118" t="s">
        <v>229</v>
      </c>
      <c r="C25" s="113"/>
    </row>
    <row r="26" spans="1:3" s="76" customFormat="1">
      <c r="A26" s="104">
        <v>21</v>
      </c>
      <c r="B26" s="118" t="s">
        <v>228</v>
      </c>
      <c r="C26" s="113"/>
    </row>
    <row r="27" spans="1:3" s="76" customFormat="1">
      <c r="A27" s="104">
        <v>22</v>
      </c>
      <c r="B27" s="118" t="s">
        <v>227</v>
      </c>
      <c r="C27" s="113"/>
    </row>
    <row r="28" spans="1:3" s="76" customFormat="1">
      <c r="A28" s="104">
        <v>23</v>
      </c>
      <c r="B28" s="119" t="s">
        <v>226</v>
      </c>
      <c r="C28" s="111">
        <f>C6-C12</f>
        <v>164116199</v>
      </c>
    </row>
    <row r="29" spans="1:3" s="76" customFormat="1">
      <c r="A29" s="120"/>
      <c r="B29" s="121"/>
      <c r="C29" s="113"/>
    </row>
    <row r="30" spans="1:3" s="76" customFormat="1">
      <c r="A30" s="120">
        <v>24</v>
      </c>
      <c r="B30" s="119" t="s">
        <v>225</v>
      </c>
      <c r="C30" s="111">
        <f>C31+C34</f>
        <v>23014600</v>
      </c>
    </row>
    <row r="31" spans="1:3" s="76" customFormat="1">
      <c r="A31" s="120">
        <v>25</v>
      </c>
      <c r="B31" s="109" t="s">
        <v>224</v>
      </c>
      <c r="C31" s="122">
        <f>C32+C33</f>
        <v>23014600</v>
      </c>
    </row>
    <row r="32" spans="1:3" s="76" customFormat="1">
      <c r="A32" s="120">
        <v>26</v>
      </c>
      <c r="B32" s="123" t="s">
        <v>306</v>
      </c>
      <c r="C32" s="113"/>
    </row>
    <row r="33" spans="1:3" s="76" customFormat="1">
      <c r="A33" s="120">
        <v>27</v>
      </c>
      <c r="B33" s="123" t="s">
        <v>223</v>
      </c>
      <c r="C33" s="113">
        <v>23014600</v>
      </c>
    </row>
    <row r="34" spans="1:3" s="76" customFormat="1">
      <c r="A34" s="120">
        <v>28</v>
      </c>
      <c r="B34" s="109" t="s">
        <v>222</v>
      </c>
      <c r="C34" s="113"/>
    </row>
    <row r="35" spans="1:3" s="76" customFormat="1">
      <c r="A35" s="120">
        <v>29</v>
      </c>
      <c r="B35" s="119" t="s">
        <v>221</v>
      </c>
      <c r="C35" s="111">
        <f>SUM(C36:C40)</f>
        <v>0</v>
      </c>
    </row>
    <row r="36" spans="1:3" s="76" customFormat="1">
      <c r="A36" s="120">
        <v>30</v>
      </c>
      <c r="B36" s="114" t="s">
        <v>220</v>
      </c>
      <c r="C36" s="113"/>
    </row>
    <row r="37" spans="1:3" s="76" customFormat="1">
      <c r="A37" s="120">
        <v>31</v>
      </c>
      <c r="B37" s="115" t="s">
        <v>219</v>
      </c>
      <c r="C37" s="113"/>
    </row>
    <row r="38" spans="1:3" s="76" customFormat="1" ht="25.5">
      <c r="A38" s="120">
        <v>32</v>
      </c>
      <c r="B38" s="114" t="s">
        <v>218</v>
      </c>
      <c r="C38" s="113"/>
    </row>
    <row r="39" spans="1:3" s="76" customFormat="1" ht="25.5">
      <c r="A39" s="120">
        <v>33</v>
      </c>
      <c r="B39" s="114" t="s">
        <v>207</v>
      </c>
      <c r="C39" s="113"/>
    </row>
    <row r="40" spans="1:3" s="76" customFormat="1">
      <c r="A40" s="120">
        <v>34</v>
      </c>
      <c r="B40" s="118" t="s">
        <v>217</v>
      </c>
      <c r="C40" s="113"/>
    </row>
    <row r="41" spans="1:3" s="76" customFormat="1">
      <c r="A41" s="120">
        <v>35</v>
      </c>
      <c r="B41" s="119" t="s">
        <v>216</v>
      </c>
      <c r="C41" s="111">
        <f>C30-C35</f>
        <v>23014600</v>
      </c>
    </row>
    <row r="42" spans="1:3" s="76" customFormat="1">
      <c r="A42" s="120"/>
      <c r="B42" s="121"/>
      <c r="C42" s="113"/>
    </row>
    <row r="43" spans="1:3" s="76" customFormat="1">
      <c r="A43" s="120">
        <v>36</v>
      </c>
      <c r="B43" s="124" t="s">
        <v>215</v>
      </c>
      <c r="C43" s="111">
        <f>SUM(C44:C46)</f>
        <v>238607070</v>
      </c>
    </row>
    <row r="44" spans="1:3" s="76" customFormat="1">
      <c r="A44" s="120">
        <v>37</v>
      </c>
      <c r="B44" s="109" t="s">
        <v>214</v>
      </c>
      <c r="C44" s="113">
        <v>226143080</v>
      </c>
    </row>
    <row r="45" spans="1:3" s="76" customFormat="1">
      <c r="A45" s="120">
        <v>38</v>
      </c>
      <c r="B45" s="109" t="s">
        <v>213</v>
      </c>
      <c r="C45" s="113"/>
    </row>
    <row r="46" spans="1:3" s="76" customFormat="1">
      <c r="A46" s="120">
        <v>39</v>
      </c>
      <c r="B46" s="109" t="s">
        <v>212</v>
      </c>
      <c r="C46" s="113">
        <v>12463990</v>
      </c>
    </row>
    <row r="47" spans="1:3" s="76" customFormat="1">
      <c r="A47" s="120">
        <v>40</v>
      </c>
      <c r="B47" s="124" t="s">
        <v>211</v>
      </c>
      <c r="C47" s="111">
        <v>0</v>
      </c>
    </row>
    <row r="48" spans="1:3" s="76" customFormat="1">
      <c r="A48" s="120">
        <v>41</v>
      </c>
      <c r="B48" s="114" t="s">
        <v>210</v>
      </c>
      <c r="C48" s="113"/>
    </row>
    <row r="49" spans="1:3" s="76" customFormat="1">
      <c r="A49" s="120">
        <v>42</v>
      </c>
      <c r="B49" s="115" t="s">
        <v>209</v>
      </c>
      <c r="C49" s="113"/>
    </row>
    <row r="50" spans="1:3" s="76" customFormat="1">
      <c r="A50" s="120">
        <v>43</v>
      </c>
      <c r="B50" s="114" t="s">
        <v>208</v>
      </c>
      <c r="C50" s="113"/>
    </row>
    <row r="51" spans="1:3" s="76" customFormat="1" ht="25.5">
      <c r="A51" s="120">
        <v>44</v>
      </c>
      <c r="B51" s="114" t="s">
        <v>207</v>
      </c>
      <c r="C51" s="113"/>
    </row>
    <row r="52" spans="1:3" s="76" customFormat="1" ht="13.5" thickBot="1">
      <c r="A52" s="125">
        <v>45</v>
      </c>
      <c r="B52" s="126" t="s">
        <v>206</v>
      </c>
      <c r="C52" s="127">
        <f>C43-C47</f>
        <v>238607070</v>
      </c>
    </row>
    <row r="53" spans="1:3">
      <c r="C53" s="532"/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/>
  </sheetViews>
  <sheetFormatPr defaultColWidth="9.140625" defaultRowHeight="12.75"/>
  <cols>
    <col min="1" max="1" width="9.42578125" style="297" bestFit="1" customWidth="1"/>
    <col min="2" max="2" width="59" style="297" customWidth="1"/>
    <col min="3" max="3" width="16.7109375" style="297" bestFit="1" customWidth="1"/>
    <col min="4" max="4" width="13.28515625" style="297" bestFit="1" customWidth="1"/>
    <col min="5" max="16384" width="9.140625" style="297"/>
  </cols>
  <sheetData>
    <row r="1" spans="1:4" ht="15">
      <c r="A1" s="359" t="s">
        <v>30</v>
      </c>
      <c r="B1" s="360" t="str">
        <f>'Info '!C2</f>
        <v>JSC CARTU BANK</v>
      </c>
    </row>
    <row r="2" spans="1:4" s="264" customFormat="1" ht="15.75" customHeight="1">
      <c r="A2" s="264" t="s">
        <v>31</v>
      </c>
      <c r="B2" s="468">
        <f>'1. key ratios '!B2</f>
        <v>44104</v>
      </c>
    </row>
    <row r="3" spans="1:4" s="264" customFormat="1" ht="15.75" customHeight="1"/>
    <row r="4" spans="1:4" ht="13.5" thickBot="1">
      <c r="A4" s="322" t="s">
        <v>409</v>
      </c>
      <c r="B4" s="368" t="s">
        <v>410</v>
      </c>
    </row>
    <row r="5" spans="1:4" s="369" customFormat="1" ht="12.75" customHeight="1">
      <c r="A5" s="441"/>
      <c r="B5" s="442" t="s">
        <v>413</v>
      </c>
      <c r="C5" s="361" t="s">
        <v>411</v>
      </c>
      <c r="D5" s="362" t="s">
        <v>412</v>
      </c>
    </row>
    <row r="6" spans="1:4" s="370" customFormat="1">
      <c r="A6" s="363">
        <v>1</v>
      </c>
      <c r="B6" s="437" t="s">
        <v>414</v>
      </c>
      <c r="C6" s="437"/>
      <c r="D6" s="364"/>
    </row>
    <row r="7" spans="1:4" s="370" customFormat="1">
      <c r="A7" s="365" t="s">
        <v>400</v>
      </c>
      <c r="B7" s="438" t="s">
        <v>415</v>
      </c>
      <c r="C7" s="430">
        <v>4.4999999999999998E-2</v>
      </c>
      <c r="D7" s="493">
        <f>C7*'5. RWA '!$C$13</f>
        <v>65348440.285656042</v>
      </c>
    </row>
    <row r="8" spans="1:4" s="370" customFormat="1">
      <c r="A8" s="365" t="s">
        <v>401</v>
      </c>
      <c r="B8" s="438" t="s">
        <v>416</v>
      </c>
      <c r="C8" s="431">
        <v>0.06</v>
      </c>
      <c r="D8" s="493">
        <f>C8*'5. RWA '!$C$13</f>
        <v>87131253.714208052</v>
      </c>
    </row>
    <row r="9" spans="1:4" s="370" customFormat="1">
      <c r="A9" s="365" t="s">
        <v>402</v>
      </c>
      <c r="B9" s="438" t="s">
        <v>417</v>
      </c>
      <c r="C9" s="431">
        <v>0.08</v>
      </c>
      <c r="D9" s="493">
        <f>C9*'5. RWA '!$C$13</f>
        <v>116175004.95227742</v>
      </c>
    </row>
    <row r="10" spans="1:4" s="370" customFormat="1">
      <c r="A10" s="363" t="s">
        <v>403</v>
      </c>
      <c r="B10" s="437" t="s">
        <v>418</v>
      </c>
      <c r="C10" s="432"/>
      <c r="D10" s="494"/>
    </row>
    <row r="11" spans="1:4" s="371" customFormat="1">
      <c r="A11" s="366" t="s">
        <v>404</v>
      </c>
      <c r="B11" s="429" t="s">
        <v>484</v>
      </c>
      <c r="C11" s="433">
        <v>0</v>
      </c>
      <c r="D11" s="493">
        <f>C11*'5. RWA '!$C$13</f>
        <v>0</v>
      </c>
    </row>
    <row r="12" spans="1:4" s="371" customFormat="1">
      <c r="A12" s="366" t="s">
        <v>405</v>
      </c>
      <c r="B12" s="429" t="s">
        <v>419</v>
      </c>
      <c r="C12" s="433">
        <v>0</v>
      </c>
      <c r="D12" s="493">
        <f>C12*'5. RWA '!$C$13</f>
        <v>0</v>
      </c>
    </row>
    <row r="13" spans="1:4" s="371" customFormat="1">
      <c r="A13" s="366" t="s">
        <v>406</v>
      </c>
      <c r="B13" s="429" t="s">
        <v>420</v>
      </c>
      <c r="C13" s="433"/>
      <c r="D13" s="493">
        <f>C13*'5. RWA '!$C$13</f>
        <v>0</v>
      </c>
    </row>
    <row r="14" spans="1:4" s="371" customFormat="1">
      <c r="A14" s="363" t="s">
        <v>407</v>
      </c>
      <c r="B14" s="437" t="s">
        <v>481</v>
      </c>
      <c r="C14" s="434"/>
      <c r="D14" s="495"/>
    </row>
    <row r="15" spans="1:4" s="371" customFormat="1">
      <c r="A15" s="366">
        <v>3.1</v>
      </c>
      <c r="B15" s="429" t="s">
        <v>425</v>
      </c>
      <c r="C15" s="433">
        <v>1.5826666475946178E-2</v>
      </c>
      <c r="D15" s="493">
        <f>C15*'5. RWA '!$C$13</f>
        <v>22983288.202763628</v>
      </c>
    </row>
    <row r="16" spans="1:4" s="371" customFormat="1">
      <c r="A16" s="366">
        <v>3.2</v>
      </c>
      <c r="B16" s="429" t="s">
        <v>426</v>
      </c>
      <c r="C16" s="433">
        <v>2.1128086050692996E-2</v>
      </c>
      <c r="D16" s="493">
        <f>C16*'5. RWA '!$C$13</f>
        <v>30681943.769642524</v>
      </c>
    </row>
    <row r="17" spans="1:6" s="370" customFormat="1">
      <c r="A17" s="366">
        <v>3.3</v>
      </c>
      <c r="B17" s="429" t="s">
        <v>427</v>
      </c>
      <c r="C17" s="433">
        <v>8.4302561972540241E-2</v>
      </c>
      <c r="D17" s="493">
        <f>C17*'5. RWA '!$C$13</f>
        <v>122423131.93311919</v>
      </c>
    </row>
    <row r="18" spans="1:6" s="369" customFormat="1" ht="12.75" customHeight="1">
      <c r="A18" s="439"/>
      <c r="B18" s="440" t="s">
        <v>480</v>
      </c>
      <c r="C18" s="435" t="s">
        <v>411</v>
      </c>
      <c r="D18" s="496" t="s">
        <v>412</v>
      </c>
    </row>
    <row r="19" spans="1:6" s="370" customFormat="1">
      <c r="A19" s="367">
        <v>4</v>
      </c>
      <c r="B19" s="429" t="s">
        <v>421</v>
      </c>
      <c r="C19" s="433">
        <f>C7+C11+C12+C13+C15</f>
        <v>6.0826666475946173E-2</v>
      </c>
      <c r="D19" s="493">
        <f>C19*'5. RWA '!$C$13</f>
        <v>88331728.488419667</v>
      </c>
    </row>
    <row r="20" spans="1:6" s="370" customFormat="1">
      <c r="A20" s="367">
        <v>5</v>
      </c>
      <c r="B20" s="429" t="s">
        <v>139</v>
      </c>
      <c r="C20" s="433">
        <f>C8+C11+C12+C13+C16</f>
        <v>8.1128086050692994E-2</v>
      </c>
      <c r="D20" s="493">
        <f>C20*'5. RWA '!$C$13</f>
        <v>117813197.48385058</v>
      </c>
    </row>
    <row r="21" spans="1:6" s="370" customFormat="1" ht="13.5" thickBot="1">
      <c r="A21" s="372" t="s">
        <v>408</v>
      </c>
      <c r="B21" s="373" t="s">
        <v>422</v>
      </c>
      <c r="C21" s="436">
        <f>C9+C11+C12+C13+C17</f>
        <v>0.16430256197254023</v>
      </c>
      <c r="D21" s="497">
        <f>C21*'5. RWA '!$C$13</f>
        <v>238598136.8853966</v>
      </c>
    </row>
    <row r="22" spans="1:6">
      <c r="F22" s="322"/>
    </row>
    <row r="23" spans="1:6" ht="63.75">
      <c r="B23" s="321" t="s">
        <v>483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6" sqref="B6"/>
    </sheetView>
  </sheetViews>
  <sheetFormatPr defaultColWidth="9.140625" defaultRowHeight="14.25"/>
  <cols>
    <col min="1" max="1" width="10.7109375" style="4" customWidth="1"/>
    <col min="2" max="2" width="75.7109375" style="4" customWidth="1"/>
    <col min="3" max="3" width="32.425781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87" customFormat="1" ht="15.75" customHeight="1">
      <c r="A2" s="2" t="s">
        <v>31</v>
      </c>
      <c r="B2" s="467">
        <f>'1. key ratios '!B2</f>
        <v>44104</v>
      </c>
    </row>
    <row r="3" spans="1:6" s="87" customFormat="1" ht="15.75" customHeight="1">
      <c r="A3" s="128"/>
    </row>
    <row r="4" spans="1:6" s="87" customFormat="1" ht="15.75" customHeight="1" thickBot="1">
      <c r="A4" s="87" t="s">
        <v>86</v>
      </c>
      <c r="B4" s="255" t="s">
        <v>290</v>
      </c>
      <c r="D4" s="48" t="s">
        <v>73</v>
      </c>
    </row>
    <row r="5" spans="1:6" ht="42" customHeight="1">
      <c r="A5" s="129" t="s">
        <v>6</v>
      </c>
      <c r="B5" s="286" t="s">
        <v>344</v>
      </c>
      <c r="C5" s="130" t="s">
        <v>92</v>
      </c>
      <c r="D5" s="131" t="s">
        <v>93</v>
      </c>
    </row>
    <row r="6" spans="1:6">
      <c r="A6" s="93">
        <v>1</v>
      </c>
      <c r="B6" s="132" t="s">
        <v>35</v>
      </c>
      <c r="C6" s="133">
        <v>31680231</v>
      </c>
      <c r="D6" s="134"/>
      <c r="E6" s="135"/>
    </row>
    <row r="7" spans="1:6">
      <c r="A7" s="93">
        <v>2</v>
      </c>
      <c r="B7" s="136" t="s">
        <v>36</v>
      </c>
      <c r="C7" s="137">
        <v>195621737</v>
      </c>
      <c r="D7" s="138"/>
      <c r="E7" s="135"/>
    </row>
    <row r="8" spans="1:6">
      <c r="A8" s="93">
        <v>3</v>
      </c>
      <c r="B8" s="136" t="s">
        <v>37</v>
      </c>
      <c r="C8" s="137">
        <v>168383987</v>
      </c>
      <c r="D8" s="138"/>
      <c r="E8" s="135"/>
    </row>
    <row r="9" spans="1:6">
      <c r="A9" s="93">
        <v>4</v>
      </c>
      <c r="B9" s="136" t="s">
        <v>38</v>
      </c>
      <c r="C9" s="137">
        <v>0</v>
      </c>
      <c r="D9" s="138"/>
      <c r="E9" s="135"/>
    </row>
    <row r="10" spans="1:6">
      <c r="A10" s="93">
        <v>5</v>
      </c>
      <c r="B10" s="136" t="s">
        <v>39</v>
      </c>
      <c r="C10" s="137">
        <v>62771032</v>
      </c>
      <c r="D10" s="138"/>
      <c r="E10" s="135"/>
    </row>
    <row r="11" spans="1:6" ht="15.75">
      <c r="A11" s="93">
        <v>5.0999999999999996</v>
      </c>
      <c r="B11" s="498" t="s">
        <v>510</v>
      </c>
      <c r="C11" s="137">
        <v>-388780</v>
      </c>
      <c r="D11" s="499" t="s">
        <v>511</v>
      </c>
      <c r="E11" s="141"/>
    </row>
    <row r="12" spans="1:6">
      <c r="A12" s="93">
        <v>5.2</v>
      </c>
      <c r="B12" s="136" t="s">
        <v>512</v>
      </c>
      <c r="C12" s="137">
        <v>62382252</v>
      </c>
      <c r="D12" s="138"/>
      <c r="E12" s="141"/>
    </row>
    <row r="13" spans="1:6">
      <c r="A13" s="93">
        <v>6.1</v>
      </c>
      <c r="B13" s="256" t="s">
        <v>40</v>
      </c>
      <c r="C13" s="139">
        <v>1032689447</v>
      </c>
      <c r="D13" s="140"/>
      <c r="E13" s="135"/>
    </row>
    <row r="14" spans="1:6">
      <c r="A14" s="93">
        <v>6.2</v>
      </c>
      <c r="B14" s="257" t="s">
        <v>41</v>
      </c>
      <c r="C14" s="500">
        <v>-177415245</v>
      </c>
      <c r="D14" s="140"/>
      <c r="E14" s="135"/>
    </row>
    <row r="15" spans="1:6" ht="15.75">
      <c r="A15" s="93" t="s">
        <v>513</v>
      </c>
      <c r="B15" s="501" t="s">
        <v>510</v>
      </c>
      <c r="C15" s="502">
        <v>-11644396</v>
      </c>
      <c r="D15" s="499" t="s">
        <v>511</v>
      </c>
      <c r="E15" s="135"/>
    </row>
    <row r="16" spans="1:6" ht="15">
      <c r="A16" s="93" t="s">
        <v>525</v>
      </c>
      <c r="B16" s="501" t="s">
        <v>526</v>
      </c>
      <c r="C16" s="502">
        <v>-6415855</v>
      </c>
      <c r="D16" s="140"/>
      <c r="E16" s="135"/>
    </row>
    <row r="17" spans="1:5">
      <c r="A17" s="93">
        <v>6</v>
      </c>
      <c r="B17" s="136" t="s">
        <v>42</v>
      </c>
      <c r="C17" s="142">
        <v>855274202</v>
      </c>
      <c r="D17" s="140"/>
      <c r="E17" s="135"/>
    </row>
    <row r="18" spans="1:5">
      <c r="A18" s="93">
        <v>7</v>
      </c>
      <c r="B18" s="136" t="s">
        <v>43</v>
      </c>
      <c r="C18" s="137">
        <v>14762986</v>
      </c>
      <c r="D18" s="138"/>
      <c r="E18" s="135"/>
    </row>
    <row r="19" spans="1:5">
      <c r="A19" s="93">
        <v>8</v>
      </c>
      <c r="B19" s="284" t="s">
        <v>202</v>
      </c>
      <c r="C19" s="137">
        <v>6013426</v>
      </c>
      <c r="D19" s="138"/>
      <c r="E19" s="135"/>
    </row>
    <row r="20" spans="1:5" ht="15">
      <c r="A20" s="93">
        <v>9</v>
      </c>
      <c r="B20" s="136" t="s">
        <v>44</v>
      </c>
      <c r="C20" s="503">
        <v>7793239</v>
      </c>
      <c r="D20" s="138"/>
      <c r="E20" s="135"/>
    </row>
    <row r="21" spans="1:5" ht="15.75">
      <c r="A21" s="93">
        <v>9.1</v>
      </c>
      <c r="B21" s="143" t="s">
        <v>88</v>
      </c>
      <c r="C21" s="504">
        <v>9372300</v>
      </c>
      <c r="D21" s="505"/>
      <c r="E21" s="135"/>
    </row>
    <row r="22" spans="1:5" ht="15.75">
      <c r="A22" s="93">
        <v>9.1999999999999993</v>
      </c>
      <c r="B22" s="143" t="s">
        <v>514</v>
      </c>
      <c r="C22" s="506">
        <v>-1634921</v>
      </c>
      <c r="D22" s="505"/>
      <c r="E22" s="135"/>
    </row>
    <row r="23" spans="1:5" ht="15.75">
      <c r="A23" s="93">
        <v>9.3000000000000007</v>
      </c>
      <c r="B23" s="143" t="s">
        <v>272</v>
      </c>
      <c r="C23" s="504">
        <v>57000</v>
      </c>
      <c r="D23" s="505"/>
      <c r="E23" s="135"/>
    </row>
    <row r="24" spans="1:5" ht="15.75">
      <c r="A24" s="93">
        <v>9.4</v>
      </c>
      <c r="B24" s="258" t="s">
        <v>515</v>
      </c>
      <c r="C24" s="507">
        <v>-1140</v>
      </c>
      <c r="D24" s="499" t="s">
        <v>511</v>
      </c>
      <c r="E24" s="149"/>
    </row>
    <row r="25" spans="1:5">
      <c r="A25" s="93">
        <v>10</v>
      </c>
      <c r="B25" s="136" t="s">
        <v>45</v>
      </c>
      <c r="C25" s="137">
        <v>21313841</v>
      </c>
      <c r="D25" s="138"/>
      <c r="E25" s="135"/>
    </row>
    <row r="26" spans="1:5">
      <c r="A26" s="508">
        <v>10.1</v>
      </c>
      <c r="B26" s="152" t="s">
        <v>89</v>
      </c>
      <c r="C26" s="145">
        <v>3736435</v>
      </c>
      <c r="D26" s="509" t="s">
        <v>91</v>
      </c>
      <c r="E26" s="135"/>
    </row>
    <row r="27" spans="1:5">
      <c r="A27" s="510">
        <v>11</v>
      </c>
      <c r="B27" s="511" t="s">
        <v>46</v>
      </c>
      <c r="C27" s="512">
        <v>45573988</v>
      </c>
      <c r="D27" s="513"/>
      <c r="E27" s="135"/>
    </row>
    <row r="28" spans="1:5" ht="15.75">
      <c r="A28" s="510">
        <v>11.1</v>
      </c>
      <c r="B28" s="514" t="s">
        <v>529</v>
      </c>
      <c r="C28" s="512">
        <v>5619115</v>
      </c>
      <c r="D28" s="499" t="s">
        <v>511</v>
      </c>
      <c r="E28" s="135"/>
    </row>
    <row r="29" spans="1:5" ht="15.75">
      <c r="A29" s="510">
        <v>11.2</v>
      </c>
      <c r="B29" s="514" t="s">
        <v>510</v>
      </c>
      <c r="C29" s="512">
        <v>0</v>
      </c>
      <c r="D29" s="499" t="s">
        <v>528</v>
      </c>
      <c r="E29" s="135"/>
    </row>
    <row r="30" spans="1:5">
      <c r="A30" s="510">
        <v>11.3</v>
      </c>
      <c r="B30" s="514" t="s">
        <v>516</v>
      </c>
      <c r="C30" s="512">
        <v>-1521286</v>
      </c>
      <c r="D30" s="513"/>
      <c r="E30" s="135"/>
    </row>
    <row r="31" spans="1:5">
      <c r="A31" s="510"/>
      <c r="B31" s="511" t="s">
        <v>517</v>
      </c>
      <c r="C31" s="512">
        <v>44052702</v>
      </c>
      <c r="D31" s="513"/>
      <c r="E31" s="135"/>
    </row>
    <row r="32" spans="1:5">
      <c r="A32" s="93">
        <v>12</v>
      </c>
      <c r="B32" s="146" t="s">
        <v>47</v>
      </c>
      <c r="C32" s="147">
        <f>SUM(C6:C9,C12,C17:C20,C25,C31)</f>
        <v>1407278603</v>
      </c>
      <c r="D32" s="148"/>
      <c r="E32" s="135"/>
    </row>
    <row r="33" spans="1:5">
      <c r="A33" s="93">
        <v>13</v>
      </c>
      <c r="B33" s="136" t="s">
        <v>49</v>
      </c>
      <c r="C33" s="150">
        <v>162070</v>
      </c>
      <c r="D33" s="151"/>
      <c r="E33" s="135"/>
    </row>
    <row r="34" spans="1:5">
      <c r="A34" s="93">
        <v>14</v>
      </c>
      <c r="B34" s="136" t="s">
        <v>50</v>
      </c>
      <c r="C34" s="137">
        <v>380286783</v>
      </c>
      <c r="D34" s="138"/>
      <c r="E34" s="135"/>
    </row>
    <row r="35" spans="1:5">
      <c r="A35" s="93">
        <v>15</v>
      </c>
      <c r="B35" s="136" t="s">
        <v>51</v>
      </c>
      <c r="C35" s="137">
        <v>78677051</v>
      </c>
      <c r="D35" s="138"/>
      <c r="E35" s="135"/>
    </row>
    <row r="36" spans="1:5" ht="15">
      <c r="A36" s="93">
        <v>16</v>
      </c>
      <c r="B36" s="136" t="s">
        <v>52</v>
      </c>
      <c r="C36" s="137">
        <v>482760905</v>
      </c>
      <c r="D36" s="138"/>
      <c r="E36" s="149"/>
    </row>
    <row r="37" spans="1:5">
      <c r="A37" s="93">
        <v>17</v>
      </c>
      <c r="B37" s="136" t="s">
        <v>53</v>
      </c>
      <c r="C37" s="137">
        <v>0</v>
      </c>
      <c r="D37" s="138"/>
      <c r="E37" s="135"/>
    </row>
    <row r="38" spans="1:5">
      <c r="A38" s="93">
        <v>18</v>
      </c>
      <c r="B38" s="136" t="s">
        <v>54</v>
      </c>
      <c r="C38" s="137">
        <v>0</v>
      </c>
      <c r="D38" s="138"/>
      <c r="E38" s="135"/>
    </row>
    <row r="39" spans="1:5">
      <c r="A39" s="93">
        <v>19</v>
      </c>
      <c r="B39" s="136" t="s">
        <v>55</v>
      </c>
      <c r="C39" s="137">
        <v>11023131</v>
      </c>
      <c r="D39" s="138"/>
      <c r="E39" s="135"/>
    </row>
    <row r="40" spans="1:5">
      <c r="A40" s="93">
        <v>20</v>
      </c>
      <c r="B40" s="136" t="s">
        <v>56</v>
      </c>
      <c r="C40" s="137">
        <v>31739234</v>
      </c>
      <c r="D40" s="138"/>
      <c r="E40" s="135"/>
    </row>
    <row r="41" spans="1:5" ht="15.75">
      <c r="A41" s="93">
        <v>20.100000000000001</v>
      </c>
      <c r="B41" s="515" t="s">
        <v>518</v>
      </c>
      <c r="C41" s="502">
        <v>429674</v>
      </c>
      <c r="D41" s="499" t="s">
        <v>511</v>
      </c>
      <c r="E41" s="135"/>
    </row>
    <row r="42" spans="1:5" ht="15.75">
      <c r="A42" s="93">
        <v>21</v>
      </c>
      <c r="B42" s="144" t="s">
        <v>57</v>
      </c>
      <c r="C42" s="145">
        <v>248557680</v>
      </c>
      <c r="D42" s="505"/>
      <c r="E42" s="135"/>
    </row>
    <row r="43" spans="1:5" ht="15.75">
      <c r="A43" s="93">
        <v>21.1</v>
      </c>
      <c r="B43" s="152" t="s">
        <v>90</v>
      </c>
      <c r="C43" s="153">
        <v>248557680</v>
      </c>
      <c r="D43" s="499" t="s">
        <v>519</v>
      </c>
      <c r="E43" s="135"/>
    </row>
    <row r="44" spans="1:5" ht="15">
      <c r="A44" s="93">
        <v>22</v>
      </c>
      <c r="B44" s="146" t="s">
        <v>58</v>
      </c>
      <c r="C44" s="147">
        <f>SUM(C33:C40,C42)</f>
        <v>1233206854</v>
      </c>
      <c r="D44" s="148"/>
      <c r="E44" s="149"/>
    </row>
    <row r="45" spans="1:5" ht="15.75">
      <c r="A45" s="93">
        <v>23</v>
      </c>
      <c r="B45" s="144" t="s">
        <v>60</v>
      </c>
      <c r="C45" s="137">
        <v>114430000</v>
      </c>
      <c r="D45" s="499" t="s">
        <v>520</v>
      </c>
    </row>
    <row r="46" spans="1:5">
      <c r="A46" s="93">
        <v>24</v>
      </c>
      <c r="B46" s="144" t="s">
        <v>61</v>
      </c>
      <c r="C46" s="137">
        <v>0</v>
      </c>
      <c r="D46" s="138"/>
    </row>
    <row r="47" spans="1:5">
      <c r="A47" s="93">
        <v>25</v>
      </c>
      <c r="B47" s="144" t="s">
        <v>62</v>
      </c>
      <c r="C47" s="137">
        <v>0</v>
      </c>
      <c r="D47" s="138"/>
    </row>
    <row r="48" spans="1:5">
      <c r="A48" s="93">
        <v>26</v>
      </c>
      <c r="B48" s="144" t="s">
        <v>63</v>
      </c>
      <c r="C48" s="137">
        <v>0</v>
      </c>
      <c r="D48" s="138"/>
    </row>
    <row r="49" spans="1:4">
      <c r="A49" s="93">
        <v>27</v>
      </c>
      <c r="B49" s="144" t="s">
        <v>64</v>
      </c>
      <c r="C49" s="137">
        <v>7438034</v>
      </c>
      <c r="D49" s="138"/>
    </row>
    <row r="50" spans="1:4" ht="15.75">
      <c r="A50" s="93">
        <v>27.1</v>
      </c>
      <c r="B50" s="516" t="s">
        <v>521</v>
      </c>
      <c r="C50" s="507">
        <v>6838034</v>
      </c>
      <c r="D50" s="499" t="s">
        <v>522</v>
      </c>
    </row>
    <row r="51" spans="1:4" ht="15.75">
      <c r="A51" s="93">
        <v>27.2</v>
      </c>
      <c r="B51" s="516" t="s">
        <v>523</v>
      </c>
      <c r="C51" s="507">
        <v>600000</v>
      </c>
      <c r="D51" s="499" t="s">
        <v>519</v>
      </c>
    </row>
    <row r="52" spans="1:4" ht="15.75">
      <c r="A52" s="93">
        <v>28</v>
      </c>
      <c r="B52" s="144" t="s">
        <v>65</v>
      </c>
      <c r="C52" s="137">
        <v>52203715</v>
      </c>
      <c r="D52" s="499" t="s">
        <v>524</v>
      </c>
    </row>
    <row r="53" spans="1:4">
      <c r="A53" s="93">
        <v>29</v>
      </c>
      <c r="B53" s="144" t="s">
        <v>66</v>
      </c>
      <c r="C53" s="137">
        <v>0</v>
      </c>
      <c r="D53" s="138"/>
    </row>
    <row r="54" spans="1:4" ht="15" thickBot="1">
      <c r="A54" s="154">
        <v>30</v>
      </c>
      <c r="B54" s="155" t="s">
        <v>270</v>
      </c>
      <c r="C54" s="156">
        <f>SUM(C45:C49,C52:C53)</f>
        <v>174071749</v>
      </c>
      <c r="D54" s="15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5" sqref="B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2.140625" style="46" customWidth="1"/>
    <col min="20" max="16384" width="9.14062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64">
        <f>'1. key ratios '!B2</f>
        <v>44104</v>
      </c>
    </row>
    <row r="4" spans="1:19" ht="26.25" thickBot="1">
      <c r="A4" s="4" t="s">
        <v>252</v>
      </c>
      <c r="B4" s="308" t="s">
        <v>379</v>
      </c>
    </row>
    <row r="5" spans="1:19" s="294" customFormat="1">
      <c r="A5" s="289"/>
      <c r="B5" s="290"/>
      <c r="C5" s="291" t="s">
        <v>0</v>
      </c>
      <c r="D5" s="291" t="s">
        <v>1</v>
      </c>
      <c r="E5" s="291" t="s">
        <v>2</v>
      </c>
      <c r="F5" s="291" t="s">
        <v>3</v>
      </c>
      <c r="G5" s="291" t="s">
        <v>4</v>
      </c>
      <c r="H5" s="291" t="s">
        <v>5</v>
      </c>
      <c r="I5" s="291" t="s">
        <v>8</v>
      </c>
      <c r="J5" s="291" t="s">
        <v>9</v>
      </c>
      <c r="K5" s="291" t="s">
        <v>10</v>
      </c>
      <c r="L5" s="291" t="s">
        <v>11</v>
      </c>
      <c r="M5" s="291" t="s">
        <v>12</v>
      </c>
      <c r="N5" s="291" t="s">
        <v>13</v>
      </c>
      <c r="O5" s="291" t="s">
        <v>362</v>
      </c>
      <c r="P5" s="291" t="s">
        <v>363</v>
      </c>
      <c r="Q5" s="291" t="s">
        <v>364</v>
      </c>
      <c r="R5" s="292" t="s">
        <v>365</v>
      </c>
      <c r="S5" s="293" t="s">
        <v>366</v>
      </c>
    </row>
    <row r="6" spans="1:19" s="294" customFormat="1" ht="99" customHeight="1">
      <c r="A6" s="295"/>
      <c r="B6" s="559" t="s">
        <v>367</v>
      </c>
      <c r="C6" s="555">
        <v>0</v>
      </c>
      <c r="D6" s="556"/>
      <c r="E6" s="555">
        <v>0.2</v>
      </c>
      <c r="F6" s="556"/>
      <c r="G6" s="555">
        <v>0.35</v>
      </c>
      <c r="H6" s="556"/>
      <c r="I6" s="555">
        <v>0.5</v>
      </c>
      <c r="J6" s="556"/>
      <c r="K6" s="555">
        <v>0.75</v>
      </c>
      <c r="L6" s="556"/>
      <c r="M6" s="555">
        <v>1</v>
      </c>
      <c r="N6" s="556"/>
      <c r="O6" s="555">
        <v>1.5</v>
      </c>
      <c r="P6" s="556"/>
      <c r="Q6" s="555">
        <v>2.5</v>
      </c>
      <c r="R6" s="556"/>
      <c r="S6" s="557" t="s">
        <v>251</v>
      </c>
    </row>
    <row r="7" spans="1:19" s="294" customFormat="1" ht="30.75" customHeight="1">
      <c r="A7" s="295"/>
      <c r="B7" s="560"/>
      <c r="C7" s="285" t="s">
        <v>254</v>
      </c>
      <c r="D7" s="285" t="s">
        <v>253</v>
      </c>
      <c r="E7" s="285" t="s">
        <v>254</v>
      </c>
      <c r="F7" s="285" t="s">
        <v>253</v>
      </c>
      <c r="G7" s="285" t="s">
        <v>254</v>
      </c>
      <c r="H7" s="285" t="s">
        <v>253</v>
      </c>
      <c r="I7" s="285" t="s">
        <v>254</v>
      </c>
      <c r="J7" s="285" t="s">
        <v>253</v>
      </c>
      <c r="K7" s="285" t="s">
        <v>254</v>
      </c>
      <c r="L7" s="285" t="s">
        <v>253</v>
      </c>
      <c r="M7" s="285" t="s">
        <v>254</v>
      </c>
      <c r="N7" s="285" t="s">
        <v>253</v>
      </c>
      <c r="O7" s="285" t="s">
        <v>254</v>
      </c>
      <c r="P7" s="285" t="s">
        <v>253</v>
      </c>
      <c r="Q7" s="285" t="s">
        <v>254</v>
      </c>
      <c r="R7" s="285" t="s">
        <v>253</v>
      </c>
      <c r="S7" s="558"/>
    </row>
    <row r="8" spans="1:19" s="160" customFormat="1">
      <c r="A8" s="158">
        <v>1</v>
      </c>
      <c r="B8" s="1" t="s">
        <v>95</v>
      </c>
      <c r="C8" s="159">
        <v>44460115</v>
      </c>
      <c r="D8" s="159"/>
      <c r="E8" s="159"/>
      <c r="F8" s="159"/>
      <c r="G8" s="159"/>
      <c r="H8" s="159"/>
      <c r="I8" s="159"/>
      <c r="J8" s="159"/>
      <c r="K8" s="159"/>
      <c r="L8" s="159"/>
      <c r="M8" s="159">
        <v>195118342</v>
      </c>
      <c r="N8" s="159"/>
      <c r="O8" s="159"/>
      <c r="P8" s="159"/>
      <c r="Q8" s="159"/>
      <c r="R8" s="159"/>
      <c r="S8" s="309">
        <f>$C$6*SUM(C8:D8)+$E$6*SUM(E8:F8)+$G$6*SUM(G8:H8)+$I$6*SUM(I8:J8)+$K$6*SUM(K8:L8)+$M$6*SUM(M8:N8)+$O$6*SUM(O8:P8)+$Q$6*SUM(Q8:R8)</f>
        <v>195118342</v>
      </c>
    </row>
    <row r="9" spans="1:19" s="160" customFormat="1">
      <c r="A9" s="158">
        <v>2</v>
      </c>
      <c r="B9" s="1" t="s">
        <v>96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>
        <v>0</v>
      </c>
      <c r="N9" s="159"/>
      <c r="O9" s="159"/>
      <c r="P9" s="159"/>
      <c r="Q9" s="159"/>
      <c r="R9" s="159"/>
      <c r="S9" s="309">
        <f t="shared" ref="S9:S21" si="0">$C$6*SUM(C9:D9)+$E$6*SUM(E9:F9)+$G$6*SUM(G9:H9)+$I$6*SUM(I9:J9)+$K$6*SUM(K9:L9)+$M$6*SUM(M9:N9)+$O$6*SUM(O9:P9)+$Q$6*SUM(Q9:R9)</f>
        <v>0</v>
      </c>
    </row>
    <row r="10" spans="1:19" s="160" customFormat="1">
      <c r="A10" s="158">
        <v>3</v>
      </c>
      <c r="B10" s="1" t="s">
        <v>273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>
        <v>0</v>
      </c>
      <c r="N10" s="159"/>
      <c r="O10" s="159"/>
      <c r="P10" s="159"/>
      <c r="Q10" s="159"/>
      <c r="R10" s="159"/>
      <c r="S10" s="309">
        <f t="shared" si="0"/>
        <v>0</v>
      </c>
    </row>
    <row r="11" spans="1:19" s="160" customFormat="1">
      <c r="A11" s="158">
        <v>4</v>
      </c>
      <c r="B11" s="1" t="s">
        <v>97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>
        <v>0</v>
      </c>
      <c r="N11" s="159"/>
      <c r="O11" s="159"/>
      <c r="P11" s="159"/>
      <c r="Q11" s="159"/>
      <c r="R11" s="159"/>
      <c r="S11" s="309">
        <f t="shared" si="0"/>
        <v>0</v>
      </c>
    </row>
    <row r="12" spans="1:19" s="160" customFormat="1">
      <c r="A12" s="158">
        <v>5</v>
      </c>
      <c r="B12" s="1" t="s">
        <v>98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>
        <v>0</v>
      </c>
      <c r="N12" s="159"/>
      <c r="O12" s="159"/>
      <c r="P12" s="159"/>
      <c r="Q12" s="159"/>
      <c r="R12" s="159"/>
      <c r="S12" s="309">
        <f t="shared" si="0"/>
        <v>0</v>
      </c>
    </row>
    <row r="13" spans="1:19" s="160" customFormat="1">
      <c r="A13" s="158">
        <v>6</v>
      </c>
      <c r="B13" s="1" t="s">
        <v>99</v>
      </c>
      <c r="C13" s="159">
        <v>0</v>
      </c>
      <c r="D13" s="159"/>
      <c r="E13" s="159">
        <v>133711230.87</v>
      </c>
      <c r="F13" s="159"/>
      <c r="G13" s="159"/>
      <c r="H13" s="159"/>
      <c r="I13" s="159">
        <v>34518585.710000001</v>
      </c>
      <c r="J13" s="159"/>
      <c r="K13" s="159"/>
      <c r="L13" s="159"/>
      <c r="M13" s="159">
        <v>154170.41999999434</v>
      </c>
      <c r="N13" s="159"/>
      <c r="O13" s="159"/>
      <c r="P13" s="159"/>
      <c r="Q13" s="159"/>
      <c r="R13" s="159"/>
      <c r="S13" s="309">
        <f t="shared" si="0"/>
        <v>44155709.448999994</v>
      </c>
    </row>
    <row r="14" spans="1:19" s="160" customFormat="1">
      <c r="A14" s="158">
        <v>7</v>
      </c>
      <c r="B14" s="1" t="s">
        <v>100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>
        <v>691882881.6875118</v>
      </c>
      <c r="N14" s="159">
        <v>36511434.891657673</v>
      </c>
      <c r="O14" s="159">
        <v>58909245.640693992</v>
      </c>
      <c r="P14" s="159"/>
      <c r="Q14" s="159">
        <v>0</v>
      </c>
      <c r="R14" s="159">
        <v>0</v>
      </c>
      <c r="S14" s="309">
        <f t="shared" si="0"/>
        <v>816758185.04021049</v>
      </c>
    </row>
    <row r="15" spans="1:19" s="160" customFormat="1">
      <c r="A15" s="158">
        <v>8</v>
      </c>
      <c r="B15" s="1" t="s">
        <v>101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>
        <v>0</v>
      </c>
      <c r="N15" s="159"/>
      <c r="O15" s="159"/>
      <c r="P15" s="159"/>
      <c r="Q15" s="159"/>
      <c r="R15" s="159"/>
      <c r="S15" s="309">
        <f t="shared" si="0"/>
        <v>0</v>
      </c>
    </row>
    <row r="16" spans="1:19" s="160" customFormat="1">
      <c r="A16" s="158">
        <v>9</v>
      </c>
      <c r="B16" s="1" t="s">
        <v>102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>
        <v>0</v>
      </c>
      <c r="N16" s="159"/>
      <c r="O16" s="159"/>
      <c r="P16" s="159"/>
      <c r="Q16" s="159"/>
      <c r="R16" s="159"/>
      <c r="S16" s="309">
        <f t="shared" si="0"/>
        <v>0</v>
      </c>
    </row>
    <row r="17" spans="1:19" s="160" customFormat="1">
      <c r="A17" s="158">
        <v>10</v>
      </c>
      <c r="B17" s="1" t="s">
        <v>103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126884083.02146693</v>
      </c>
      <c r="N17" s="159">
        <v>486177.05299999524</v>
      </c>
      <c r="O17" s="159">
        <v>0</v>
      </c>
      <c r="P17" s="159"/>
      <c r="Q17" s="159">
        <v>0</v>
      </c>
      <c r="R17" s="159"/>
      <c r="S17" s="309">
        <f t="shared" si="0"/>
        <v>127370260.07446691</v>
      </c>
    </row>
    <row r="18" spans="1:19" s="160" customFormat="1">
      <c r="A18" s="158">
        <v>11</v>
      </c>
      <c r="B18" s="1" t="s">
        <v>104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>
        <v>0</v>
      </c>
      <c r="N18" s="159"/>
      <c r="O18" s="159"/>
      <c r="P18" s="159"/>
      <c r="Q18" s="159"/>
      <c r="R18" s="159"/>
      <c r="S18" s="309">
        <f t="shared" si="0"/>
        <v>0</v>
      </c>
    </row>
    <row r="19" spans="1:19" s="160" customFormat="1">
      <c r="A19" s="158">
        <v>12</v>
      </c>
      <c r="B19" s="1" t="s">
        <v>105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v>0</v>
      </c>
      <c r="N19" s="159"/>
      <c r="O19" s="159"/>
      <c r="P19" s="159"/>
      <c r="Q19" s="159"/>
      <c r="R19" s="159"/>
      <c r="S19" s="309">
        <f t="shared" si="0"/>
        <v>0</v>
      </c>
    </row>
    <row r="20" spans="1:19" s="160" customFormat="1">
      <c r="A20" s="158">
        <v>13</v>
      </c>
      <c r="B20" s="1" t="s">
        <v>250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>
        <v>0</v>
      </c>
      <c r="N20" s="159"/>
      <c r="O20" s="159"/>
      <c r="P20" s="159"/>
      <c r="Q20" s="159"/>
      <c r="R20" s="159"/>
      <c r="S20" s="309">
        <f t="shared" si="0"/>
        <v>0</v>
      </c>
    </row>
    <row r="21" spans="1:19" s="160" customFormat="1">
      <c r="A21" s="158">
        <v>14</v>
      </c>
      <c r="B21" s="1" t="s">
        <v>107</v>
      </c>
      <c r="C21" s="159">
        <v>36266611</v>
      </c>
      <c r="D21" s="159"/>
      <c r="E21" s="159">
        <v>0</v>
      </c>
      <c r="F21" s="159"/>
      <c r="G21" s="159"/>
      <c r="H21" s="159">
        <v>0</v>
      </c>
      <c r="I21" s="159">
        <v>0</v>
      </c>
      <c r="J21" s="159"/>
      <c r="K21" s="159"/>
      <c r="L21" s="159"/>
      <c r="M21" s="159">
        <v>75306990.399174988</v>
      </c>
      <c r="N21" s="159">
        <v>895638.90344999742</v>
      </c>
      <c r="O21" s="159">
        <v>0</v>
      </c>
      <c r="P21" s="159"/>
      <c r="Q21" s="159">
        <v>19160965.009999998</v>
      </c>
      <c r="R21" s="159"/>
      <c r="S21" s="309">
        <f t="shared" si="0"/>
        <v>124105041.82762498</v>
      </c>
    </row>
    <row r="22" spans="1:19" ht="13.5" thickBot="1">
      <c r="A22" s="161"/>
      <c r="B22" s="162" t="s">
        <v>108</v>
      </c>
      <c r="C22" s="163">
        <f>SUM(C8:C21)</f>
        <v>80726726</v>
      </c>
      <c r="D22" s="163">
        <f t="shared" ref="D22:J22" si="1">SUM(D8:D21)</f>
        <v>0</v>
      </c>
      <c r="E22" s="163">
        <f t="shared" si="1"/>
        <v>133711230.87</v>
      </c>
      <c r="F22" s="163">
        <f t="shared" si="1"/>
        <v>0</v>
      </c>
      <c r="G22" s="163">
        <f t="shared" si="1"/>
        <v>0</v>
      </c>
      <c r="H22" s="163">
        <f t="shared" si="1"/>
        <v>0</v>
      </c>
      <c r="I22" s="163">
        <f t="shared" si="1"/>
        <v>34518585.710000001</v>
      </c>
      <c r="J22" s="163">
        <f t="shared" si="1"/>
        <v>0</v>
      </c>
      <c r="K22" s="163">
        <f t="shared" ref="K22:S22" si="2">SUM(K8:K21)</f>
        <v>0</v>
      </c>
      <c r="L22" s="163">
        <f t="shared" si="2"/>
        <v>0</v>
      </c>
      <c r="M22" s="163">
        <f t="shared" si="2"/>
        <v>1089346467.5281537</v>
      </c>
      <c r="N22" s="163">
        <f t="shared" si="2"/>
        <v>37893250.848107666</v>
      </c>
      <c r="O22" s="163">
        <f t="shared" si="2"/>
        <v>58909245.640693992</v>
      </c>
      <c r="P22" s="163">
        <f t="shared" si="2"/>
        <v>0</v>
      </c>
      <c r="Q22" s="163">
        <f t="shared" si="2"/>
        <v>19160965.009999998</v>
      </c>
      <c r="R22" s="163">
        <f t="shared" si="2"/>
        <v>0</v>
      </c>
      <c r="S22" s="310">
        <f t="shared" si="2"/>
        <v>1307507538.3913023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64">
        <f>'1. key ratios '!B2</f>
        <v>44104</v>
      </c>
    </row>
    <row r="4" spans="1:22" ht="13.5" thickBot="1">
      <c r="A4" s="4" t="s">
        <v>370</v>
      </c>
      <c r="B4" s="164" t="s">
        <v>94</v>
      </c>
      <c r="V4" s="48" t="s">
        <v>73</v>
      </c>
    </row>
    <row r="5" spans="1:22" ht="12.75" customHeight="1">
      <c r="A5" s="165"/>
      <c r="B5" s="166"/>
      <c r="C5" s="561" t="s">
        <v>281</v>
      </c>
      <c r="D5" s="562"/>
      <c r="E5" s="562"/>
      <c r="F5" s="562"/>
      <c r="G5" s="562"/>
      <c r="H5" s="562"/>
      <c r="I5" s="562"/>
      <c r="J5" s="562"/>
      <c r="K5" s="562"/>
      <c r="L5" s="563"/>
      <c r="M5" s="564" t="s">
        <v>282</v>
      </c>
      <c r="N5" s="565"/>
      <c r="O5" s="565"/>
      <c r="P5" s="565"/>
      <c r="Q5" s="565"/>
      <c r="R5" s="565"/>
      <c r="S5" s="566"/>
      <c r="T5" s="569" t="s">
        <v>368</v>
      </c>
      <c r="U5" s="569" t="s">
        <v>369</v>
      </c>
      <c r="V5" s="567" t="s">
        <v>120</v>
      </c>
    </row>
    <row r="6" spans="1:22" s="99" customFormat="1" ht="102">
      <c r="A6" s="96"/>
      <c r="B6" s="167"/>
      <c r="C6" s="168" t="s">
        <v>109</v>
      </c>
      <c r="D6" s="261" t="s">
        <v>110</v>
      </c>
      <c r="E6" s="195" t="s">
        <v>284</v>
      </c>
      <c r="F6" s="195" t="s">
        <v>285</v>
      </c>
      <c r="G6" s="261" t="s">
        <v>288</v>
      </c>
      <c r="H6" s="261" t="s">
        <v>283</v>
      </c>
      <c r="I6" s="261" t="s">
        <v>111</v>
      </c>
      <c r="J6" s="261" t="s">
        <v>112</v>
      </c>
      <c r="K6" s="169" t="s">
        <v>113</v>
      </c>
      <c r="L6" s="170" t="s">
        <v>114</v>
      </c>
      <c r="M6" s="168" t="s">
        <v>286</v>
      </c>
      <c r="N6" s="169" t="s">
        <v>115</v>
      </c>
      <c r="O6" s="169" t="s">
        <v>116</v>
      </c>
      <c r="P6" s="169" t="s">
        <v>117</v>
      </c>
      <c r="Q6" s="169" t="s">
        <v>118</v>
      </c>
      <c r="R6" s="169" t="s">
        <v>119</v>
      </c>
      <c r="S6" s="287" t="s">
        <v>287</v>
      </c>
      <c r="T6" s="570"/>
      <c r="U6" s="570"/>
      <c r="V6" s="568"/>
    </row>
    <row r="7" spans="1:22" s="160" customFormat="1">
      <c r="A7" s="171">
        <v>1</v>
      </c>
      <c r="B7" s="1" t="s">
        <v>95</v>
      </c>
      <c r="C7" s="172"/>
      <c r="D7" s="159"/>
      <c r="E7" s="159"/>
      <c r="F7" s="159"/>
      <c r="G7" s="159"/>
      <c r="H7" s="159"/>
      <c r="I7" s="159"/>
      <c r="J7" s="159"/>
      <c r="K7" s="159"/>
      <c r="L7" s="173"/>
      <c r="M7" s="172"/>
      <c r="N7" s="159"/>
      <c r="O7" s="159"/>
      <c r="P7" s="159"/>
      <c r="Q7" s="159"/>
      <c r="R7" s="159"/>
      <c r="S7" s="173"/>
      <c r="T7" s="296"/>
      <c r="U7" s="296"/>
      <c r="V7" s="174">
        <f>SUM(C7:S7)</f>
        <v>0</v>
      </c>
    </row>
    <row r="8" spans="1:22" s="160" customFormat="1">
      <c r="A8" s="171">
        <v>2</v>
      </c>
      <c r="B8" s="1" t="s">
        <v>96</v>
      </c>
      <c r="C8" s="172"/>
      <c r="D8" s="159"/>
      <c r="E8" s="159"/>
      <c r="F8" s="159"/>
      <c r="G8" s="159"/>
      <c r="H8" s="159"/>
      <c r="I8" s="159"/>
      <c r="J8" s="159"/>
      <c r="K8" s="159"/>
      <c r="L8" s="173"/>
      <c r="M8" s="172"/>
      <c r="N8" s="159"/>
      <c r="O8" s="159"/>
      <c r="P8" s="159"/>
      <c r="Q8" s="159"/>
      <c r="R8" s="159"/>
      <c r="S8" s="173"/>
      <c r="T8" s="296"/>
      <c r="U8" s="296"/>
      <c r="V8" s="174">
        <f t="shared" ref="V8:V20" si="0">SUM(C8:S8)</f>
        <v>0</v>
      </c>
    </row>
    <row r="9" spans="1:22" s="160" customFormat="1">
      <c r="A9" s="171">
        <v>3</v>
      </c>
      <c r="B9" s="1" t="s">
        <v>274</v>
      </c>
      <c r="C9" s="172"/>
      <c r="D9" s="159"/>
      <c r="E9" s="159"/>
      <c r="F9" s="159"/>
      <c r="G9" s="159"/>
      <c r="H9" s="159"/>
      <c r="I9" s="159"/>
      <c r="J9" s="159"/>
      <c r="K9" s="159"/>
      <c r="L9" s="173"/>
      <c r="M9" s="172"/>
      <c r="N9" s="159"/>
      <c r="O9" s="159"/>
      <c r="P9" s="159"/>
      <c r="Q9" s="159"/>
      <c r="R9" s="159"/>
      <c r="S9" s="173"/>
      <c r="T9" s="296"/>
      <c r="U9" s="296"/>
      <c r="V9" s="174">
        <f t="shared" si="0"/>
        <v>0</v>
      </c>
    </row>
    <row r="10" spans="1:22" s="160" customFormat="1">
      <c r="A10" s="171">
        <v>4</v>
      </c>
      <c r="B10" s="1" t="s">
        <v>97</v>
      </c>
      <c r="C10" s="172"/>
      <c r="D10" s="159"/>
      <c r="E10" s="159"/>
      <c r="F10" s="159"/>
      <c r="G10" s="159"/>
      <c r="H10" s="159"/>
      <c r="I10" s="159"/>
      <c r="J10" s="159"/>
      <c r="K10" s="159"/>
      <c r="L10" s="173"/>
      <c r="M10" s="172"/>
      <c r="N10" s="159"/>
      <c r="O10" s="159"/>
      <c r="P10" s="159"/>
      <c r="Q10" s="159"/>
      <c r="R10" s="159"/>
      <c r="S10" s="173"/>
      <c r="T10" s="296"/>
      <c r="U10" s="296"/>
      <c r="V10" s="174">
        <f t="shared" si="0"/>
        <v>0</v>
      </c>
    </row>
    <row r="11" spans="1:22" s="160" customFormat="1">
      <c r="A11" s="171">
        <v>5</v>
      </c>
      <c r="B11" s="1" t="s">
        <v>98</v>
      </c>
      <c r="C11" s="172"/>
      <c r="D11" s="159"/>
      <c r="E11" s="159"/>
      <c r="F11" s="159"/>
      <c r="G11" s="159"/>
      <c r="H11" s="159"/>
      <c r="I11" s="159"/>
      <c r="J11" s="159"/>
      <c r="K11" s="159"/>
      <c r="L11" s="173"/>
      <c r="M11" s="172"/>
      <c r="N11" s="159"/>
      <c r="O11" s="159"/>
      <c r="P11" s="159"/>
      <c r="Q11" s="159"/>
      <c r="R11" s="159"/>
      <c r="S11" s="173"/>
      <c r="T11" s="296"/>
      <c r="U11" s="296"/>
      <c r="V11" s="174">
        <f t="shared" si="0"/>
        <v>0</v>
      </c>
    </row>
    <row r="12" spans="1:22" s="160" customFormat="1">
      <c r="A12" s="171">
        <v>6</v>
      </c>
      <c r="B12" s="1" t="s">
        <v>99</v>
      </c>
      <c r="C12" s="172"/>
      <c r="D12" s="159"/>
      <c r="E12" s="159"/>
      <c r="F12" s="159"/>
      <c r="G12" s="159"/>
      <c r="H12" s="159"/>
      <c r="I12" s="159"/>
      <c r="J12" s="159"/>
      <c r="K12" s="159"/>
      <c r="L12" s="173"/>
      <c r="M12" s="172"/>
      <c r="N12" s="159"/>
      <c r="O12" s="159"/>
      <c r="P12" s="159"/>
      <c r="Q12" s="159"/>
      <c r="R12" s="159"/>
      <c r="S12" s="173"/>
      <c r="T12" s="296"/>
      <c r="U12" s="296"/>
      <c r="V12" s="174">
        <f t="shared" si="0"/>
        <v>0</v>
      </c>
    </row>
    <row r="13" spans="1:22" s="160" customFormat="1">
      <c r="A13" s="171">
        <v>7</v>
      </c>
      <c r="B13" s="1" t="s">
        <v>100</v>
      </c>
      <c r="C13" s="172"/>
      <c r="D13" s="159">
        <v>29175327.865933023</v>
      </c>
      <c r="E13" s="159"/>
      <c r="F13" s="159"/>
      <c r="G13" s="159"/>
      <c r="H13" s="159"/>
      <c r="I13" s="159"/>
      <c r="J13" s="159"/>
      <c r="K13" s="159"/>
      <c r="L13" s="173"/>
      <c r="M13" s="172"/>
      <c r="N13" s="159"/>
      <c r="O13" s="159"/>
      <c r="P13" s="159"/>
      <c r="Q13" s="159"/>
      <c r="R13" s="159"/>
      <c r="S13" s="173"/>
      <c r="T13" s="296">
        <v>27743513.191118464</v>
      </c>
      <c r="U13" s="296">
        <v>1431814.6748145614</v>
      </c>
      <c r="V13" s="174">
        <f t="shared" si="0"/>
        <v>29175327.865933023</v>
      </c>
    </row>
    <row r="14" spans="1:22" s="160" customFormat="1">
      <c r="A14" s="171">
        <v>8</v>
      </c>
      <c r="B14" s="1" t="s">
        <v>101</v>
      </c>
      <c r="C14" s="172"/>
      <c r="D14" s="159"/>
      <c r="E14" s="159"/>
      <c r="F14" s="159"/>
      <c r="G14" s="159"/>
      <c r="H14" s="159"/>
      <c r="I14" s="159"/>
      <c r="J14" s="159"/>
      <c r="K14" s="159"/>
      <c r="L14" s="173"/>
      <c r="M14" s="172"/>
      <c r="N14" s="159"/>
      <c r="O14" s="159"/>
      <c r="P14" s="159"/>
      <c r="Q14" s="159"/>
      <c r="R14" s="159"/>
      <c r="S14" s="173"/>
      <c r="T14" s="296"/>
      <c r="U14" s="296"/>
      <c r="V14" s="174">
        <f t="shared" si="0"/>
        <v>0</v>
      </c>
    </row>
    <row r="15" spans="1:22" s="160" customFormat="1">
      <c r="A15" s="171">
        <v>9</v>
      </c>
      <c r="B15" s="1" t="s">
        <v>102</v>
      </c>
      <c r="C15" s="172"/>
      <c r="D15" s="159"/>
      <c r="E15" s="159"/>
      <c r="F15" s="159"/>
      <c r="G15" s="159"/>
      <c r="H15" s="159"/>
      <c r="I15" s="159"/>
      <c r="J15" s="159"/>
      <c r="K15" s="159"/>
      <c r="L15" s="173"/>
      <c r="M15" s="172"/>
      <c r="N15" s="159"/>
      <c r="O15" s="159"/>
      <c r="P15" s="159"/>
      <c r="Q15" s="159"/>
      <c r="R15" s="159"/>
      <c r="S15" s="173"/>
      <c r="T15" s="296"/>
      <c r="U15" s="296"/>
      <c r="V15" s="174">
        <f t="shared" si="0"/>
        <v>0</v>
      </c>
    </row>
    <row r="16" spans="1:22" s="160" customFormat="1">
      <c r="A16" s="171">
        <v>10</v>
      </c>
      <c r="B16" s="1" t="s">
        <v>103</v>
      </c>
      <c r="C16" s="172"/>
      <c r="D16" s="159">
        <v>0</v>
      </c>
      <c r="E16" s="159"/>
      <c r="F16" s="159"/>
      <c r="G16" s="159"/>
      <c r="H16" s="159"/>
      <c r="I16" s="159"/>
      <c r="J16" s="159"/>
      <c r="K16" s="159"/>
      <c r="L16" s="173"/>
      <c r="M16" s="172"/>
      <c r="N16" s="159"/>
      <c r="O16" s="159"/>
      <c r="P16" s="159"/>
      <c r="Q16" s="159"/>
      <c r="R16" s="159"/>
      <c r="S16" s="173"/>
      <c r="T16" s="296">
        <v>0</v>
      </c>
      <c r="U16" s="296"/>
      <c r="V16" s="174">
        <f t="shared" si="0"/>
        <v>0</v>
      </c>
    </row>
    <row r="17" spans="1:22" s="160" customFormat="1">
      <c r="A17" s="171">
        <v>11</v>
      </c>
      <c r="B17" s="1" t="s">
        <v>104</v>
      </c>
      <c r="C17" s="172"/>
      <c r="D17" s="159"/>
      <c r="E17" s="159"/>
      <c r="F17" s="159"/>
      <c r="G17" s="159"/>
      <c r="H17" s="159"/>
      <c r="I17" s="159"/>
      <c r="J17" s="159"/>
      <c r="K17" s="159"/>
      <c r="L17" s="173"/>
      <c r="M17" s="172"/>
      <c r="N17" s="159"/>
      <c r="O17" s="159"/>
      <c r="P17" s="159"/>
      <c r="Q17" s="159"/>
      <c r="R17" s="159"/>
      <c r="S17" s="173"/>
      <c r="T17" s="296"/>
      <c r="U17" s="296"/>
      <c r="V17" s="174">
        <f t="shared" si="0"/>
        <v>0</v>
      </c>
    </row>
    <row r="18" spans="1:22" s="160" customFormat="1">
      <c r="A18" s="171">
        <v>12</v>
      </c>
      <c r="B18" s="1" t="s">
        <v>105</v>
      </c>
      <c r="C18" s="172"/>
      <c r="D18" s="159"/>
      <c r="E18" s="159"/>
      <c r="F18" s="159"/>
      <c r="G18" s="159"/>
      <c r="H18" s="159"/>
      <c r="I18" s="159"/>
      <c r="J18" s="159"/>
      <c r="K18" s="159"/>
      <c r="L18" s="173"/>
      <c r="M18" s="172"/>
      <c r="N18" s="159"/>
      <c r="O18" s="159"/>
      <c r="P18" s="159"/>
      <c r="Q18" s="159"/>
      <c r="R18" s="159"/>
      <c r="S18" s="173"/>
      <c r="T18" s="296"/>
      <c r="U18" s="296"/>
      <c r="V18" s="174">
        <f t="shared" si="0"/>
        <v>0</v>
      </c>
    </row>
    <row r="19" spans="1:22" s="160" customFormat="1">
      <c r="A19" s="171">
        <v>13</v>
      </c>
      <c r="B19" s="1" t="s">
        <v>106</v>
      </c>
      <c r="C19" s="172"/>
      <c r="D19" s="159"/>
      <c r="E19" s="159"/>
      <c r="F19" s="159"/>
      <c r="G19" s="159"/>
      <c r="H19" s="159"/>
      <c r="I19" s="159"/>
      <c r="J19" s="159"/>
      <c r="K19" s="159"/>
      <c r="L19" s="173"/>
      <c r="M19" s="172"/>
      <c r="N19" s="159"/>
      <c r="O19" s="159"/>
      <c r="P19" s="159"/>
      <c r="Q19" s="159"/>
      <c r="R19" s="159"/>
      <c r="S19" s="173"/>
      <c r="T19" s="296"/>
      <c r="U19" s="296"/>
      <c r="V19" s="174">
        <f t="shared" si="0"/>
        <v>0</v>
      </c>
    </row>
    <row r="20" spans="1:22" s="160" customFormat="1">
      <c r="A20" s="171">
        <v>14</v>
      </c>
      <c r="B20" s="1" t="s">
        <v>107</v>
      </c>
      <c r="C20" s="172"/>
      <c r="D20" s="159">
        <v>272601.4054254106</v>
      </c>
      <c r="E20" s="159"/>
      <c r="F20" s="159"/>
      <c r="G20" s="159"/>
      <c r="H20" s="159"/>
      <c r="I20" s="159"/>
      <c r="J20" s="159"/>
      <c r="K20" s="159"/>
      <c r="L20" s="173"/>
      <c r="M20" s="172"/>
      <c r="N20" s="159"/>
      <c r="O20" s="159"/>
      <c r="P20" s="159"/>
      <c r="Q20" s="159"/>
      <c r="R20" s="159"/>
      <c r="S20" s="173"/>
      <c r="T20" s="296">
        <v>272101.2804254106</v>
      </c>
      <c r="U20" s="296">
        <v>500.125</v>
      </c>
      <c r="V20" s="174">
        <f t="shared" si="0"/>
        <v>272601.4054254106</v>
      </c>
    </row>
    <row r="21" spans="1:22" ht="13.5" thickBot="1">
      <c r="A21" s="161"/>
      <c r="B21" s="175" t="s">
        <v>108</v>
      </c>
      <c r="C21" s="176">
        <f>SUM(C7:C20)</f>
        <v>0</v>
      </c>
      <c r="D21" s="163">
        <f t="shared" ref="D21:V21" si="1">SUM(D7:D20)</f>
        <v>29447929.271358434</v>
      </c>
      <c r="E21" s="163">
        <f t="shared" si="1"/>
        <v>0</v>
      </c>
      <c r="F21" s="163">
        <f t="shared" si="1"/>
        <v>0</v>
      </c>
      <c r="G21" s="163">
        <f t="shared" si="1"/>
        <v>0</v>
      </c>
      <c r="H21" s="163">
        <f t="shared" si="1"/>
        <v>0</v>
      </c>
      <c r="I21" s="163">
        <f t="shared" si="1"/>
        <v>0</v>
      </c>
      <c r="J21" s="163">
        <f t="shared" si="1"/>
        <v>0</v>
      </c>
      <c r="K21" s="163">
        <f t="shared" si="1"/>
        <v>0</v>
      </c>
      <c r="L21" s="177">
        <f t="shared" si="1"/>
        <v>0</v>
      </c>
      <c r="M21" s="176">
        <f t="shared" si="1"/>
        <v>0</v>
      </c>
      <c r="N21" s="163">
        <f t="shared" si="1"/>
        <v>0</v>
      </c>
      <c r="O21" s="163">
        <f t="shared" si="1"/>
        <v>0</v>
      </c>
      <c r="P21" s="163">
        <f t="shared" si="1"/>
        <v>0</v>
      </c>
      <c r="Q21" s="163">
        <f t="shared" si="1"/>
        <v>0</v>
      </c>
      <c r="R21" s="163">
        <f t="shared" si="1"/>
        <v>0</v>
      </c>
      <c r="S21" s="177">
        <f>SUM(S7:S20)</f>
        <v>0</v>
      </c>
      <c r="T21" s="177">
        <f>SUM(T7:T20)</f>
        <v>28015614.471543875</v>
      </c>
      <c r="U21" s="177">
        <f t="shared" ref="U21" si="2">SUM(U7:U20)</f>
        <v>1432314.7998145614</v>
      </c>
      <c r="V21" s="178">
        <f t="shared" si="1"/>
        <v>29447929.271358434</v>
      </c>
    </row>
    <row r="24" spans="1:22">
      <c r="A24" s="7"/>
      <c r="B24" s="7"/>
      <c r="C24" s="74"/>
      <c r="D24" s="74"/>
      <c r="E24" s="74"/>
    </row>
    <row r="25" spans="1:22">
      <c r="A25" s="179"/>
      <c r="B25" s="179"/>
      <c r="C25" s="7"/>
      <c r="D25" s="74"/>
      <c r="E25" s="74"/>
    </row>
    <row r="26" spans="1:22">
      <c r="A26" s="179"/>
      <c r="B26" s="75"/>
      <c r="C26" s="7"/>
      <c r="D26" s="74"/>
      <c r="E26" s="74"/>
    </row>
    <row r="27" spans="1:22">
      <c r="A27" s="179"/>
      <c r="B27" s="179"/>
      <c r="C27" s="7"/>
      <c r="D27" s="74"/>
      <c r="E27" s="74"/>
    </row>
    <row r="28" spans="1:22">
      <c r="A28" s="179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70.42578125" style="4" customWidth="1"/>
    <col min="3" max="3" width="13.7109375" style="297" customWidth="1"/>
    <col min="4" max="4" width="14.85546875" style="297" bestFit="1" customWidth="1"/>
    <col min="5" max="5" width="17.7109375" style="297" customWidth="1"/>
    <col min="6" max="6" width="15.85546875" style="297" customWidth="1"/>
    <col min="7" max="7" width="17.42578125" style="297" customWidth="1"/>
    <col min="8" max="8" width="15.28515625" style="297" customWidth="1"/>
    <col min="9" max="16384" width="9.14062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64">
        <f>'1. key ratios '!B2</f>
        <v>44104</v>
      </c>
    </row>
    <row r="4" spans="1:9" ht="13.5" thickBot="1">
      <c r="A4" s="2" t="s">
        <v>256</v>
      </c>
      <c r="B4" s="164" t="s">
        <v>380</v>
      </c>
    </row>
    <row r="5" spans="1:9">
      <c r="A5" s="165"/>
      <c r="B5" s="180"/>
      <c r="C5" s="298" t="s">
        <v>0</v>
      </c>
      <c r="D5" s="298" t="s">
        <v>1</v>
      </c>
      <c r="E5" s="298" t="s">
        <v>2</v>
      </c>
      <c r="F5" s="298" t="s">
        <v>3</v>
      </c>
      <c r="G5" s="299" t="s">
        <v>4</v>
      </c>
      <c r="H5" s="300" t="s">
        <v>5</v>
      </c>
      <c r="I5" s="181"/>
    </row>
    <row r="6" spans="1:9" s="181" customFormat="1" ht="12.75" customHeight="1">
      <c r="A6" s="182"/>
      <c r="B6" s="573" t="s">
        <v>255</v>
      </c>
      <c r="C6" s="575" t="s">
        <v>372</v>
      </c>
      <c r="D6" s="577" t="s">
        <v>371</v>
      </c>
      <c r="E6" s="578"/>
      <c r="F6" s="575" t="s">
        <v>376</v>
      </c>
      <c r="G6" s="575" t="s">
        <v>377</v>
      </c>
      <c r="H6" s="571" t="s">
        <v>375</v>
      </c>
    </row>
    <row r="7" spans="1:9" ht="38.25">
      <c r="A7" s="184"/>
      <c r="B7" s="574"/>
      <c r="C7" s="576"/>
      <c r="D7" s="301" t="s">
        <v>374</v>
      </c>
      <c r="E7" s="301" t="s">
        <v>373</v>
      </c>
      <c r="F7" s="576"/>
      <c r="G7" s="576"/>
      <c r="H7" s="572"/>
      <c r="I7" s="181"/>
    </row>
    <row r="8" spans="1:9">
      <c r="A8" s="182">
        <v>1</v>
      </c>
      <c r="B8" s="1" t="s">
        <v>95</v>
      </c>
      <c r="C8" s="302">
        <v>239578457</v>
      </c>
      <c r="D8" s="303"/>
      <c r="E8" s="302"/>
      <c r="F8" s="302">
        <v>195118342</v>
      </c>
      <c r="G8" s="304">
        <v>195118342</v>
      </c>
      <c r="H8" s="306">
        <f>IFERROR(G8/(C8+E8),0)</f>
        <v>0.814423568977239</v>
      </c>
    </row>
    <row r="9" spans="1:9" ht="15" customHeight="1">
      <c r="A9" s="182">
        <v>2</v>
      </c>
      <c r="B9" s="1" t="s">
        <v>96</v>
      </c>
      <c r="C9" s="302">
        <v>0</v>
      </c>
      <c r="D9" s="303"/>
      <c r="E9" s="302"/>
      <c r="F9" s="302">
        <v>0</v>
      </c>
      <c r="G9" s="304">
        <v>0</v>
      </c>
      <c r="H9" s="306">
        <f t="shared" ref="H9:H21" si="0">IFERROR(G9/(C9+E9),0)</f>
        <v>0</v>
      </c>
    </row>
    <row r="10" spans="1:9">
      <c r="A10" s="182">
        <v>3</v>
      </c>
      <c r="B10" s="1" t="s">
        <v>274</v>
      </c>
      <c r="C10" s="302">
        <v>0</v>
      </c>
      <c r="D10" s="303"/>
      <c r="E10" s="302"/>
      <c r="F10" s="302">
        <v>0</v>
      </c>
      <c r="G10" s="304">
        <v>0</v>
      </c>
      <c r="H10" s="306">
        <f t="shared" si="0"/>
        <v>0</v>
      </c>
    </row>
    <row r="11" spans="1:9">
      <c r="A11" s="182">
        <v>4</v>
      </c>
      <c r="B11" s="1" t="s">
        <v>97</v>
      </c>
      <c r="C11" s="302">
        <v>0</v>
      </c>
      <c r="D11" s="303"/>
      <c r="E11" s="302"/>
      <c r="F11" s="302">
        <v>0</v>
      </c>
      <c r="G11" s="304">
        <v>0</v>
      </c>
      <c r="H11" s="306">
        <f t="shared" si="0"/>
        <v>0</v>
      </c>
    </row>
    <row r="12" spans="1:9">
      <c r="A12" s="182">
        <v>5</v>
      </c>
      <c r="B12" s="1" t="s">
        <v>98</v>
      </c>
      <c r="C12" s="302">
        <v>0</v>
      </c>
      <c r="D12" s="303"/>
      <c r="E12" s="302"/>
      <c r="F12" s="302">
        <v>0</v>
      </c>
      <c r="G12" s="304">
        <v>0</v>
      </c>
      <c r="H12" s="306">
        <f t="shared" si="0"/>
        <v>0</v>
      </c>
    </row>
    <row r="13" spans="1:9">
      <c r="A13" s="182">
        <v>6</v>
      </c>
      <c r="B13" s="1" t="s">
        <v>99</v>
      </c>
      <c r="C13" s="302">
        <v>168383987</v>
      </c>
      <c r="D13" s="303"/>
      <c r="E13" s="302"/>
      <c r="F13" s="302">
        <v>44155709.448999994</v>
      </c>
      <c r="G13" s="304">
        <v>44155709.448999994</v>
      </c>
      <c r="H13" s="306">
        <f t="shared" si="0"/>
        <v>0.2622322361864492</v>
      </c>
    </row>
    <row r="14" spans="1:9">
      <c r="A14" s="182">
        <v>7</v>
      </c>
      <c r="B14" s="1" t="s">
        <v>100</v>
      </c>
      <c r="C14" s="302">
        <v>750792127.32820582</v>
      </c>
      <c r="D14" s="303">
        <v>71216985.590107352</v>
      </c>
      <c r="E14" s="302">
        <v>36511434.891657673</v>
      </c>
      <c r="F14" s="302">
        <v>816758185.04021049</v>
      </c>
      <c r="G14" s="304">
        <v>787582857.17427742</v>
      </c>
      <c r="H14" s="306">
        <f t="shared" si="0"/>
        <v>1.0003547487498041</v>
      </c>
    </row>
    <row r="15" spans="1:9">
      <c r="A15" s="182">
        <v>8</v>
      </c>
      <c r="B15" s="1" t="s">
        <v>101</v>
      </c>
      <c r="C15" s="302">
        <v>0</v>
      </c>
      <c r="D15" s="303"/>
      <c r="E15" s="302">
        <v>0</v>
      </c>
      <c r="F15" s="302">
        <v>0</v>
      </c>
      <c r="G15" s="304">
        <v>0</v>
      </c>
      <c r="H15" s="306">
        <f t="shared" si="0"/>
        <v>0</v>
      </c>
    </row>
    <row r="16" spans="1:9">
      <c r="A16" s="182">
        <v>9</v>
      </c>
      <c r="B16" s="1" t="s">
        <v>102</v>
      </c>
      <c r="C16" s="302">
        <v>0</v>
      </c>
      <c r="D16" s="303"/>
      <c r="E16" s="302">
        <v>0</v>
      </c>
      <c r="F16" s="302">
        <v>0</v>
      </c>
      <c r="G16" s="304">
        <v>0</v>
      </c>
      <c r="H16" s="306">
        <f t="shared" si="0"/>
        <v>0</v>
      </c>
    </row>
    <row r="17" spans="1:8">
      <c r="A17" s="182">
        <v>10</v>
      </c>
      <c r="B17" s="1" t="s">
        <v>103</v>
      </c>
      <c r="C17" s="302">
        <v>126884083.02146693</v>
      </c>
      <c r="D17" s="303">
        <v>972354.10599999048</v>
      </c>
      <c r="E17" s="302">
        <v>486177.05299999524</v>
      </c>
      <c r="F17" s="302">
        <v>127370260.07446691</v>
      </c>
      <c r="G17" s="304">
        <v>127370260.07446691</v>
      </c>
      <c r="H17" s="306">
        <f t="shared" si="0"/>
        <v>1</v>
      </c>
    </row>
    <row r="18" spans="1:8">
      <c r="A18" s="182">
        <v>11</v>
      </c>
      <c r="B18" s="1" t="s">
        <v>104</v>
      </c>
      <c r="C18" s="302">
        <v>0</v>
      </c>
      <c r="D18" s="303"/>
      <c r="E18" s="302">
        <v>0</v>
      </c>
      <c r="F18" s="302">
        <v>0</v>
      </c>
      <c r="G18" s="304">
        <v>0</v>
      </c>
      <c r="H18" s="306">
        <f t="shared" si="0"/>
        <v>0</v>
      </c>
    </row>
    <row r="19" spans="1:8">
      <c r="A19" s="182">
        <v>12</v>
      </c>
      <c r="B19" s="1" t="s">
        <v>105</v>
      </c>
      <c r="C19" s="302">
        <v>0</v>
      </c>
      <c r="D19" s="303"/>
      <c r="E19" s="302">
        <v>0</v>
      </c>
      <c r="F19" s="302">
        <v>0</v>
      </c>
      <c r="G19" s="304">
        <v>0</v>
      </c>
      <c r="H19" s="306">
        <f t="shared" si="0"/>
        <v>0</v>
      </c>
    </row>
    <row r="20" spans="1:8">
      <c r="A20" s="182">
        <v>13</v>
      </c>
      <c r="B20" s="1" t="s">
        <v>250</v>
      </c>
      <c r="C20" s="302">
        <v>0</v>
      </c>
      <c r="D20" s="303"/>
      <c r="E20" s="302">
        <v>0</v>
      </c>
      <c r="F20" s="302">
        <v>0</v>
      </c>
      <c r="G20" s="304">
        <v>0</v>
      </c>
      <c r="H20" s="306">
        <f t="shared" si="0"/>
        <v>0</v>
      </c>
    </row>
    <row r="21" spans="1:8">
      <c r="A21" s="182">
        <v>14</v>
      </c>
      <c r="B21" s="1" t="s">
        <v>107</v>
      </c>
      <c r="C21" s="302">
        <v>130734566.40917499</v>
      </c>
      <c r="D21" s="303">
        <v>1791277.8068999948</v>
      </c>
      <c r="E21" s="302">
        <v>895638.90344999742</v>
      </c>
      <c r="F21" s="302">
        <v>124105041.82762498</v>
      </c>
      <c r="G21" s="304">
        <v>123832440.42219956</v>
      </c>
      <c r="H21" s="306">
        <f t="shared" si="0"/>
        <v>0.94076006436436421</v>
      </c>
    </row>
    <row r="22" spans="1:8" ht="13.5" thickBot="1">
      <c r="A22" s="185"/>
      <c r="B22" s="186" t="s">
        <v>108</v>
      </c>
      <c r="C22" s="305">
        <f>SUM(C8:C21)</f>
        <v>1416373220.7588477</v>
      </c>
      <c r="D22" s="305">
        <f>SUM(D8:D21)</f>
        <v>73980617.503007337</v>
      </c>
      <c r="E22" s="305">
        <f>SUM(E8:E21)</f>
        <v>37893250.848107666</v>
      </c>
      <c r="F22" s="305">
        <f>SUM(F8:F21)</f>
        <v>1307507538.3913023</v>
      </c>
      <c r="G22" s="305">
        <f>SUM(G8:G21)</f>
        <v>1278059609.1199439</v>
      </c>
      <c r="H22" s="307">
        <f>G22/(C22+E22)</f>
        <v>0.87883454241209047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E7" activePane="bottomRight" state="frozen"/>
      <selection activeCell="F31" sqref="F31"/>
      <selection pane="topRight" activeCell="F31" sqref="F31"/>
      <selection pane="bottomLeft" activeCell="F31" sqref="F31"/>
      <selection pane="bottomRight" activeCell="K25" sqref="K25"/>
    </sheetView>
  </sheetViews>
  <sheetFormatPr defaultColWidth="9.140625" defaultRowHeight="12.75"/>
  <cols>
    <col min="1" max="1" width="10.5703125" style="297" bestFit="1" customWidth="1"/>
    <col min="2" max="2" width="90" style="297" customWidth="1"/>
    <col min="3" max="3" width="12.7109375" style="297" customWidth="1"/>
    <col min="4" max="4" width="14" style="297" customWidth="1"/>
    <col min="5" max="5" width="13.5703125" style="297" customWidth="1"/>
    <col min="6" max="11" width="12.7109375" style="297" customWidth="1"/>
    <col min="12" max="16384" width="9.140625" style="297"/>
  </cols>
  <sheetData>
    <row r="1" spans="1:11">
      <c r="A1" s="297" t="s">
        <v>30</v>
      </c>
      <c r="B1" s="297" t="str">
        <f>'Info '!C2</f>
        <v>JSC CARTU BANK</v>
      </c>
    </row>
    <row r="2" spans="1:11">
      <c r="A2" s="297" t="s">
        <v>31</v>
      </c>
      <c r="B2" s="466">
        <f>'1. key ratios '!B2</f>
        <v>44104</v>
      </c>
      <c r="C2" s="322"/>
      <c r="D2" s="322"/>
    </row>
    <row r="3" spans="1:11">
      <c r="B3" s="322"/>
      <c r="C3" s="322"/>
      <c r="D3" s="322"/>
    </row>
    <row r="4" spans="1:11" ht="13.5" thickBot="1">
      <c r="A4" s="297" t="s">
        <v>252</v>
      </c>
      <c r="B4" s="349" t="s">
        <v>381</v>
      </c>
      <c r="C4" s="322"/>
      <c r="D4" s="322"/>
    </row>
    <row r="5" spans="1:11" ht="30" customHeight="1">
      <c r="A5" s="579"/>
      <c r="B5" s="580"/>
      <c r="C5" s="581" t="s">
        <v>433</v>
      </c>
      <c r="D5" s="581"/>
      <c r="E5" s="581"/>
      <c r="F5" s="581" t="s">
        <v>434</v>
      </c>
      <c r="G5" s="581"/>
      <c r="H5" s="581"/>
      <c r="I5" s="581" t="s">
        <v>435</v>
      </c>
      <c r="J5" s="581"/>
      <c r="K5" s="582"/>
    </row>
    <row r="6" spans="1:11">
      <c r="A6" s="323"/>
      <c r="B6" s="324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5" t="s">
        <v>384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>
      <c r="A8" s="328">
        <v>1</v>
      </c>
      <c r="B8" s="329" t="s">
        <v>382</v>
      </c>
      <c r="C8" s="330"/>
      <c r="D8" s="330"/>
      <c r="E8" s="330"/>
      <c r="F8" s="517">
        <v>76515147.035494521</v>
      </c>
      <c r="G8" s="518">
        <v>277052499.61565983</v>
      </c>
      <c r="H8" s="518">
        <v>353567646.6511544</v>
      </c>
      <c r="I8" s="518">
        <v>56816023.059670322</v>
      </c>
      <c r="J8" s="518">
        <v>188935065.15609929</v>
      </c>
      <c r="K8" s="519">
        <v>245751088.21576959</v>
      </c>
    </row>
    <row r="9" spans="1:11">
      <c r="A9" s="325" t="s">
        <v>385</v>
      </c>
      <c r="B9" s="326"/>
      <c r="C9" s="520"/>
      <c r="D9" s="520"/>
      <c r="E9" s="520"/>
      <c r="F9" s="520"/>
      <c r="G9" s="520"/>
      <c r="H9" s="520"/>
      <c r="I9" s="520"/>
      <c r="J9" s="520"/>
      <c r="K9" s="327"/>
    </row>
    <row r="10" spans="1:11">
      <c r="A10" s="331">
        <v>2</v>
      </c>
      <c r="B10" s="332" t="s">
        <v>393</v>
      </c>
      <c r="C10" s="517">
        <v>16720257.802763766</v>
      </c>
      <c r="D10" s="518">
        <v>228007306.46292967</v>
      </c>
      <c r="E10" s="518">
        <v>244727564.26569343</v>
      </c>
      <c r="F10" s="517">
        <v>3180805.5793582494</v>
      </c>
      <c r="G10" s="518">
        <v>34572038.098100103</v>
      </c>
      <c r="H10" s="518">
        <v>37752843.677458361</v>
      </c>
      <c r="I10" s="517">
        <v>677935.16178104572</v>
      </c>
      <c r="J10" s="518">
        <v>3933279.5266926051</v>
      </c>
      <c r="K10" s="519">
        <v>4611214.6884736521</v>
      </c>
    </row>
    <row r="11" spans="1:11">
      <c r="A11" s="331">
        <v>3</v>
      </c>
      <c r="B11" s="332" t="s">
        <v>387</v>
      </c>
      <c r="C11" s="517">
        <v>111207098.32356045</v>
      </c>
      <c r="D11" s="518">
        <v>715362417.67547166</v>
      </c>
      <c r="E11" s="518">
        <v>826569515.99903202</v>
      </c>
      <c r="F11" s="517">
        <v>28578477.915879112</v>
      </c>
      <c r="G11" s="518">
        <v>120955464.34629934</v>
      </c>
      <c r="H11" s="518">
        <v>149533942.26217851</v>
      </c>
      <c r="I11" s="517">
        <v>19758289.133296702</v>
      </c>
      <c r="J11" s="518">
        <v>58925434.134178936</v>
      </c>
      <c r="K11" s="519">
        <v>78683723.267475635</v>
      </c>
    </row>
    <row r="12" spans="1:11">
      <c r="A12" s="331">
        <v>4</v>
      </c>
      <c r="B12" s="332" t="s">
        <v>388</v>
      </c>
      <c r="C12" s="517">
        <v>0</v>
      </c>
      <c r="D12" s="518">
        <v>0</v>
      </c>
      <c r="E12" s="518">
        <v>0</v>
      </c>
      <c r="F12" s="517">
        <v>0</v>
      </c>
      <c r="G12" s="518">
        <v>0</v>
      </c>
      <c r="H12" s="518">
        <v>0</v>
      </c>
      <c r="I12" s="517">
        <v>0</v>
      </c>
      <c r="J12" s="518">
        <v>0</v>
      </c>
      <c r="K12" s="519">
        <v>0</v>
      </c>
    </row>
    <row r="13" spans="1:11">
      <c r="A13" s="331">
        <v>5</v>
      </c>
      <c r="B13" s="332" t="s">
        <v>396</v>
      </c>
      <c r="C13" s="517">
        <v>36927206.108791202</v>
      </c>
      <c r="D13" s="518">
        <v>26652788.124790836</v>
      </c>
      <c r="E13" s="518">
        <v>63579994.233582035</v>
      </c>
      <c r="F13" s="517">
        <v>8231816.3250615411</v>
      </c>
      <c r="G13" s="518">
        <v>6356061.5735016391</v>
      </c>
      <c r="H13" s="518">
        <v>14587877.898563171</v>
      </c>
      <c r="I13" s="517">
        <v>2828739.994406593</v>
      </c>
      <c r="J13" s="518">
        <v>2120979.8839648967</v>
      </c>
      <c r="K13" s="519">
        <v>4949719.8783714911</v>
      </c>
    </row>
    <row r="14" spans="1:11">
      <c r="A14" s="331">
        <v>6</v>
      </c>
      <c r="B14" s="332" t="s">
        <v>428</v>
      </c>
      <c r="C14" s="517"/>
      <c r="D14" s="518"/>
      <c r="E14" s="518"/>
      <c r="F14" s="517"/>
      <c r="G14" s="518"/>
      <c r="H14" s="518"/>
      <c r="I14" s="517"/>
      <c r="J14" s="518"/>
      <c r="K14" s="519"/>
    </row>
    <row r="15" spans="1:11">
      <c r="A15" s="331">
        <v>7</v>
      </c>
      <c r="B15" s="332" t="s">
        <v>429</v>
      </c>
      <c r="C15" s="517">
        <v>22358617.476923082</v>
      </c>
      <c r="D15" s="518">
        <v>11999990.336483516</v>
      </c>
      <c r="E15" s="518">
        <v>34358607.813406609</v>
      </c>
      <c r="F15" s="517">
        <v>4232155.2167413048</v>
      </c>
      <c r="G15" s="518">
        <v>3330832.1654578638</v>
      </c>
      <c r="H15" s="518">
        <v>7562987.3821991803</v>
      </c>
      <c r="I15" s="517">
        <v>4232155.2167413048</v>
      </c>
      <c r="J15" s="518">
        <v>3330832.1654578638</v>
      </c>
      <c r="K15" s="519">
        <v>7562987.3821991803</v>
      </c>
    </row>
    <row r="16" spans="1:11">
      <c r="A16" s="331">
        <v>8</v>
      </c>
      <c r="B16" s="333" t="s">
        <v>389</v>
      </c>
      <c r="C16" s="521">
        <f>SUM(C10:C15)</f>
        <v>187213179.71203849</v>
      </c>
      <c r="D16" s="521">
        <f t="shared" ref="D16:K16" si="0">SUM(D10:D15)</f>
        <v>982022502.59967554</v>
      </c>
      <c r="E16" s="521">
        <f t="shared" si="0"/>
        <v>1169235682.3117142</v>
      </c>
      <c r="F16" s="521">
        <f t="shared" si="0"/>
        <v>44223255.037040204</v>
      </c>
      <c r="G16" s="521">
        <f t="shared" si="0"/>
        <v>165214396.18335897</v>
      </c>
      <c r="H16" s="521">
        <f t="shared" si="0"/>
        <v>209437651.22039923</v>
      </c>
      <c r="I16" s="521">
        <f t="shared" si="0"/>
        <v>27497119.506225646</v>
      </c>
      <c r="J16" s="521">
        <f t="shared" si="0"/>
        <v>68310525.710294306</v>
      </c>
      <c r="K16" s="522">
        <f t="shared" si="0"/>
        <v>95807645.216519967</v>
      </c>
    </row>
    <row r="17" spans="1:11">
      <c r="A17" s="325" t="s">
        <v>386</v>
      </c>
      <c r="B17" s="326"/>
      <c r="C17" s="517"/>
      <c r="D17" s="518"/>
      <c r="E17" s="518"/>
      <c r="F17" s="517"/>
      <c r="G17" s="518"/>
      <c r="H17" s="518"/>
      <c r="I17" s="517"/>
      <c r="J17" s="518"/>
      <c r="K17" s="519"/>
    </row>
    <row r="18" spans="1:11">
      <c r="A18" s="331">
        <v>9</v>
      </c>
      <c r="B18" s="332" t="s">
        <v>392</v>
      </c>
      <c r="C18" s="517">
        <v>0</v>
      </c>
      <c r="D18" s="518">
        <v>0</v>
      </c>
      <c r="E18" s="518">
        <v>0</v>
      </c>
      <c r="F18" s="517">
        <v>0</v>
      </c>
      <c r="G18" s="518">
        <v>0</v>
      </c>
      <c r="H18" s="518">
        <v>0</v>
      </c>
      <c r="I18" s="517">
        <v>0</v>
      </c>
      <c r="J18" s="518">
        <v>0</v>
      </c>
      <c r="K18" s="519">
        <v>0</v>
      </c>
    </row>
    <row r="19" spans="1:11">
      <c r="A19" s="331">
        <v>10</v>
      </c>
      <c r="B19" s="332" t="s">
        <v>430</v>
      </c>
      <c r="C19" s="517">
        <v>220520831.92589447</v>
      </c>
      <c r="D19" s="518">
        <v>465362511.34714037</v>
      </c>
      <c r="E19" s="518">
        <v>685883343.27303493</v>
      </c>
      <c r="F19" s="517">
        <v>9845771.4521465488</v>
      </c>
      <c r="G19" s="518">
        <v>7576617.198698842</v>
      </c>
      <c r="H19" s="518">
        <v>17422388.650845394</v>
      </c>
      <c r="I19" s="517">
        <v>29617838.737970728</v>
      </c>
      <c r="J19" s="518">
        <v>98567409.055512041</v>
      </c>
      <c r="K19" s="519">
        <v>128185247.79348275</v>
      </c>
    </row>
    <row r="20" spans="1:11">
      <c r="A20" s="331">
        <v>11</v>
      </c>
      <c r="B20" s="332" t="s">
        <v>391</v>
      </c>
      <c r="C20" s="517">
        <v>17500603.292862069</v>
      </c>
      <c r="D20" s="518">
        <v>18470733.178461552</v>
      </c>
      <c r="E20" s="518">
        <v>35971336.471323617</v>
      </c>
      <c r="F20" s="517">
        <v>64088.859780219762</v>
      </c>
      <c r="G20" s="518">
        <v>249342.57142857142</v>
      </c>
      <c r="H20" s="518">
        <v>313431.43120879121</v>
      </c>
      <c r="I20" s="517">
        <v>64088.859780219762</v>
      </c>
      <c r="J20" s="518">
        <v>249342.57142857142</v>
      </c>
      <c r="K20" s="519">
        <v>313431.43120879121</v>
      </c>
    </row>
    <row r="21" spans="1:11" ht="13.5" thickBot="1">
      <c r="A21" s="334">
        <v>12</v>
      </c>
      <c r="B21" s="335" t="s">
        <v>390</v>
      </c>
      <c r="C21" s="523">
        <f>SUM(C18:C20)</f>
        <v>238021435.21875653</v>
      </c>
      <c r="D21" s="523">
        <f t="shared" ref="D21:K21" si="1">SUM(D18:D20)</f>
        <v>483833244.52560192</v>
      </c>
      <c r="E21" s="523">
        <f t="shared" si="1"/>
        <v>721854679.74435854</v>
      </c>
      <c r="F21" s="523">
        <f t="shared" si="1"/>
        <v>9909860.3119267691</v>
      </c>
      <c r="G21" s="523">
        <f t="shared" si="1"/>
        <v>7825959.7701274138</v>
      </c>
      <c r="H21" s="523">
        <f t="shared" si="1"/>
        <v>17735820.082054183</v>
      </c>
      <c r="I21" s="523">
        <f t="shared" si="1"/>
        <v>29681927.597750947</v>
      </c>
      <c r="J21" s="523">
        <f t="shared" si="1"/>
        <v>98816751.626940608</v>
      </c>
      <c r="K21" s="524">
        <f t="shared" si="1"/>
        <v>128498679.22469154</v>
      </c>
    </row>
    <row r="22" spans="1:11" ht="38.25" customHeight="1" thickBot="1">
      <c r="A22" s="336"/>
      <c r="B22" s="337"/>
      <c r="C22" s="337"/>
      <c r="D22" s="337"/>
      <c r="E22" s="337"/>
      <c r="F22" s="583" t="s">
        <v>432</v>
      </c>
      <c r="G22" s="581"/>
      <c r="H22" s="581"/>
      <c r="I22" s="583" t="s">
        <v>397</v>
      </c>
      <c r="J22" s="581"/>
      <c r="K22" s="582"/>
    </row>
    <row r="23" spans="1:11">
      <c r="A23" s="338">
        <v>13</v>
      </c>
      <c r="B23" s="339" t="s">
        <v>382</v>
      </c>
      <c r="C23" s="340"/>
      <c r="D23" s="340"/>
      <c r="E23" s="340"/>
      <c r="F23" s="525">
        <f>F8</f>
        <v>76515147.035494521</v>
      </c>
      <c r="G23" s="525">
        <f t="shared" ref="G23:K23" si="2">G8</f>
        <v>277052499.61565983</v>
      </c>
      <c r="H23" s="525">
        <f t="shared" si="2"/>
        <v>353567646.6511544</v>
      </c>
      <c r="I23" s="525">
        <f t="shared" si="2"/>
        <v>56816023.059670322</v>
      </c>
      <c r="J23" s="525">
        <f t="shared" si="2"/>
        <v>188935065.15609929</v>
      </c>
      <c r="K23" s="526">
        <f t="shared" si="2"/>
        <v>245751088.21576959</v>
      </c>
    </row>
    <row r="24" spans="1:11" ht="13.5" thickBot="1">
      <c r="A24" s="341">
        <v>14</v>
      </c>
      <c r="B24" s="342" t="s">
        <v>394</v>
      </c>
      <c r="C24" s="343"/>
      <c r="D24" s="344"/>
      <c r="E24" s="345"/>
      <c r="F24" s="527">
        <f>MAX(F16-F21,F16*0.25)</f>
        <v>34313394.725113437</v>
      </c>
      <c r="G24" s="527">
        <f t="shared" ref="G24:K24" si="3">MAX(G16-G21,G16*0.25)</f>
        <v>157388436.41323155</v>
      </c>
      <c r="H24" s="527">
        <f t="shared" si="3"/>
        <v>191701831.13834506</v>
      </c>
      <c r="I24" s="527">
        <f t="shared" si="3"/>
        <v>6874279.8765564114</v>
      </c>
      <c r="J24" s="527">
        <f t="shared" si="3"/>
        <v>17077631.427573577</v>
      </c>
      <c r="K24" s="528">
        <f t="shared" si="3"/>
        <v>23951911.304129992</v>
      </c>
    </row>
    <row r="25" spans="1:11" ht="13.5" thickBot="1">
      <c r="A25" s="346">
        <v>15</v>
      </c>
      <c r="B25" s="347" t="s">
        <v>395</v>
      </c>
      <c r="C25" s="348"/>
      <c r="D25" s="348"/>
      <c r="E25" s="348"/>
      <c r="F25" s="529">
        <f>F23/F24</f>
        <v>2.2298914942243906</v>
      </c>
      <c r="G25" s="529">
        <f t="shared" ref="G25:K25" si="4">G23/G24</f>
        <v>1.7603103882946269</v>
      </c>
      <c r="H25" s="529">
        <f t="shared" si="4"/>
        <v>1.8443623858553337</v>
      </c>
      <c r="I25" s="529">
        <f t="shared" si="4"/>
        <v>8.2650145295119462</v>
      </c>
      <c r="J25" s="529">
        <f t="shared" si="4"/>
        <v>11.06330617084547</v>
      </c>
      <c r="K25" s="530">
        <f t="shared" si="4"/>
        <v>10.260186967768</v>
      </c>
    </row>
    <row r="27" spans="1:11" ht="25.5">
      <c r="B27" s="321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43.140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64">
        <f>'1. key ratios '!B2</f>
        <v>44104</v>
      </c>
    </row>
    <row r="3" spans="1:14" ht="14.25" customHeight="1"/>
    <row r="4" spans="1:14" ht="13.5" thickBot="1">
      <c r="A4" s="4" t="s">
        <v>268</v>
      </c>
      <c r="B4" s="260" t="s">
        <v>28</v>
      </c>
    </row>
    <row r="5" spans="1:14" s="192" customFormat="1">
      <c r="A5" s="188"/>
      <c r="B5" s="189"/>
      <c r="C5" s="190" t="s">
        <v>0</v>
      </c>
      <c r="D5" s="190" t="s">
        <v>1</v>
      </c>
      <c r="E5" s="190" t="s">
        <v>2</v>
      </c>
      <c r="F5" s="190" t="s">
        <v>3</v>
      </c>
      <c r="G5" s="190" t="s">
        <v>4</v>
      </c>
      <c r="H5" s="190" t="s">
        <v>5</v>
      </c>
      <c r="I5" s="190" t="s">
        <v>8</v>
      </c>
      <c r="J5" s="190" t="s">
        <v>9</v>
      </c>
      <c r="K5" s="190" t="s">
        <v>10</v>
      </c>
      <c r="L5" s="190" t="s">
        <v>11</v>
      </c>
      <c r="M5" s="190" t="s">
        <v>12</v>
      </c>
      <c r="N5" s="191" t="s">
        <v>13</v>
      </c>
    </row>
    <row r="6" spans="1:14" ht="25.5">
      <c r="A6" s="193"/>
      <c r="B6" s="194"/>
      <c r="C6" s="195" t="s">
        <v>267</v>
      </c>
      <c r="D6" s="196" t="s">
        <v>266</v>
      </c>
      <c r="E6" s="197" t="s">
        <v>265</v>
      </c>
      <c r="F6" s="198">
        <v>0</v>
      </c>
      <c r="G6" s="198">
        <v>0.2</v>
      </c>
      <c r="H6" s="198">
        <v>0.35</v>
      </c>
      <c r="I6" s="198">
        <v>0.5</v>
      </c>
      <c r="J6" s="198">
        <v>0.75</v>
      </c>
      <c r="K6" s="198">
        <v>1</v>
      </c>
      <c r="L6" s="198">
        <v>1.5</v>
      </c>
      <c r="M6" s="198">
        <v>2.5</v>
      </c>
      <c r="N6" s="259" t="s">
        <v>280</v>
      </c>
    </row>
    <row r="7" spans="1:14" ht="15">
      <c r="A7" s="199">
        <v>1</v>
      </c>
      <c r="B7" s="200" t="s">
        <v>264</v>
      </c>
      <c r="C7" s="201">
        <f>SUM(C8:C13)</f>
        <v>54086000</v>
      </c>
      <c r="D7" s="194"/>
      <c r="E7" s="202">
        <f t="shared" ref="E7:M7" si="0">SUM(E8:E13)</f>
        <v>1081720</v>
      </c>
      <c r="F7" s="203">
        <f>SUM(F8:F13)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3">
        <f t="shared" si="0"/>
        <v>0</v>
      </c>
      <c r="K7" s="203">
        <f t="shared" si="0"/>
        <v>1081720</v>
      </c>
      <c r="L7" s="203">
        <f t="shared" si="0"/>
        <v>0</v>
      </c>
      <c r="M7" s="203">
        <f t="shared" si="0"/>
        <v>0</v>
      </c>
      <c r="N7" s="204">
        <f>SUM(N8:N13)</f>
        <v>1081720</v>
      </c>
    </row>
    <row r="8" spans="1:14" ht="14.25">
      <c r="A8" s="199">
        <v>1.1000000000000001</v>
      </c>
      <c r="B8" s="205" t="s">
        <v>262</v>
      </c>
      <c r="C8" s="203">
        <v>54086000</v>
      </c>
      <c r="D8" s="206">
        <v>0.02</v>
      </c>
      <c r="E8" s="202">
        <f>C8*D8</f>
        <v>1081720</v>
      </c>
      <c r="F8" s="203"/>
      <c r="G8" s="203"/>
      <c r="H8" s="203"/>
      <c r="I8" s="203"/>
      <c r="J8" s="203"/>
      <c r="K8" s="203">
        <f>E8</f>
        <v>1081720</v>
      </c>
      <c r="L8" s="203"/>
      <c r="M8" s="203"/>
      <c r="N8" s="204">
        <f>SUMPRODUCT($F$6:$M$6,F8:M8)</f>
        <v>1081720</v>
      </c>
    </row>
    <row r="9" spans="1:14" ht="14.25">
      <c r="A9" s="199">
        <v>1.2</v>
      </c>
      <c r="B9" s="205" t="s">
        <v>261</v>
      </c>
      <c r="C9" s="203">
        <v>0</v>
      </c>
      <c r="D9" s="206">
        <v>0.05</v>
      </c>
      <c r="E9" s="202">
        <f>C9*D9</f>
        <v>0</v>
      </c>
      <c r="F9" s="203"/>
      <c r="G9" s="203"/>
      <c r="H9" s="203"/>
      <c r="I9" s="203"/>
      <c r="J9" s="203"/>
      <c r="K9" s="203"/>
      <c r="L9" s="203"/>
      <c r="M9" s="203"/>
      <c r="N9" s="204">
        <f t="shared" ref="N9:N12" si="1">SUMPRODUCT($F$6:$M$6,F9:M9)</f>
        <v>0</v>
      </c>
    </row>
    <row r="10" spans="1:14" ht="14.25">
      <c r="A10" s="199">
        <v>1.3</v>
      </c>
      <c r="B10" s="205" t="s">
        <v>260</v>
      </c>
      <c r="C10" s="203">
        <v>0</v>
      </c>
      <c r="D10" s="206">
        <v>0.08</v>
      </c>
      <c r="E10" s="202">
        <f>C10*D10</f>
        <v>0</v>
      </c>
      <c r="F10" s="203"/>
      <c r="G10" s="203"/>
      <c r="H10" s="203"/>
      <c r="I10" s="203"/>
      <c r="J10" s="203"/>
      <c r="K10" s="203"/>
      <c r="L10" s="203"/>
      <c r="M10" s="203"/>
      <c r="N10" s="204">
        <f>SUMPRODUCT($F$6:$M$6,F10:M10)</f>
        <v>0</v>
      </c>
    </row>
    <row r="11" spans="1:14" ht="14.25">
      <c r="A11" s="199">
        <v>1.4</v>
      </c>
      <c r="B11" s="205" t="s">
        <v>259</v>
      </c>
      <c r="C11" s="203">
        <v>0</v>
      </c>
      <c r="D11" s="206">
        <v>0.11</v>
      </c>
      <c r="E11" s="202">
        <f>C11*D11</f>
        <v>0</v>
      </c>
      <c r="F11" s="203"/>
      <c r="G11" s="203"/>
      <c r="H11" s="203"/>
      <c r="I11" s="203"/>
      <c r="J11" s="203"/>
      <c r="K11" s="203"/>
      <c r="L11" s="203"/>
      <c r="M11" s="203"/>
      <c r="N11" s="204">
        <f t="shared" si="1"/>
        <v>0</v>
      </c>
    </row>
    <row r="12" spans="1:14" ht="14.25">
      <c r="A12" s="199">
        <v>1.5</v>
      </c>
      <c r="B12" s="205" t="s">
        <v>258</v>
      </c>
      <c r="C12" s="203">
        <v>0</v>
      </c>
      <c r="D12" s="206">
        <v>0.14000000000000001</v>
      </c>
      <c r="E12" s="202">
        <f>C12*D12</f>
        <v>0</v>
      </c>
      <c r="F12" s="203"/>
      <c r="G12" s="203"/>
      <c r="H12" s="203"/>
      <c r="I12" s="203"/>
      <c r="J12" s="203"/>
      <c r="K12" s="203"/>
      <c r="L12" s="203"/>
      <c r="M12" s="203"/>
      <c r="N12" s="204">
        <f t="shared" si="1"/>
        <v>0</v>
      </c>
    </row>
    <row r="13" spans="1:14" ht="14.25">
      <c r="A13" s="199">
        <v>1.6</v>
      </c>
      <c r="B13" s="207" t="s">
        <v>257</v>
      </c>
      <c r="C13" s="203">
        <v>0</v>
      </c>
      <c r="D13" s="208"/>
      <c r="E13" s="203"/>
      <c r="F13" s="203"/>
      <c r="G13" s="203"/>
      <c r="H13" s="203"/>
      <c r="I13" s="203"/>
      <c r="J13" s="203"/>
      <c r="K13" s="203"/>
      <c r="L13" s="203"/>
      <c r="M13" s="203"/>
      <c r="N13" s="204">
        <f>SUMPRODUCT($F$6:$M$6,F13:M13)</f>
        <v>0</v>
      </c>
    </row>
    <row r="14" spans="1:14" ht="15">
      <c r="A14" s="199">
        <v>2</v>
      </c>
      <c r="B14" s="209" t="s">
        <v>263</v>
      </c>
      <c r="C14" s="201">
        <f>SUM(C15:C20)</f>
        <v>0</v>
      </c>
      <c r="D14" s="194"/>
      <c r="E14" s="202">
        <f t="shared" ref="E14:M14" si="2">SUM(E15:E20)</f>
        <v>0</v>
      </c>
      <c r="F14" s="203">
        <f t="shared" si="2"/>
        <v>0</v>
      </c>
      <c r="G14" s="203">
        <f t="shared" si="2"/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4">
        <f>SUM(N15:N20)</f>
        <v>0</v>
      </c>
    </row>
    <row r="15" spans="1:14" ht="14.25">
      <c r="A15" s="199">
        <v>2.1</v>
      </c>
      <c r="B15" s="207" t="s">
        <v>262</v>
      </c>
      <c r="C15" s="203"/>
      <c r="D15" s="206">
        <v>5.0000000000000001E-3</v>
      </c>
      <c r="E15" s="202">
        <f>C15*D15</f>
        <v>0</v>
      </c>
      <c r="F15" s="203"/>
      <c r="G15" s="203"/>
      <c r="H15" s="203"/>
      <c r="I15" s="203"/>
      <c r="J15" s="203"/>
      <c r="K15" s="203"/>
      <c r="L15" s="203"/>
      <c r="M15" s="203"/>
      <c r="N15" s="204">
        <f>SUMPRODUCT($F$6:$M$6,F15:M15)</f>
        <v>0</v>
      </c>
    </row>
    <row r="16" spans="1:14" ht="14.25">
      <c r="A16" s="199">
        <v>2.2000000000000002</v>
      </c>
      <c r="B16" s="207" t="s">
        <v>261</v>
      </c>
      <c r="C16" s="203"/>
      <c r="D16" s="206">
        <v>0.01</v>
      </c>
      <c r="E16" s="202">
        <f>C16*D16</f>
        <v>0</v>
      </c>
      <c r="F16" s="203"/>
      <c r="G16" s="203"/>
      <c r="H16" s="203"/>
      <c r="I16" s="203"/>
      <c r="J16" s="203"/>
      <c r="K16" s="203"/>
      <c r="L16" s="203"/>
      <c r="M16" s="203"/>
      <c r="N16" s="204">
        <f t="shared" ref="N16:N20" si="3">SUMPRODUCT($F$6:$M$6,F16:M16)</f>
        <v>0</v>
      </c>
    </row>
    <row r="17" spans="1:14" ht="14.25">
      <c r="A17" s="199">
        <v>2.2999999999999998</v>
      </c>
      <c r="B17" s="207" t="s">
        <v>260</v>
      </c>
      <c r="C17" s="203"/>
      <c r="D17" s="206">
        <v>0.02</v>
      </c>
      <c r="E17" s="202">
        <f>C17*D17</f>
        <v>0</v>
      </c>
      <c r="F17" s="203"/>
      <c r="G17" s="203"/>
      <c r="H17" s="203"/>
      <c r="I17" s="203"/>
      <c r="J17" s="203"/>
      <c r="K17" s="203"/>
      <c r="L17" s="203"/>
      <c r="M17" s="203"/>
      <c r="N17" s="204">
        <f t="shared" si="3"/>
        <v>0</v>
      </c>
    </row>
    <row r="18" spans="1:14" ht="14.25">
      <c r="A18" s="199">
        <v>2.4</v>
      </c>
      <c r="B18" s="207" t="s">
        <v>259</v>
      </c>
      <c r="C18" s="203"/>
      <c r="D18" s="206">
        <v>0.03</v>
      </c>
      <c r="E18" s="202">
        <f>C18*D18</f>
        <v>0</v>
      </c>
      <c r="F18" s="203"/>
      <c r="G18" s="203"/>
      <c r="H18" s="203"/>
      <c r="I18" s="203"/>
      <c r="J18" s="203"/>
      <c r="K18" s="203"/>
      <c r="L18" s="203"/>
      <c r="M18" s="203"/>
      <c r="N18" s="204">
        <f t="shared" si="3"/>
        <v>0</v>
      </c>
    </row>
    <row r="19" spans="1:14" ht="14.25">
      <c r="A19" s="199">
        <v>2.5</v>
      </c>
      <c r="B19" s="207" t="s">
        <v>258</v>
      </c>
      <c r="C19" s="203"/>
      <c r="D19" s="206">
        <v>0.04</v>
      </c>
      <c r="E19" s="202">
        <f>C19*D19</f>
        <v>0</v>
      </c>
      <c r="F19" s="203"/>
      <c r="G19" s="203"/>
      <c r="H19" s="203"/>
      <c r="I19" s="203"/>
      <c r="J19" s="203"/>
      <c r="K19" s="203"/>
      <c r="L19" s="203"/>
      <c r="M19" s="203"/>
      <c r="N19" s="204">
        <f t="shared" si="3"/>
        <v>0</v>
      </c>
    </row>
    <row r="20" spans="1:14" ht="14.25">
      <c r="A20" s="199">
        <v>2.6</v>
      </c>
      <c r="B20" s="207" t="s">
        <v>257</v>
      </c>
      <c r="C20" s="203"/>
      <c r="D20" s="208"/>
      <c r="E20" s="210"/>
      <c r="F20" s="203"/>
      <c r="G20" s="203"/>
      <c r="H20" s="203"/>
      <c r="I20" s="203"/>
      <c r="J20" s="203"/>
      <c r="K20" s="203"/>
      <c r="L20" s="203"/>
      <c r="M20" s="203"/>
      <c r="N20" s="204">
        <f t="shared" si="3"/>
        <v>0</v>
      </c>
    </row>
    <row r="21" spans="1:14" ht="15.75" thickBot="1">
      <c r="A21" s="211"/>
      <c r="B21" s="212" t="s">
        <v>108</v>
      </c>
      <c r="C21" s="187">
        <f>C14+C7</f>
        <v>54086000</v>
      </c>
      <c r="D21" s="213"/>
      <c r="E21" s="214">
        <f>E14+E7</f>
        <v>1081720</v>
      </c>
      <c r="F21" s="215">
        <f>F7+F14</f>
        <v>0</v>
      </c>
      <c r="G21" s="215">
        <f t="shared" ref="G21:L21" si="4">G7+G14</f>
        <v>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1081720</v>
      </c>
      <c r="L21" s="215">
        <f t="shared" si="4"/>
        <v>0</v>
      </c>
      <c r="M21" s="215">
        <f>M7+M14</f>
        <v>0</v>
      </c>
      <c r="N21" s="216">
        <f>N14+N7</f>
        <v>1081720</v>
      </c>
    </row>
    <row r="22" spans="1:14">
      <c r="E22" s="217"/>
      <c r="F22" s="217"/>
      <c r="G22" s="217"/>
      <c r="H22" s="217"/>
      <c r="I22" s="217"/>
      <c r="J22" s="217"/>
      <c r="K22" s="217"/>
      <c r="L22" s="217"/>
      <c r="M22" s="21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B2" sqref="B2"/>
    </sheetView>
  </sheetViews>
  <sheetFormatPr defaultRowHeight="15"/>
  <cols>
    <col min="1" max="1" width="11.42578125" customWidth="1"/>
    <col min="2" max="2" width="76.85546875" style="397" customWidth="1"/>
    <col min="3" max="3" width="22.85546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65">
        <f>'1. key ratios '!B2</f>
        <v>44104</v>
      </c>
    </row>
    <row r="3" spans="1:3">
      <c r="A3" s="4"/>
      <c r="B3"/>
    </row>
    <row r="4" spans="1:3">
      <c r="A4" s="4" t="s">
        <v>436</v>
      </c>
      <c r="B4" t="s">
        <v>437</v>
      </c>
    </row>
    <row r="5" spans="1:3">
      <c r="A5" s="398" t="s">
        <v>438</v>
      </c>
      <c r="B5" s="399"/>
      <c r="C5" s="400"/>
    </row>
    <row r="6" spans="1:3" ht="24">
      <c r="A6" s="401">
        <v>1</v>
      </c>
      <c r="B6" s="402" t="s">
        <v>489</v>
      </c>
      <c r="C6" s="403">
        <v>1419312915.7588744</v>
      </c>
    </row>
    <row r="7" spans="1:3">
      <c r="A7" s="401">
        <v>2</v>
      </c>
      <c r="B7" s="402" t="s">
        <v>439</v>
      </c>
      <c r="C7" s="403">
        <v>-9355550</v>
      </c>
    </row>
    <row r="8" spans="1:3" ht="24">
      <c r="A8" s="404">
        <v>3</v>
      </c>
      <c r="B8" s="405" t="s">
        <v>440</v>
      </c>
      <c r="C8" s="403">
        <f>SUM(C6:C7)</f>
        <v>1409957365.7588744</v>
      </c>
    </row>
    <row r="9" spans="1:3">
      <c r="A9" s="398" t="s">
        <v>441</v>
      </c>
      <c r="B9" s="399"/>
      <c r="C9" s="406"/>
    </row>
    <row r="10" spans="1:3" ht="24">
      <c r="A10" s="407">
        <v>4</v>
      </c>
      <c r="B10" s="408" t="s">
        <v>442</v>
      </c>
      <c r="C10" s="403"/>
    </row>
    <row r="11" spans="1:3">
      <c r="A11" s="407">
        <v>5</v>
      </c>
      <c r="B11" s="409" t="s">
        <v>443</v>
      </c>
      <c r="C11" s="403"/>
    </row>
    <row r="12" spans="1:3">
      <c r="A12" s="407" t="s">
        <v>444</v>
      </c>
      <c r="B12" s="409" t="s">
        <v>445</v>
      </c>
      <c r="C12" s="403">
        <v>1081720</v>
      </c>
    </row>
    <row r="13" spans="1:3" ht="24">
      <c r="A13" s="410">
        <v>6</v>
      </c>
      <c r="B13" s="408" t="s">
        <v>446</v>
      </c>
      <c r="C13" s="403"/>
    </row>
    <row r="14" spans="1:3">
      <c r="A14" s="410">
        <v>7</v>
      </c>
      <c r="B14" s="411" t="s">
        <v>447</v>
      </c>
      <c r="C14" s="403"/>
    </row>
    <row r="15" spans="1:3">
      <c r="A15" s="412">
        <v>8</v>
      </c>
      <c r="B15" s="413" t="s">
        <v>448</v>
      </c>
      <c r="C15" s="403"/>
    </row>
    <row r="16" spans="1:3">
      <c r="A16" s="410">
        <v>9</v>
      </c>
      <c r="B16" s="411" t="s">
        <v>449</v>
      </c>
      <c r="C16" s="403"/>
    </row>
    <row r="17" spans="1:3">
      <c r="A17" s="410">
        <v>10</v>
      </c>
      <c r="B17" s="411" t="s">
        <v>450</v>
      </c>
      <c r="C17" s="403"/>
    </row>
    <row r="18" spans="1:3">
      <c r="A18" s="414">
        <v>11</v>
      </c>
      <c r="B18" s="415" t="s">
        <v>451</v>
      </c>
      <c r="C18" s="416">
        <f>SUM(C10:C17)</f>
        <v>1081720</v>
      </c>
    </row>
    <row r="19" spans="1:3">
      <c r="A19" s="417" t="s">
        <v>452</v>
      </c>
      <c r="B19" s="418"/>
      <c r="C19" s="419"/>
    </row>
    <row r="20" spans="1:3" ht="24">
      <c r="A20" s="420">
        <v>12</v>
      </c>
      <c r="B20" s="408" t="s">
        <v>453</v>
      </c>
      <c r="C20" s="403"/>
    </row>
    <row r="21" spans="1:3">
      <c r="A21" s="420">
        <v>13</v>
      </c>
      <c r="B21" s="408" t="s">
        <v>454</v>
      </c>
      <c r="C21" s="403"/>
    </row>
    <row r="22" spans="1:3">
      <c r="A22" s="420">
        <v>14</v>
      </c>
      <c r="B22" s="408" t="s">
        <v>455</v>
      </c>
      <c r="C22" s="403"/>
    </row>
    <row r="23" spans="1:3" ht="24">
      <c r="A23" s="420" t="s">
        <v>456</v>
      </c>
      <c r="B23" s="408" t="s">
        <v>457</v>
      </c>
      <c r="C23" s="403"/>
    </row>
    <row r="24" spans="1:3">
      <c r="A24" s="420">
        <v>15</v>
      </c>
      <c r="B24" s="408" t="s">
        <v>458</v>
      </c>
      <c r="C24" s="403"/>
    </row>
    <row r="25" spans="1:3">
      <c r="A25" s="420" t="s">
        <v>459</v>
      </c>
      <c r="B25" s="408" t="s">
        <v>460</v>
      </c>
      <c r="C25" s="403"/>
    </row>
    <row r="26" spans="1:3">
      <c r="A26" s="421">
        <v>16</v>
      </c>
      <c r="B26" s="422" t="s">
        <v>461</v>
      </c>
      <c r="C26" s="416">
        <v>0</v>
      </c>
    </row>
    <row r="27" spans="1:3">
      <c r="A27" s="398" t="s">
        <v>462</v>
      </c>
      <c r="B27" s="399"/>
      <c r="C27" s="406"/>
    </row>
    <row r="28" spans="1:3">
      <c r="A28" s="423">
        <v>17</v>
      </c>
      <c r="B28" s="409" t="s">
        <v>463</v>
      </c>
      <c r="C28" s="403">
        <v>73980617.503007025</v>
      </c>
    </row>
    <row r="29" spans="1:3">
      <c r="A29" s="423">
        <v>18</v>
      </c>
      <c r="B29" s="409" t="s">
        <v>464</v>
      </c>
      <c r="C29" s="403">
        <v>-36087366.654899515</v>
      </c>
    </row>
    <row r="30" spans="1:3">
      <c r="A30" s="421">
        <v>19</v>
      </c>
      <c r="B30" s="422" t="s">
        <v>465</v>
      </c>
      <c r="C30" s="416">
        <f>SUM(C28:C29)</f>
        <v>37893250.848107509</v>
      </c>
    </row>
    <row r="31" spans="1:3">
      <c r="A31" s="398" t="s">
        <v>466</v>
      </c>
      <c r="B31" s="399"/>
      <c r="C31" s="406"/>
    </row>
    <row r="32" spans="1:3" ht="24">
      <c r="A32" s="423" t="s">
        <v>467</v>
      </c>
      <c r="B32" s="408" t="s">
        <v>468</v>
      </c>
      <c r="C32" s="424"/>
    </row>
    <row r="33" spans="1:3">
      <c r="A33" s="423" t="s">
        <v>469</v>
      </c>
      <c r="B33" s="409" t="s">
        <v>470</v>
      </c>
      <c r="C33" s="424"/>
    </row>
    <row r="34" spans="1:3">
      <c r="A34" s="398" t="s">
        <v>471</v>
      </c>
      <c r="B34" s="399"/>
      <c r="C34" s="406"/>
    </row>
    <row r="35" spans="1:3">
      <c r="A35" s="425">
        <v>20</v>
      </c>
      <c r="B35" s="426" t="s">
        <v>472</v>
      </c>
      <c r="C35" s="416">
        <v>187130799</v>
      </c>
    </row>
    <row r="36" spans="1:3">
      <c r="A36" s="421">
        <v>21</v>
      </c>
      <c r="B36" s="422" t="s">
        <v>473</v>
      </c>
      <c r="C36" s="416">
        <f>C8+C18+C26+C30</f>
        <v>1448932336.606982</v>
      </c>
    </row>
    <row r="37" spans="1:3">
      <c r="A37" s="398" t="s">
        <v>474</v>
      </c>
      <c r="B37" s="399"/>
      <c r="C37" s="406"/>
    </row>
    <row r="38" spans="1:3">
      <c r="A38" s="421">
        <v>22</v>
      </c>
      <c r="B38" s="422" t="s">
        <v>474</v>
      </c>
      <c r="C38" s="531">
        <f t="shared" ref="C38" si="0">C35/C36</f>
        <v>0.12915081972579276</v>
      </c>
    </row>
    <row r="39" spans="1:3">
      <c r="A39" s="398" t="s">
        <v>475</v>
      </c>
      <c r="B39" s="399"/>
      <c r="C39" s="406"/>
    </row>
    <row r="40" spans="1:3">
      <c r="A40" s="427" t="s">
        <v>476</v>
      </c>
      <c r="B40" s="408" t="s">
        <v>477</v>
      </c>
      <c r="C40" s="424"/>
    </row>
    <row r="41" spans="1:3" ht="24">
      <c r="A41" s="428" t="s">
        <v>478</v>
      </c>
      <c r="B41" s="402" t="s">
        <v>479</v>
      </c>
      <c r="C41" s="424"/>
    </row>
    <row r="43" spans="1:3">
      <c r="B43" s="397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CARTU BANK</v>
      </c>
    </row>
    <row r="2" spans="1:8">
      <c r="A2" s="2" t="s">
        <v>31</v>
      </c>
      <c r="B2" s="463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143</v>
      </c>
      <c r="B4" s="10" t="s">
        <v>142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9" t="s">
        <v>530</v>
      </c>
      <c r="D5" s="449" t="s">
        <v>527</v>
      </c>
      <c r="E5" s="449" t="s">
        <v>509</v>
      </c>
      <c r="F5" s="449" t="s">
        <v>491</v>
      </c>
      <c r="G5" s="450" t="s">
        <v>492</v>
      </c>
    </row>
    <row r="6" spans="1:8">
      <c r="B6" s="236" t="s">
        <v>141</v>
      </c>
      <c r="C6" s="451"/>
      <c r="D6" s="451"/>
      <c r="E6" s="451"/>
      <c r="F6" s="451"/>
      <c r="G6" s="452"/>
    </row>
    <row r="7" spans="1:8">
      <c r="A7" s="13"/>
      <c r="B7" s="237" t="s">
        <v>135</v>
      </c>
      <c r="C7" s="451"/>
      <c r="D7" s="451"/>
      <c r="E7" s="451"/>
      <c r="F7" s="451"/>
      <c r="G7" s="452"/>
    </row>
    <row r="8" spans="1:8" ht="15">
      <c r="A8" s="391">
        <v>1</v>
      </c>
      <c r="B8" s="14" t="s">
        <v>140</v>
      </c>
      <c r="C8" s="453">
        <v>164116199</v>
      </c>
      <c r="D8" s="453">
        <v>167969628</v>
      </c>
      <c r="E8" s="453">
        <v>159299161</v>
      </c>
      <c r="F8" s="453">
        <v>199034952</v>
      </c>
      <c r="G8" s="454">
        <v>195242645</v>
      </c>
    </row>
    <row r="9" spans="1:8" ht="15">
      <c r="A9" s="391">
        <v>2</v>
      </c>
      <c r="B9" s="14" t="s">
        <v>139</v>
      </c>
      <c r="C9" s="453">
        <v>187130799</v>
      </c>
      <c r="D9" s="453">
        <v>189356028</v>
      </c>
      <c r="E9" s="453">
        <v>182290661</v>
      </c>
      <c r="F9" s="453">
        <v>219108852</v>
      </c>
      <c r="G9" s="454">
        <v>215929045</v>
      </c>
    </row>
    <row r="10" spans="1:8" ht="15">
      <c r="A10" s="391">
        <v>3</v>
      </c>
      <c r="B10" s="14" t="s">
        <v>138</v>
      </c>
      <c r="C10" s="453">
        <v>425737869</v>
      </c>
      <c r="D10" s="453">
        <v>411644701</v>
      </c>
      <c r="E10" s="453">
        <v>420404542</v>
      </c>
      <c r="F10" s="453">
        <v>427216297</v>
      </c>
      <c r="G10" s="454">
        <v>428170330</v>
      </c>
    </row>
    <row r="11" spans="1:8" ht="15">
      <c r="A11" s="392"/>
      <c r="B11" s="236" t="s">
        <v>137</v>
      </c>
      <c r="C11" s="451"/>
      <c r="D11" s="451"/>
      <c r="E11" s="451"/>
      <c r="F11" s="451"/>
      <c r="G11" s="452"/>
    </row>
    <row r="12" spans="1:8" ht="15" customHeight="1">
      <c r="A12" s="391">
        <v>4</v>
      </c>
      <c r="B12" s="14" t="s">
        <v>269</v>
      </c>
      <c r="C12" s="455">
        <v>1452187561.9034677</v>
      </c>
      <c r="D12" s="453">
        <v>1418689194.4814458</v>
      </c>
      <c r="E12" s="453">
        <v>1511302849.3190932</v>
      </c>
      <c r="F12" s="453">
        <v>1439273401.5592277</v>
      </c>
      <c r="G12" s="454">
        <v>1430709273.5419717</v>
      </c>
    </row>
    <row r="13" spans="1:8" ht="15">
      <c r="A13" s="392"/>
      <c r="B13" s="236" t="s">
        <v>136</v>
      </c>
      <c r="C13" s="451"/>
      <c r="D13" s="451"/>
      <c r="E13" s="451"/>
      <c r="F13" s="451"/>
      <c r="G13" s="452"/>
    </row>
    <row r="14" spans="1:8" s="15" customFormat="1" ht="15">
      <c r="A14" s="391"/>
      <c r="B14" s="237" t="s">
        <v>482</v>
      </c>
      <c r="C14" s="451"/>
      <c r="D14" s="451"/>
      <c r="E14" s="451"/>
      <c r="F14" s="451"/>
      <c r="G14" s="452"/>
    </row>
    <row r="15" spans="1:8" ht="15">
      <c r="A15" s="393">
        <v>5</v>
      </c>
      <c r="B15" s="14" t="str">
        <f>"Common equity Tier 1 ratio &gt;="&amp;ROUND('9.1. Capital Requirements'!C19*100, 2)&amp;"%"</f>
        <v>Common equity Tier 1 ratio &gt;=6.08%</v>
      </c>
      <c r="C15" s="456">
        <v>0.11301308681151576</v>
      </c>
      <c r="D15" s="456">
        <v>0.1183977636915714</v>
      </c>
      <c r="E15" s="456">
        <v>0.10540518802817787</v>
      </c>
      <c r="F15" s="456">
        <v>0.1382884945864884</v>
      </c>
      <c r="G15" s="457">
        <v>0.13646563184471616</v>
      </c>
    </row>
    <row r="16" spans="1:8" ht="15" customHeight="1">
      <c r="A16" s="393">
        <v>6</v>
      </c>
      <c r="B16" s="14" t="str">
        <f>"Tier 1 ratio &gt;="&amp;ROUND('9.1. Capital Requirements'!C20*100, 2)&amp;"%"</f>
        <v>Tier 1 ratio &gt;=8.11%</v>
      </c>
      <c r="C16" s="456">
        <v>0.12886131510086524</v>
      </c>
      <c r="D16" s="456">
        <v>0.1334725243108747</v>
      </c>
      <c r="E16" s="456">
        <v>0.12061822094898436</v>
      </c>
      <c r="F16" s="456">
        <v>0.15223574045252961</v>
      </c>
      <c r="G16" s="457">
        <v>0.1509244743101649</v>
      </c>
    </row>
    <row r="17" spans="1:7" ht="15">
      <c r="A17" s="393">
        <v>7</v>
      </c>
      <c r="B17" s="14" t="str">
        <f>"Total Regulatory Capital ratio &gt;="&amp;ROUND('9.1. Capital Requirements'!C21*100,2)&amp;"%"</f>
        <v>Total Regulatory Capital ratio &gt;=16.43%</v>
      </c>
      <c r="C17" s="456">
        <v>0.29317002856157254</v>
      </c>
      <c r="D17" s="456">
        <v>0.29015848051938037</v>
      </c>
      <c r="E17" s="456">
        <v>0.27817359187102059</v>
      </c>
      <c r="F17" s="456">
        <v>0.29682775804595424</v>
      </c>
      <c r="G17" s="457">
        <v>0.29927137393887809</v>
      </c>
    </row>
    <row r="18" spans="1:7" ht="15">
      <c r="A18" s="392"/>
      <c r="B18" s="238" t="s">
        <v>134</v>
      </c>
      <c r="C18" s="451"/>
      <c r="D18" s="451"/>
      <c r="E18" s="451"/>
      <c r="F18" s="451"/>
      <c r="G18" s="452"/>
    </row>
    <row r="19" spans="1:7" ht="15" customHeight="1">
      <c r="A19" s="394">
        <v>8</v>
      </c>
      <c r="B19" s="14" t="s">
        <v>133</v>
      </c>
      <c r="C19" s="456">
        <v>5.7254344290042912E-2</v>
      </c>
      <c r="D19" s="456">
        <v>5.4625367345239012E-2</v>
      </c>
      <c r="E19" s="456">
        <v>6.1053834010515812E-2</v>
      </c>
      <c r="F19" s="456">
        <v>7.1444795226382932E-2</v>
      </c>
      <c r="G19" s="457">
        <v>7.3728187483529037E-2</v>
      </c>
    </row>
    <row r="20" spans="1:7" ht="15">
      <c r="A20" s="394">
        <v>9</v>
      </c>
      <c r="B20" s="14" t="s">
        <v>132</v>
      </c>
      <c r="C20" s="456">
        <v>2.6058620101981084E-2</v>
      </c>
      <c r="D20" s="456">
        <v>2.4816611277254756E-2</v>
      </c>
      <c r="E20" s="456">
        <v>2.3100862838908012E-2</v>
      </c>
      <c r="F20" s="456">
        <v>2.4386673796922328E-2</v>
      </c>
      <c r="G20" s="457">
        <v>2.4355998985960803E-2</v>
      </c>
    </row>
    <row r="21" spans="1:7" ht="15">
      <c r="A21" s="394">
        <v>10</v>
      </c>
      <c r="B21" s="14" t="s">
        <v>131</v>
      </c>
      <c r="C21" s="456">
        <v>1.7390057315518369E-2</v>
      </c>
      <c r="D21" s="456">
        <v>1.6478752011488611E-2</v>
      </c>
      <c r="E21" s="456">
        <v>2.705207760897814E-2</v>
      </c>
      <c r="F21" s="456">
        <v>2.6739989853771115E-2</v>
      </c>
      <c r="G21" s="457">
        <v>3.2647077704208952E-2</v>
      </c>
    </row>
    <row r="22" spans="1:7" ht="15">
      <c r="A22" s="394">
        <v>11</v>
      </c>
      <c r="B22" s="14" t="s">
        <v>130</v>
      </c>
      <c r="C22" s="456">
        <v>3.1195724188061824E-2</v>
      </c>
      <c r="D22" s="456">
        <v>2.9808756067984256E-2</v>
      </c>
      <c r="E22" s="456">
        <v>3.7952971171607799E-2</v>
      </c>
      <c r="F22" s="456">
        <v>4.70581214294606E-2</v>
      </c>
      <c r="G22" s="457">
        <v>4.9372188497568234E-2</v>
      </c>
    </row>
    <row r="23" spans="1:7" ht="15">
      <c r="A23" s="394">
        <v>12</v>
      </c>
      <c r="B23" s="14" t="s">
        <v>275</v>
      </c>
      <c r="C23" s="456">
        <v>-3.1113725196758139E-2</v>
      </c>
      <c r="D23" s="456">
        <v>-4.2533664394970722E-2</v>
      </c>
      <c r="E23" s="456">
        <v>-0.12896922677632647</v>
      </c>
      <c r="F23" s="456">
        <v>1.9122816784955005E-2</v>
      </c>
      <c r="G23" s="457">
        <v>2.1706907874925952E-2</v>
      </c>
    </row>
    <row r="24" spans="1:7" ht="15">
      <c r="A24" s="394">
        <v>13</v>
      </c>
      <c r="B24" s="14" t="s">
        <v>276</v>
      </c>
      <c r="C24" s="456">
        <v>-0.21923859389273789</v>
      </c>
      <c r="D24" s="456">
        <v>-0.28962992689378836</v>
      </c>
      <c r="E24" s="456">
        <v>-0.81729106984194966</v>
      </c>
      <c r="F24" s="456">
        <v>0.11078065808167323</v>
      </c>
      <c r="G24" s="457">
        <v>0.12463471600960843</v>
      </c>
    </row>
    <row r="25" spans="1:7" ht="15">
      <c r="A25" s="392"/>
      <c r="B25" s="238" t="s">
        <v>355</v>
      </c>
      <c r="C25" s="451"/>
      <c r="D25" s="451"/>
      <c r="E25" s="451"/>
      <c r="F25" s="451"/>
      <c r="G25" s="452"/>
    </row>
    <row r="26" spans="1:7" ht="15">
      <c r="A26" s="394">
        <v>14</v>
      </c>
      <c r="B26" s="14" t="s">
        <v>129</v>
      </c>
      <c r="C26" s="456">
        <v>0.3667970977145078</v>
      </c>
      <c r="D26" s="456">
        <v>0.36456460284047221</v>
      </c>
      <c r="E26" s="456">
        <v>0.32063760838106115</v>
      </c>
      <c r="F26" s="456">
        <v>0.3282215859314217</v>
      </c>
      <c r="G26" s="457">
        <v>0.39475788980791926</v>
      </c>
    </row>
    <row r="27" spans="1:7" ht="15" customHeight="1">
      <c r="A27" s="394">
        <v>15</v>
      </c>
      <c r="B27" s="14" t="s">
        <v>128</v>
      </c>
      <c r="C27" s="456">
        <v>0.17179922339227699</v>
      </c>
      <c r="D27" s="456">
        <v>0.16971871851103956</v>
      </c>
      <c r="E27" s="456">
        <v>0.17585986955554778</v>
      </c>
      <c r="F27" s="456">
        <v>0.137339028760432</v>
      </c>
      <c r="G27" s="457">
        <v>0.15751668779353256</v>
      </c>
    </row>
    <row r="28" spans="1:7" ht="15">
      <c r="A28" s="394">
        <v>16</v>
      </c>
      <c r="B28" s="14" t="s">
        <v>127</v>
      </c>
      <c r="C28" s="456">
        <v>0.67483223056505193</v>
      </c>
      <c r="D28" s="456">
        <v>0.68376783921838447</v>
      </c>
      <c r="E28" s="456">
        <v>0.71526156266547436</v>
      </c>
      <c r="F28" s="456">
        <v>0.69036549122057411</v>
      </c>
      <c r="G28" s="457">
        <v>0.66327935401179372</v>
      </c>
    </row>
    <row r="29" spans="1:7" ht="15" customHeight="1">
      <c r="A29" s="394">
        <v>17</v>
      </c>
      <c r="B29" s="14" t="s">
        <v>126</v>
      </c>
      <c r="C29" s="456">
        <v>0.68508977678245853</v>
      </c>
      <c r="D29" s="456">
        <v>0.68099733447949529</v>
      </c>
      <c r="E29" s="456">
        <v>0.72110461914764334</v>
      </c>
      <c r="F29" s="456">
        <v>0.70553727894395701</v>
      </c>
      <c r="G29" s="457">
        <v>0.65691225808035747</v>
      </c>
    </row>
    <row r="30" spans="1:7" ht="15">
      <c r="A30" s="394">
        <v>18</v>
      </c>
      <c r="B30" s="14" t="s">
        <v>125</v>
      </c>
      <c r="C30" s="456">
        <v>0.12519015126108557</v>
      </c>
      <c r="D30" s="456">
        <v>8.5001158221147843E-2</v>
      </c>
      <c r="E30" s="456">
        <v>0.13092959709379248</v>
      </c>
      <c r="F30" s="456">
        <v>8.8391772975759508E-2</v>
      </c>
      <c r="G30" s="457">
        <v>2.2991226855333169E-2</v>
      </c>
    </row>
    <row r="31" spans="1:7" ht="15" customHeight="1">
      <c r="A31" s="392"/>
      <c r="B31" s="238" t="s">
        <v>356</v>
      </c>
      <c r="C31" s="451"/>
      <c r="D31" s="451"/>
      <c r="E31" s="451"/>
      <c r="F31" s="451"/>
      <c r="G31" s="452"/>
    </row>
    <row r="32" spans="1:7" ht="15" customHeight="1">
      <c r="A32" s="394">
        <v>19</v>
      </c>
      <c r="B32" s="14" t="s">
        <v>124</v>
      </c>
      <c r="C32" s="456">
        <v>0.3086875655424145</v>
      </c>
      <c r="D32" s="456">
        <v>0.23563597768205205</v>
      </c>
      <c r="E32" s="456">
        <v>0.29656619117139454</v>
      </c>
      <c r="F32" s="456">
        <v>0.27252912180530919</v>
      </c>
      <c r="G32" s="457">
        <v>0.29719645385886262</v>
      </c>
    </row>
    <row r="33" spans="1:7" ht="15" customHeight="1">
      <c r="A33" s="394">
        <v>20</v>
      </c>
      <c r="B33" s="14" t="s">
        <v>123</v>
      </c>
      <c r="C33" s="456">
        <v>0.85640675493683238</v>
      </c>
      <c r="D33" s="456">
        <v>0.87773726841368005</v>
      </c>
      <c r="E33" s="456">
        <v>0.90733955948230816</v>
      </c>
      <c r="F33" s="456">
        <v>0.88672159464552902</v>
      </c>
      <c r="G33" s="457">
        <v>0.85315415753259805</v>
      </c>
    </row>
    <row r="34" spans="1:7" ht="15" customHeight="1">
      <c r="A34" s="394">
        <v>21</v>
      </c>
      <c r="B34" s="14" t="s">
        <v>122</v>
      </c>
      <c r="C34" s="456">
        <v>0.32613572964272519</v>
      </c>
      <c r="D34" s="456">
        <v>0.34007535685738693</v>
      </c>
      <c r="E34" s="456">
        <v>0.38198219172940984</v>
      </c>
      <c r="F34" s="456">
        <v>0.35944048622117863</v>
      </c>
      <c r="G34" s="457">
        <v>0.34841415259494246</v>
      </c>
    </row>
    <row r="35" spans="1:7" ht="15" customHeight="1">
      <c r="A35" s="395"/>
      <c r="B35" s="238" t="s">
        <v>399</v>
      </c>
      <c r="C35" s="451"/>
      <c r="D35" s="451"/>
      <c r="E35" s="451"/>
      <c r="F35" s="451"/>
      <c r="G35" s="452"/>
    </row>
    <row r="36" spans="1:7" ht="15">
      <c r="A36" s="394">
        <v>22</v>
      </c>
      <c r="B36" s="14" t="s">
        <v>382</v>
      </c>
      <c r="C36" s="458">
        <v>353567646.6511544</v>
      </c>
      <c r="D36" s="458">
        <v>354174094.01967555</v>
      </c>
      <c r="E36" s="458">
        <v>327940947.81004167</v>
      </c>
      <c r="F36" s="458">
        <v>335125345.80480003</v>
      </c>
      <c r="G36" s="459">
        <v>340082465.02639312</v>
      </c>
    </row>
    <row r="37" spans="1:7" ht="15" customHeight="1">
      <c r="A37" s="394">
        <v>23</v>
      </c>
      <c r="B37" s="14" t="s">
        <v>394</v>
      </c>
      <c r="C37" s="458">
        <v>191701831.13834506</v>
      </c>
      <c r="D37" s="458">
        <v>215853593.25725913</v>
      </c>
      <c r="E37" s="458">
        <v>161624105.84783745</v>
      </c>
      <c r="F37" s="458">
        <v>123566754.93715714</v>
      </c>
      <c r="G37" s="459">
        <v>126275517.96799789</v>
      </c>
    </row>
    <row r="38" spans="1:7" ht="15.75" thickBot="1">
      <c r="A38" s="396">
        <v>24</v>
      </c>
      <c r="B38" s="239" t="s">
        <v>383</v>
      </c>
      <c r="C38" s="460">
        <v>1.8443623858553337</v>
      </c>
      <c r="D38" s="461">
        <v>1.6408070334857152</v>
      </c>
      <c r="E38" s="461">
        <v>2.0290348775001719</v>
      </c>
      <c r="F38" s="461">
        <v>2.7120995932541576</v>
      </c>
      <c r="G38" s="462">
        <v>2.6931781433086694</v>
      </c>
    </row>
    <row r="39" spans="1:7">
      <c r="A39" s="16"/>
    </row>
    <row r="40" spans="1:7" ht="38.25">
      <c r="B40" s="321" t="s">
        <v>483</v>
      </c>
    </row>
    <row r="41" spans="1:7" ht="51">
      <c r="B41" s="321" t="s">
        <v>398</v>
      </c>
    </row>
    <row r="43" spans="1:7">
      <c r="B43" s="3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44104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7857658</v>
      </c>
      <c r="D7" s="29">
        <v>23822573</v>
      </c>
      <c r="E7" s="30">
        <f>C7+D7</f>
        <v>31680231</v>
      </c>
      <c r="F7" s="31">
        <v>11525442</v>
      </c>
      <c r="G7" s="32">
        <v>9826743</v>
      </c>
      <c r="H7" s="33">
        <f>F7+G7</f>
        <v>21352185</v>
      </c>
    </row>
    <row r="8" spans="1:8">
      <c r="A8" s="24">
        <v>2</v>
      </c>
      <c r="B8" s="28" t="s">
        <v>36</v>
      </c>
      <c r="C8" s="29">
        <v>503395</v>
      </c>
      <c r="D8" s="29">
        <v>195118342</v>
      </c>
      <c r="E8" s="30">
        <f t="shared" ref="E8:E20" si="0">C8+D8</f>
        <v>195621737</v>
      </c>
      <c r="F8" s="31">
        <v>1755527</v>
      </c>
      <c r="G8" s="32">
        <v>188254762</v>
      </c>
      <c r="H8" s="33">
        <f t="shared" ref="H8:H40" si="1">F8+G8</f>
        <v>190010289</v>
      </c>
    </row>
    <row r="9" spans="1:8">
      <c r="A9" s="24">
        <v>3</v>
      </c>
      <c r="B9" s="28" t="s">
        <v>37</v>
      </c>
      <c r="C9" s="29">
        <v>20459841</v>
      </c>
      <c r="D9" s="29">
        <v>147924146</v>
      </c>
      <c r="E9" s="30">
        <f t="shared" si="0"/>
        <v>168383987</v>
      </c>
      <c r="F9" s="31">
        <v>66419359</v>
      </c>
      <c r="G9" s="32">
        <v>113986641</v>
      </c>
      <c r="H9" s="33">
        <f t="shared" si="1"/>
        <v>180406000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46272032</v>
      </c>
      <c r="D11" s="29">
        <v>16110220</v>
      </c>
      <c r="E11" s="30">
        <f t="shared" si="0"/>
        <v>62382252</v>
      </c>
      <c r="F11" s="31">
        <v>21003803</v>
      </c>
      <c r="G11" s="32">
        <v>14480480</v>
      </c>
      <c r="H11" s="33">
        <f t="shared" si="1"/>
        <v>35484283</v>
      </c>
    </row>
    <row r="12" spans="1:8">
      <c r="A12" s="24">
        <v>6.1</v>
      </c>
      <c r="B12" s="34" t="s">
        <v>40</v>
      </c>
      <c r="C12" s="29">
        <v>335797324</v>
      </c>
      <c r="D12" s="29">
        <v>696892123</v>
      </c>
      <c r="E12" s="30">
        <f t="shared" si="0"/>
        <v>1032689447</v>
      </c>
      <c r="F12" s="31">
        <v>290469289</v>
      </c>
      <c r="G12" s="32">
        <v>572172466</v>
      </c>
      <c r="H12" s="33">
        <f t="shared" si="1"/>
        <v>862641755</v>
      </c>
    </row>
    <row r="13" spans="1:8">
      <c r="A13" s="24">
        <v>6.2</v>
      </c>
      <c r="B13" s="34" t="s">
        <v>41</v>
      </c>
      <c r="C13" s="29">
        <v>-50434890</v>
      </c>
      <c r="D13" s="29">
        <v>-126980355</v>
      </c>
      <c r="E13" s="30">
        <f t="shared" si="0"/>
        <v>-177415245</v>
      </c>
      <c r="F13" s="31">
        <v>-41479521</v>
      </c>
      <c r="G13" s="32">
        <v>-94400951</v>
      </c>
      <c r="H13" s="33">
        <f t="shared" si="1"/>
        <v>-135880472</v>
      </c>
    </row>
    <row r="14" spans="1:8">
      <c r="A14" s="24">
        <v>6</v>
      </c>
      <c r="B14" s="28" t="s">
        <v>42</v>
      </c>
      <c r="C14" s="30">
        <f>C12+C13</f>
        <v>285362434</v>
      </c>
      <c r="D14" s="30">
        <f>D12+D13</f>
        <v>569911768</v>
      </c>
      <c r="E14" s="30">
        <f t="shared" si="0"/>
        <v>855274202</v>
      </c>
      <c r="F14" s="30">
        <f>F12+F13</f>
        <v>248989768</v>
      </c>
      <c r="G14" s="30">
        <f>G12+G13</f>
        <v>477771515</v>
      </c>
      <c r="H14" s="33">
        <f t="shared" si="1"/>
        <v>726761283</v>
      </c>
    </row>
    <row r="15" spans="1:8">
      <c r="A15" s="24">
        <v>7</v>
      </c>
      <c r="B15" s="28" t="s">
        <v>43</v>
      </c>
      <c r="C15" s="29">
        <v>7655942</v>
      </c>
      <c r="D15" s="29">
        <v>7107044</v>
      </c>
      <c r="E15" s="30">
        <f t="shared" si="0"/>
        <v>14762986</v>
      </c>
      <c r="F15" s="31">
        <v>3121219</v>
      </c>
      <c r="G15" s="32">
        <v>4434332</v>
      </c>
      <c r="H15" s="33">
        <f t="shared" si="1"/>
        <v>7555551</v>
      </c>
    </row>
    <row r="16" spans="1:8">
      <c r="A16" s="24">
        <v>8</v>
      </c>
      <c r="B16" s="28" t="s">
        <v>202</v>
      </c>
      <c r="C16" s="29">
        <v>6013426</v>
      </c>
      <c r="D16" s="29" t="s">
        <v>507</v>
      </c>
      <c r="E16" s="30">
        <f>C16</f>
        <v>6013426</v>
      </c>
      <c r="F16" s="31">
        <v>24352452</v>
      </c>
      <c r="G16" s="32" t="s">
        <v>507</v>
      </c>
      <c r="H16" s="33">
        <f>F16</f>
        <v>24352452</v>
      </c>
    </row>
    <row r="17" spans="1:8">
      <c r="A17" s="24">
        <v>9</v>
      </c>
      <c r="B17" s="28" t="s">
        <v>44</v>
      </c>
      <c r="C17" s="29">
        <v>7793239</v>
      </c>
      <c r="D17" s="29">
        <v>0</v>
      </c>
      <c r="E17" s="30">
        <f t="shared" si="0"/>
        <v>7793239</v>
      </c>
      <c r="F17" s="31">
        <v>5814321</v>
      </c>
      <c r="G17" s="32">
        <v>0</v>
      </c>
      <c r="H17" s="33">
        <f t="shared" si="1"/>
        <v>5814321</v>
      </c>
    </row>
    <row r="18" spans="1:8">
      <c r="A18" s="24">
        <v>10</v>
      </c>
      <c r="B18" s="28" t="s">
        <v>45</v>
      </c>
      <c r="C18" s="29">
        <v>21313841</v>
      </c>
      <c r="D18" s="29" t="s">
        <v>507</v>
      </c>
      <c r="E18" s="30">
        <f>C18</f>
        <v>21313841</v>
      </c>
      <c r="F18" s="31">
        <v>17998741</v>
      </c>
      <c r="G18" s="32" t="s">
        <v>507</v>
      </c>
      <c r="H18" s="33">
        <f>F18</f>
        <v>17998741</v>
      </c>
    </row>
    <row r="19" spans="1:8">
      <c r="A19" s="24">
        <v>11</v>
      </c>
      <c r="B19" s="28" t="s">
        <v>46</v>
      </c>
      <c r="C19" s="29">
        <v>39934611</v>
      </c>
      <c r="D19" s="29">
        <v>4118091</v>
      </c>
      <c r="E19" s="30">
        <f t="shared" si="0"/>
        <v>44052702</v>
      </c>
      <c r="F19" s="31">
        <v>22002279</v>
      </c>
      <c r="G19" s="32">
        <v>1133568</v>
      </c>
      <c r="H19" s="33">
        <f t="shared" si="1"/>
        <v>23135847</v>
      </c>
    </row>
    <row r="20" spans="1:8">
      <c r="A20" s="24">
        <v>12</v>
      </c>
      <c r="B20" s="36" t="s">
        <v>47</v>
      </c>
      <c r="C20" s="30">
        <f>SUM(C7:C11)+SUM(C14:C19)</f>
        <v>443166419</v>
      </c>
      <c r="D20" s="30">
        <f>SUM(D7:D11)+SUM(D14:D19)</f>
        <v>964112184</v>
      </c>
      <c r="E20" s="30">
        <f t="shared" si="0"/>
        <v>1407278603</v>
      </c>
      <c r="F20" s="30">
        <f>SUM(F7:F11)+SUM(F14:F19)</f>
        <v>422982911</v>
      </c>
      <c r="G20" s="30">
        <f>SUM(G7:G11)+SUM(G14:G19)</f>
        <v>809888041</v>
      </c>
      <c r="H20" s="33">
        <f t="shared" si="1"/>
        <v>1232870952</v>
      </c>
    </row>
    <row r="21" spans="1:8">
      <c r="A21" s="24"/>
      <c r="B21" s="25" t="s">
        <v>48</v>
      </c>
      <c r="C21" s="37" t="s">
        <v>508</v>
      </c>
      <c r="D21" s="37"/>
      <c r="E21" s="37"/>
      <c r="F21" s="38" t="s">
        <v>508</v>
      </c>
      <c r="G21" s="39"/>
      <c r="H21" s="40"/>
    </row>
    <row r="22" spans="1:8">
      <c r="A22" s="24">
        <v>13</v>
      </c>
      <c r="B22" s="28" t="s">
        <v>49</v>
      </c>
      <c r="C22" s="29">
        <v>50507</v>
      </c>
      <c r="D22" s="29">
        <v>111563</v>
      </c>
      <c r="E22" s="30">
        <f>C22+D22</f>
        <v>162070</v>
      </c>
      <c r="F22" s="31">
        <v>51462</v>
      </c>
      <c r="G22" s="32">
        <v>103602</v>
      </c>
      <c r="H22" s="33">
        <f t="shared" si="1"/>
        <v>155064</v>
      </c>
    </row>
    <row r="23" spans="1:8">
      <c r="A23" s="24">
        <v>14</v>
      </c>
      <c r="B23" s="28" t="s">
        <v>50</v>
      </c>
      <c r="C23" s="29">
        <v>48553858</v>
      </c>
      <c r="D23" s="29">
        <v>331732925</v>
      </c>
      <c r="E23" s="30">
        <f t="shared" ref="E23:E30" si="2">C23+D23</f>
        <v>380286783</v>
      </c>
      <c r="F23" s="31">
        <v>81678591</v>
      </c>
      <c r="G23" s="32">
        <v>281252642</v>
      </c>
      <c r="H23" s="33">
        <f t="shared" si="1"/>
        <v>362931233</v>
      </c>
    </row>
    <row r="24" spans="1:8">
      <c r="A24" s="24">
        <v>15</v>
      </c>
      <c r="B24" s="28" t="s">
        <v>51</v>
      </c>
      <c r="C24" s="29">
        <v>32177447</v>
      </c>
      <c r="D24" s="29">
        <v>46499604</v>
      </c>
      <c r="E24" s="30">
        <f t="shared" si="2"/>
        <v>78677051</v>
      </c>
      <c r="F24" s="31">
        <v>38441111</v>
      </c>
      <c r="G24" s="32">
        <v>28177344</v>
      </c>
      <c r="H24" s="33">
        <f t="shared" si="1"/>
        <v>66618455</v>
      </c>
    </row>
    <row r="25" spans="1:8">
      <c r="A25" s="24">
        <v>16</v>
      </c>
      <c r="B25" s="28" t="s">
        <v>52</v>
      </c>
      <c r="C25" s="29">
        <v>72017047</v>
      </c>
      <c r="D25" s="29">
        <v>410743858</v>
      </c>
      <c r="E25" s="30">
        <f t="shared" si="2"/>
        <v>482760905</v>
      </c>
      <c r="F25" s="31">
        <v>17509032</v>
      </c>
      <c r="G25" s="32">
        <v>333664393</v>
      </c>
      <c r="H25" s="33">
        <f t="shared" si="1"/>
        <v>351173425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0</v>
      </c>
      <c r="H27" s="33">
        <f t="shared" si="1"/>
        <v>0</v>
      </c>
    </row>
    <row r="28" spans="1:8">
      <c r="A28" s="24">
        <v>19</v>
      </c>
      <c r="B28" s="28" t="s">
        <v>55</v>
      </c>
      <c r="C28" s="29">
        <v>1972407</v>
      </c>
      <c r="D28" s="29">
        <v>9050724</v>
      </c>
      <c r="E28" s="30">
        <f t="shared" si="2"/>
        <v>11023131</v>
      </c>
      <c r="F28" s="31">
        <v>545069</v>
      </c>
      <c r="G28" s="32">
        <v>8280163</v>
      </c>
      <c r="H28" s="33">
        <f t="shared" si="1"/>
        <v>8825232</v>
      </c>
    </row>
    <row r="29" spans="1:8">
      <c r="A29" s="24">
        <v>20</v>
      </c>
      <c r="B29" s="28" t="s">
        <v>56</v>
      </c>
      <c r="C29" s="29">
        <v>22308908</v>
      </c>
      <c r="D29" s="29">
        <v>9430326</v>
      </c>
      <c r="E29" s="30">
        <f t="shared" si="2"/>
        <v>31739234</v>
      </c>
      <c r="F29" s="31">
        <v>13380795</v>
      </c>
      <c r="G29" s="32">
        <v>5919103</v>
      </c>
      <c r="H29" s="33">
        <f t="shared" si="1"/>
        <v>19299898</v>
      </c>
    </row>
    <row r="30" spans="1:8">
      <c r="A30" s="24">
        <v>21</v>
      </c>
      <c r="B30" s="28" t="s">
        <v>57</v>
      </c>
      <c r="C30" s="29">
        <v>0</v>
      </c>
      <c r="D30" s="29">
        <v>248557680</v>
      </c>
      <c r="E30" s="30">
        <f t="shared" si="2"/>
        <v>248557680</v>
      </c>
      <c r="F30" s="31">
        <v>0</v>
      </c>
      <c r="G30" s="32">
        <v>223413120</v>
      </c>
      <c r="H30" s="33">
        <f t="shared" si="1"/>
        <v>223413120</v>
      </c>
    </row>
    <row r="31" spans="1:8">
      <c r="A31" s="24">
        <v>22</v>
      </c>
      <c r="B31" s="36" t="s">
        <v>58</v>
      </c>
      <c r="C31" s="30">
        <f>SUM(C22:C30)</f>
        <v>177080174</v>
      </c>
      <c r="D31" s="30">
        <f>SUM(D22:D30)</f>
        <v>1056126680</v>
      </c>
      <c r="E31" s="30">
        <f>C31+D31</f>
        <v>1233206854</v>
      </c>
      <c r="F31" s="30">
        <f>SUM(F22:F30)</f>
        <v>151606060</v>
      </c>
      <c r="G31" s="30">
        <f>SUM(G22:G30)</f>
        <v>880810367</v>
      </c>
      <c r="H31" s="33">
        <f t="shared" si="1"/>
        <v>1032416427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 t="s">
        <v>507</v>
      </c>
      <c r="E33" s="30">
        <f>C33</f>
        <v>114430000</v>
      </c>
      <c r="F33" s="31">
        <v>114430000</v>
      </c>
      <c r="G33" s="39"/>
      <c r="H33" s="30">
        <f t="shared" ref="H33:H39" si="3">F33</f>
        <v>114430000</v>
      </c>
    </row>
    <row r="34" spans="1:8">
      <c r="A34" s="24">
        <v>24</v>
      </c>
      <c r="B34" s="28" t="s">
        <v>61</v>
      </c>
      <c r="C34" s="29">
        <v>0</v>
      </c>
      <c r="D34" s="37" t="s">
        <v>507</v>
      </c>
      <c r="E34" s="30">
        <f t="shared" ref="E34:E40" si="4">C34</f>
        <v>0</v>
      </c>
      <c r="F34" s="31">
        <v>0</v>
      </c>
      <c r="G34" s="39"/>
      <c r="H34" s="30">
        <f t="shared" si="3"/>
        <v>0</v>
      </c>
    </row>
    <row r="35" spans="1:8">
      <c r="A35" s="24">
        <v>25</v>
      </c>
      <c r="B35" s="35" t="s">
        <v>62</v>
      </c>
      <c r="C35" s="29">
        <v>0</v>
      </c>
      <c r="D35" s="37" t="s">
        <v>507</v>
      </c>
      <c r="E35" s="30">
        <f t="shared" si="4"/>
        <v>0</v>
      </c>
      <c r="F35" s="31">
        <v>0</v>
      </c>
      <c r="G35" s="39"/>
      <c r="H35" s="30">
        <f t="shared" si="3"/>
        <v>0</v>
      </c>
    </row>
    <row r="36" spans="1:8">
      <c r="A36" s="24">
        <v>26</v>
      </c>
      <c r="B36" s="28" t="s">
        <v>63</v>
      </c>
      <c r="C36" s="29">
        <v>0</v>
      </c>
      <c r="D36" s="37" t="s">
        <v>507</v>
      </c>
      <c r="E36" s="30">
        <f t="shared" si="4"/>
        <v>0</v>
      </c>
      <c r="F36" s="31">
        <v>0</v>
      </c>
      <c r="G36" s="39"/>
      <c r="H36" s="30">
        <f t="shared" si="3"/>
        <v>0</v>
      </c>
    </row>
    <row r="37" spans="1:8">
      <c r="A37" s="24">
        <v>27</v>
      </c>
      <c r="B37" s="28" t="s">
        <v>64</v>
      </c>
      <c r="C37" s="29">
        <v>7438034</v>
      </c>
      <c r="D37" s="37" t="s">
        <v>507</v>
      </c>
      <c r="E37" s="30">
        <f t="shared" si="4"/>
        <v>7438034</v>
      </c>
      <c r="F37" s="31">
        <v>7438034</v>
      </c>
      <c r="G37" s="39"/>
      <c r="H37" s="30">
        <f t="shared" si="3"/>
        <v>7438034</v>
      </c>
    </row>
    <row r="38" spans="1:8">
      <c r="A38" s="24">
        <v>28</v>
      </c>
      <c r="B38" s="28" t="s">
        <v>65</v>
      </c>
      <c r="C38" s="29">
        <v>52203715</v>
      </c>
      <c r="D38" s="37" t="s">
        <v>507</v>
      </c>
      <c r="E38" s="30">
        <f t="shared" si="4"/>
        <v>52203715</v>
      </c>
      <c r="F38" s="31">
        <v>78586491</v>
      </c>
      <c r="G38" s="39"/>
      <c r="H38" s="30">
        <f t="shared" si="3"/>
        <v>78586491</v>
      </c>
    </row>
    <row r="39" spans="1:8">
      <c r="A39" s="24">
        <v>29</v>
      </c>
      <c r="B39" s="28" t="s">
        <v>66</v>
      </c>
      <c r="C39" s="29">
        <v>0</v>
      </c>
      <c r="D39" s="37" t="s">
        <v>507</v>
      </c>
      <c r="E39" s="30">
        <f t="shared" si="4"/>
        <v>0</v>
      </c>
      <c r="F39" s="31">
        <v>0</v>
      </c>
      <c r="G39" s="39"/>
      <c r="H39" s="30">
        <f t="shared" si="3"/>
        <v>0</v>
      </c>
    </row>
    <row r="40" spans="1:8">
      <c r="A40" s="24">
        <v>30</v>
      </c>
      <c r="B40" s="288" t="s">
        <v>270</v>
      </c>
      <c r="C40" s="29">
        <f>SUM(C33:C39)</f>
        <v>174071749</v>
      </c>
      <c r="D40" s="37"/>
      <c r="E40" s="30">
        <f t="shared" si="4"/>
        <v>174071749</v>
      </c>
      <c r="F40" s="31">
        <f>SUM(F33:F39)</f>
        <v>200454525</v>
      </c>
      <c r="G40" s="39"/>
      <c r="H40" s="33">
        <f t="shared" si="1"/>
        <v>200454525</v>
      </c>
    </row>
    <row r="41" spans="1:8" ht="15" thickBot="1">
      <c r="A41" s="41">
        <v>31</v>
      </c>
      <c r="B41" s="42" t="s">
        <v>67</v>
      </c>
      <c r="C41" s="43">
        <f>C31+C40</f>
        <v>351151923</v>
      </c>
      <c r="D41" s="43">
        <f>D31+D40</f>
        <v>1056126680</v>
      </c>
      <c r="E41" s="43">
        <f>C41+D41</f>
        <v>1407278603</v>
      </c>
      <c r="F41" s="43">
        <f>F31+F40</f>
        <v>352060585</v>
      </c>
      <c r="G41" s="43">
        <f>G31+G40</f>
        <v>880810367</v>
      </c>
      <c r="H41" s="44">
        <f>F41+G41</f>
        <v>1232870952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F31" sqref="F31"/>
      <selection pane="topRight" activeCell="F31" sqref="F31"/>
      <selection pane="bottomLeft" activeCell="F31" sqref="F31"/>
      <selection pane="bottomRight" activeCell="B7" sqref="B7"/>
    </sheetView>
  </sheetViews>
  <sheetFormatPr defaultColWidth="9.140625" defaultRowHeight="12.75"/>
  <cols>
    <col min="1" max="1" width="9.5703125" style="4" bestFit="1" customWidth="1"/>
    <col min="2" max="2" width="81.42578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198</v>
      </c>
      <c r="B4" s="240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0" t="s">
        <v>197</v>
      </c>
      <c r="C7" s="56"/>
      <c r="D7" s="56"/>
      <c r="E7" s="56"/>
      <c r="F7" s="56"/>
      <c r="G7" s="56"/>
      <c r="H7" s="57"/>
    </row>
    <row r="8" spans="1:8" ht="15">
      <c r="A8" s="55">
        <v>1</v>
      </c>
      <c r="B8" s="58" t="s">
        <v>196</v>
      </c>
      <c r="C8" s="475">
        <v>1074087</v>
      </c>
      <c r="D8" s="475">
        <v>258196</v>
      </c>
      <c r="E8" s="476">
        <f>C8+D8</f>
        <v>1332283</v>
      </c>
      <c r="F8" s="475">
        <v>2815914</v>
      </c>
      <c r="G8" s="475">
        <v>1260071</v>
      </c>
      <c r="H8" s="485">
        <f>F8+G8</f>
        <v>4075985</v>
      </c>
    </row>
    <row r="9" spans="1:8" ht="15">
      <c r="A9" s="55">
        <v>2</v>
      </c>
      <c r="B9" s="58" t="s">
        <v>195</v>
      </c>
      <c r="C9" s="477">
        <f>SUM(C10:C18)</f>
        <v>20310035</v>
      </c>
      <c r="D9" s="477">
        <f>SUM(D10:D18)</f>
        <v>30620708</v>
      </c>
      <c r="E9" s="476">
        <f t="shared" ref="E9:E66" si="0">C9+D9</f>
        <v>50930743</v>
      </c>
      <c r="F9" s="477">
        <f>SUM(F10:F18)</f>
        <v>17868668</v>
      </c>
      <c r="G9" s="477">
        <f>SUM(G10:G18)</f>
        <v>32635655</v>
      </c>
      <c r="H9" s="485">
        <f t="shared" ref="H9:H66" si="1">F9+G9</f>
        <v>50504323</v>
      </c>
    </row>
    <row r="10" spans="1:8" ht="15">
      <c r="A10" s="55">
        <v>2.1</v>
      </c>
      <c r="B10" s="59" t="s">
        <v>194</v>
      </c>
      <c r="C10" s="475">
        <v>0</v>
      </c>
      <c r="D10" s="475">
        <v>0</v>
      </c>
      <c r="E10" s="476">
        <f t="shared" si="0"/>
        <v>0</v>
      </c>
      <c r="F10" s="475">
        <v>0</v>
      </c>
      <c r="G10" s="475">
        <v>0</v>
      </c>
      <c r="H10" s="485">
        <f t="shared" si="1"/>
        <v>0</v>
      </c>
    </row>
    <row r="11" spans="1:8" ht="15">
      <c r="A11" s="55">
        <v>2.2000000000000002</v>
      </c>
      <c r="B11" s="59" t="s">
        <v>193</v>
      </c>
      <c r="C11" s="475">
        <v>8729685.6400000025</v>
      </c>
      <c r="D11" s="475">
        <v>11884908.33</v>
      </c>
      <c r="E11" s="476">
        <f t="shared" si="0"/>
        <v>20614593.970000003</v>
      </c>
      <c r="F11" s="475">
        <v>8081335.0999999987</v>
      </c>
      <c r="G11" s="475">
        <v>13088336.359999999</v>
      </c>
      <c r="H11" s="485">
        <f t="shared" si="1"/>
        <v>21169671.459999997</v>
      </c>
    </row>
    <row r="12" spans="1:8" ht="15">
      <c r="A12" s="55">
        <v>2.2999999999999998</v>
      </c>
      <c r="B12" s="59" t="s">
        <v>192</v>
      </c>
      <c r="C12" s="475">
        <v>111.56</v>
      </c>
      <c r="D12" s="475">
        <v>652409.41999999993</v>
      </c>
      <c r="E12" s="476">
        <f t="shared" si="0"/>
        <v>652520.98</v>
      </c>
      <c r="F12" s="475">
        <v>801.95</v>
      </c>
      <c r="G12" s="475">
        <v>163152.76</v>
      </c>
      <c r="H12" s="485">
        <f t="shared" si="1"/>
        <v>163954.71000000002</v>
      </c>
    </row>
    <row r="13" spans="1:8" ht="15">
      <c r="A13" s="55">
        <v>2.4</v>
      </c>
      <c r="B13" s="59" t="s">
        <v>191</v>
      </c>
      <c r="C13" s="475">
        <v>1419686.2700000003</v>
      </c>
      <c r="D13" s="475">
        <v>1371362.08</v>
      </c>
      <c r="E13" s="476">
        <f t="shared" si="0"/>
        <v>2791048.3500000006</v>
      </c>
      <c r="F13" s="475">
        <v>1328500.8999999999</v>
      </c>
      <c r="G13" s="475">
        <v>2223598.08</v>
      </c>
      <c r="H13" s="485">
        <f t="shared" si="1"/>
        <v>3552098.98</v>
      </c>
    </row>
    <row r="14" spans="1:8" ht="15">
      <c r="A14" s="55">
        <v>2.5</v>
      </c>
      <c r="B14" s="59" t="s">
        <v>190</v>
      </c>
      <c r="C14" s="475">
        <v>3304100.92</v>
      </c>
      <c r="D14" s="475">
        <v>4078110.8899999997</v>
      </c>
      <c r="E14" s="476">
        <f t="shared" si="0"/>
        <v>7382211.8099999996</v>
      </c>
      <c r="F14" s="475">
        <v>3095165.25</v>
      </c>
      <c r="G14" s="475">
        <v>3513918.4500000007</v>
      </c>
      <c r="H14" s="485">
        <f t="shared" si="1"/>
        <v>6609083.7000000011</v>
      </c>
    </row>
    <row r="15" spans="1:8" ht="15">
      <c r="A15" s="55">
        <v>2.6</v>
      </c>
      <c r="B15" s="59" t="s">
        <v>189</v>
      </c>
      <c r="C15" s="475">
        <v>3658325.2499999995</v>
      </c>
      <c r="D15" s="475">
        <v>3007758.36</v>
      </c>
      <c r="E15" s="476">
        <f t="shared" si="0"/>
        <v>6666083.6099999994</v>
      </c>
      <c r="F15" s="475">
        <v>3072219.37</v>
      </c>
      <c r="G15" s="475">
        <v>5202359.41</v>
      </c>
      <c r="H15" s="485">
        <f t="shared" si="1"/>
        <v>8274578.7800000003</v>
      </c>
    </row>
    <row r="16" spans="1:8" ht="15">
      <c r="A16" s="55">
        <v>2.7</v>
      </c>
      <c r="B16" s="59" t="s">
        <v>188</v>
      </c>
      <c r="C16" s="475">
        <v>6540.37</v>
      </c>
      <c r="D16" s="475">
        <v>9683.82</v>
      </c>
      <c r="E16" s="476">
        <f t="shared" si="0"/>
        <v>16224.189999999999</v>
      </c>
      <c r="F16" s="475">
        <v>7761.8</v>
      </c>
      <c r="G16" s="475">
        <v>687093.41999999993</v>
      </c>
      <c r="H16" s="485">
        <f t="shared" si="1"/>
        <v>694855.22</v>
      </c>
    </row>
    <row r="17" spans="1:8" ht="15">
      <c r="A17" s="55">
        <v>2.8</v>
      </c>
      <c r="B17" s="59" t="s">
        <v>187</v>
      </c>
      <c r="C17" s="475">
        <v>771367</v>
      </c>
      <c r="D17" s="475">
        <v>2360463</v>
      </c>
      <c r="E17" s="476">
        <f t="shared" si="0"/>
        <v>3131830</v>
      </c>
      <c r="F17" s="475">
        <v>511529</v>
      </c>
      <c r="G17" s="475">
        <v>2452696</v>
      </c>
      <c r="H17" s="485">
        <f t="shared" si="1"/>
        <v>2964225</v>
      </c>
    </row>
    <row r="18" spans="1:8" ht="15">
      <c r="A18" s="55">
        <v>2.9</v>
      </c>
      <c r="B18" s="59" t="s">
        <v>186</v>
      </c>
      <c r="C18" s="475">
        <v>2420217.9899999984</v>
      </c>
      <c r="D18" s="475">
        <v>7256012.1000000015</v>
      </c>
      <c r="E18" s="476">
        <f t="shared" si="0"/>
        <v>9676230.0899999999</v>
      </c>
      <c r="F18" s="475">
        <v>1771354.629999999</v>
      </c>
      <c r="G18" s="475">
        <v>5304500.5200000033</v>
      </c>
      <c r="H18" s="485">
        <f t="shared" si="1"/>
        <v>7075855.1500000022</v>
      </c>
    </row>
    <row r="19" spans="1:8" ht="15">
      <c r="A19" s="55">
        <v>3</v>
      </c>
      <c r="B19" s="58" t="s">
        <v>185</v>
      </c>
      <c r="C19" s="475">
        <v>481431</v>
      </c>
      <c r="D19" s="475">
        <v>1298834</v>
      </c>
      <c r="E19" s="476">
        <f t="shared" si="0"/>
        <v>1780265</v>
      </c>
      <c r="F19" s="475">
        <v>1893587</v>
      </c>
      <c r="G19" s="475">
        <v>6866605</v>
      </c>
      <c r="H19" s="485">
        <f t="shared" si="1"/>
        <v>8760192</v>
      </c>
    </row>
    <row r="20" spans="1:8" ht="15">
      <c r="A20" s="55">
        <v>4</v>
      </c>
      <c r="B20" s="58" t="s">
        <v>184</v>
      </c>
      <c r="C20" s="475">
        <v>1028152</v>
      </c>
      <c r="D20" s="475">
        <v>0</v>
      </c>
      <c r="E20" s="476">
        <f t="shared" si="0"/>
        <v>1028152</v>
      </c>
      <c r="F20" s="475">
        <v>772965</v>
      </c>
      <c r="G20" s="475">
        <v>0</v>
      </c>
      <c r="H20" s="485">
        <f t="shared" si="1"/>
        <v>772965</v>
      </c>
    </row>
    <row r="21" spans="1:8" ht="15">
      <c r="A21" s="55">
        <v>5</v>
      </c>
      <c r="B21" s="58" t="s">
        <v>183</v>
      </c>
      <c r="C21" s="475">
        <v>0</v>
      </c>
      <c r="D21" s="475">
        <v>17689</v>
      </c>
      <c r="E21" s="476">
        <f t="shared" si="0"/>
        <v>17689</v>
      </c>
      <c r="F21" s="475">
        <v>0</v>
      </c>
      <c r="G21" s="475">
        <v>63365</v>
      </c>
      <c r="H21" s="485">
        <f>F21+G21</f>
        <v>63365</v>
      </c>
    </row>
    <row r="22" spans="1:8" ht="15">
      <c r="A22" s="55">
        <v>6</v>
      </c>
      <c r="B22" s="60" t="s">
        <v>182</v>
      </c>
      <c r="C22" s="477">
        <f>C8+C9+C19+C20+C21</f>
        <v>22893705</v>
      </c>
      <c r="D22" s="477">
        <f>D8+D9+D19+D20+D21</f>
        <v>32195427</v>
      </c>
      <c r="E22" s="476">
        <f>C22+D22</f>
        <v>55089132</v>
      </c>
      <c r="F22" s="477">
        <f>F8+F9+F19+F20+F21</f>
        <v>23351134</v>
      </c>
      <c r="G22" s="477">
        <f>G8+G9+G19+G20+G21</f>
        <v>40825696</v>
      </c>
      <c r="H22" s="485">
        <f>F22+G22</f>
        <v>64176830</v>
      </c>
    </row>
    <row r="23" spans="1:8" ht="15">
      <c r="A23" s="55"/>
      <c r="B23" s="240" t="s">
        <v>181</v>
      </c>
      <c r="C23" s="475"/>
      <c r="D23" s="475"/>
      <c r="E23" s="478"/>
      <c r="F23" s="475"/>
      <c r="G23" s="475"/>
      <c r="H23" s="486"/>
    </row>
    <row r="24" spans="1:8" ht="15">
      <c r="A24" s="55">
        <v>7</v>
      </c>
      <c r="B24" s="58" t="s">
        <v>180</v>
      </c>
      <c r="C24" s="475">
        <v>694143</v>
      </c>
      <c r="D24" s="475">
        <v>529720</v>
      </c>
      <c r="E24" s="476">
        <f t="shared" si="0"/>
        <v>1223863</v>
      </c>
      <c r="F24" s="475">
        <v>2171691</v>
      </c>
      <c r="G24" s="475">
        <v>112673</v>
      </c>
      <c r="H24" s="485">
        <f t="shared" si="1"/>
        <v>2284364</v>
      </c>
    </row>
    <row r="25" spans="1:8" ht="15">
      <c r="A25" s="55">
        <v>8</v>
      </c>
      <c r="B25" s="58" t="s">
        <v>179</v>
      </c>
      <c r="C25" s="475">
        <v>3824216</v>
      </c>
      <c r="D25" s="475">
        <v>11109258</v>
      </c>
      <c r="E25" s="476">
        <f t="shared" si="0"/>
        <v>14933474</v>
      </c>
      <c r="F25" s="475">
        <v>888321</v>
      </c>
      <c r="G25" s="475">
        <v>10538784</v>
      </c>
      <c r="H25" s="485">
        <f t="shared" si="1"/>
        <v>11427105</v>
      </c>
    </row>
    <row r="26" spans="1:8" ht="15">
      <c r="A26" s="55">
        <v>9</v>
      </c>
      <c r="B26" s="58" t="s">
        <v>178</v>
      </c>
      <c r="C26" s="475">
        <v>50885</v>
      </c>
      <c r="D26" s="475">
        <v>361</v>
      </c>
      <c r="E26" s="476">
        <f t="shared" si="0"/>
        <v>51246</v>
      </c>
      <c r="F26" s="475">
        <v>12297</v>
      </c>
      <c r="G26" s="475">
        <v>359589</v>
      </c>
      <c r="H26" s="485">
        <f t="shared" si="1"/>
        <v>371886</v>
      </c>
    </row>
    <row r="27" spans="1:8" ht="15">
      <c r="A27" s="55">
        <v>10</v>
      </c>
      <c r="B27" s="58" t="s">
        <v>177</v>
      </c>
      <c r="C27" s="475">
        <v>0</v>
      </c>
      <c r="D27" s="475">
        <v>0</v>
      </c>
      <c r="E27" s="476">
        <f t="shared" si="0"/>
        <v>0</v>
      </c>
      <c r="F27" s="475">
        <v>0</v>
      </c>
      <c r="G27" s="475">
        <v>0</v>
      </c>
      <c r="H27" s="485">
        <f t="shared" si="1"/>
        <v>0</v>
      </c>
    </row>
    <row r="28" spans="1:8" ht="15">
      <c r="A28" s="55">
        <v>11</v>
      </c>
      <c r="B28" s="58" t="s">
        <v>176</v>
      </c>
      <c r="C28" s="475">
        <v>0</v>
      </c>
      <c r="D28" s="475">
        <v>8864567</v>
      </c>
      <c r="E28" s="476">
        <f t="shared" si="0"/>
        <v>8864567</v>
      </c>
      <c r="F28" s="475">
        <v>0</v>
      </c>
      <c r="G28" s="475">
        <v>7117367</v>
      </c>
      <c r="H28" s="485">
        <f t="shared" si="1"/>
        <v>7117367</v>
      </c>
    </row>
    <row r="29" spans="1:8" ht="15">
      <c r="A29" s="55">
        <v>12</v>
      </c>
      <c r="B29" s="58" t="s">
        <v>175</v>
      </c>
      <c r="C29" s="475"/>
      <c r="D29" s="475"/>
      <c r="E29" s="476">
        <f t="shared" si="0"/>
        <v>0</v>
      </c>
      <c r="F29" s="475"/>
      <c r="G29" s="475"/>
      <c r="H29" s="485">
        <f t="shared" si="1"/>
        <v>0</v>
      </c>
    </row>
    <row r="30" spans="1:8" ht="15">
      <c r="A30" s="55">
        <v>13</v>
      </c>
      <c r="B30" s="61" t="s">
        <v>174</v>
      </c>
      <c r="C30" s="477">
        <f>SUM(C24:C29)</f>
        <v>4569244</v>
      </c>
      <c r="D30" s="477">
        <f>SUM(D24:D29)</f>
        <v>20503906</v>
      </c>
      <c r="E30" s="476">
        <f t="shared" si="0"/>
        <v>25073150</v>
      </c>
      <c r="F30" s="477">
        <f>SUM(F24:F29)</f>
        <v>3072309</v>
      </c>
      <c r="G30" s="477">
        <f>SUM(G24:G29)</f>
        <v>18128413</v>
      </c>
      <c r="H30" s="485">
        <f t="shared" si="1"/>
        <v>21200722</v>
      </c>
    </row>
    <row r="31" spans="1:8" ht="15">
      <c r="A31" s="55">
        <v>14</v>
      </c>
      <c r="B31" s="61" t="s">
        <v>173</v>
      </c>
      <c r="C31" s="477">
        <f>C22-C30</f>
        <v>18324461</v>
      </c>
      <c r="D31" s="477">
        <f>D22-D30</f>
        <v>11691521</v>
      </c>
      <c r="E31" s="476">
        <f t="shared" si="0"/>
        <v>30015982</v>
      </c>
      <c r="F31" s="477">
        <f>F22-F30</f>
        <v>20278825</v>
      </c>
      <c r="G31" s="477">
        <f>G22-G30</f>
        <v>22697283</v>
      </c>
      <c r="H31" s="485">
        <f t="shared" si="1"/>
        <v>42976108</v>
      </c>
    </row>
    <row r="32" spans="1:8">
      <c r="A32" s="55"/>
      <c r="B32" s="62"/>
      <c r="C32" s="479"/>
      <c r="D32" s="479"/>
      <c r="E32" s="479"/>
      <c r="F32" s="479"/>
      <c r="G32" s="479"/>
      <c r="H32" s="487"/>
    </row>
    <row r="33" spans="1:8" ht="15">
      <c r="A33" s="55"/>
      <c r="B33" s="62" t="s">
        <v>172</v>
      </c>
      <c r="C33" s="475"/>
      <c r="D33" s="475"/>
      <c r="E33" s="478"/>
      <c r="F33" s="475"/>
      <c r="G33" s="475"/>
      <c r="H33" s="486"/>
    </row>
    <row r="34" spans="1:8" ht="15">
      <c r="A34" s="55">
        <v>15</v>
      </c>
      <c r="B34" s="63" t="s">
        <v>171</v>
      </c>
      <c r="C34" s="480">
        <f>C35-C36</f>
        <v>-234377</v>
      </c>
      <c r="D34" s="480">
        <f>D35-D36</f>
        <v>-3172109</v>
      </c>
      <c r="E34" s="476">
        <f t="shared" si="0"/>
        <v>-3406486</v>
      </c>
      <c r="F34" s="480">
        <f>F35-F36</f>
        <v>406590</v>
      </c>
      <c r="G34" s="480">
        <f>G35-G36</f>
        <v>-4281094</v>
      </c>
      <c r="H34" s="485">
        <f t="shared" si="1"/>
        <v>-3874504</v>
      </c>
    </row>
    <row r="35" spans="1:8" ht="15">
      <c r="A35" s="55">
        <v>15.1</v>
      </c>
      <c r="B35" s="59" t="s">
        <v>170</v>
      </c>
      <c r="C35" s="475">
        <v>1933866</v>
      </c>
      <c r="D35" s="475">
        <v>1395049</v>
      </c>
      <c r="E35" s="476">
        <f t="shared" si="0"/>
        <v>3328915</v>
      </c>
      <c r="F35" s="475">
        <v>2475548</v>
      </c>
      <c r="G35" s="475">
        <v>1414370</v>
      </c>
      <c r="H35" s="485">
        <f t="shared" si="1"/>
        <v>3889918</v>
      </c>
    </row>
    <row r="36" spans="1:8" ht="15">
      <c r="A36" s="55">
        <v>15.2</v>
      </c>
      <c r="B36" s="59" t="s">
        <v>169</v>
      </c>
      <c r="C36" s="475">
        <v>2168243</v>
      </c>
      <c r="D36" s="475">
        <v>4567158</v>
      </c>
      <c r="E36" s="476">
        <f t="shared" si="0"/>
        <v>6735401</v>
      </c>
      <c r="F36" s="475">
        <v>2068958</v>
      </c>
      <c r="G36" s="475">
        <v>5695464</v>
      </c>
      <c r="H36" s="485">
        <f t="shared" si="1"/>
        <v>7764422</v>
      </c>
    </row>
    <row r="37" spans="1:8" ht="15">
      <c r="A37" s="55">
        <v>16</v>
      </c>
      <c r="B37" s="58" t="s">
        <v>168</v>
      </c>
      <c r="C37" s="475">
        <v>0</v>
      </c>
      <c r="D37" s="475">
        <v>0</v>
      </c>
      <c r="E37" s="476">
        <f t="shared" si="0"/>
        <v>0</v>
      </c>
      <c r="F37" s="475">
        <v>0</v>
      </c>
      <c r="G37" s="475">
        <v>0</v>
      </c>
      <c r="H37" s="485">
        <f t="shared" si="1"/>
        <v>0</v>
      </c>
    </row>
    <row r="38" spans="1:8" ht="15">
      <c r="A38" s="55">
        <v>17</v>
      </c>
      <c r="B38" s="58" t="s">
        <v>167</v>
      </c>
      <c r="C38" s="475">
        <v>1602915</v>
      </c>
      <c r="D38" s="475">
        <v>0</v>
      </c>
      <c r="E38" s="476">
        <f t="shared" si="0"/>
        <v>1602915</v>
      </c>
      <c r="F38" s="475">
        <v>43170</v>
      </c>
      <c r="G38" s="475">
        <v>0</v>
      </c>
      <c r="H38" s="485">
        <f t="shared" si="1"/>
        <v>43170</v>
      </c>
    </row>
    <row r="39" spans="1:8" ht="15">
      <c r="A39" s="55">
        <v>18</v>
      </c>
      <c r="B39" s="58" t="s">
        <v>166</v>
      </c>
      <c r="C39" s="475">
        <v>157476</v>
      </c>
      <c r="D39" s="475">
        <v>1264681</v>
      </c>
      <c r="E39" s="476">
        <f t="shared" si="0"/>
        <v>1422157</v>
      </c>
      <c r="F39" s="475">
        <v>22393</v>
      </c>
      <c r="G39" s="475">
        <v>782942</v>
      </c>
      <c r="H39" s="485">
        <f t="shared" si="1"/>
        <v>805335</v>
      </c>
    </row>
    <row r="40" spans="1:8" ht="15">
      <c r="A40" s="55">
        <v>19</v>
      </c>
      <c r="B40" s="58" t="s">
        <v>165</v>
      </c>
      <c r="C40" s="475">
        <v>4849443</v>
      </c>
      <c r="D40" s="475"/>
      <c r="E40" s="476">
        <f t="shared" si="0"/>
        <v>4849443</v>
      </c>
      <c r="F40" s="475">
        <v>4045408</v>
      </c>
      <c r="G40" s="475"/>
      <c r="H40" s="485">
        <f t="shared" si="1"/>
        <v>4045408</v>
      </c>
    </row>
    <row r="41" spans="1:8" ht="15">
      <c r="A41" s="55">
        <v>20</v>
      </c>
      <c r="B41" s="58" t="s">
        <v>164</v>
      </c>
      <c r="C41" s="475">
        <v>650628</v>
      </c>
      <c r="D41" s="475"/>
      <c r="E41" s="476">
        <f t="shared" si="0"/>
        <v>650628</v>
      </c>
      <c r="F41" s="475">
        <v>-4348895</v>
      </c>
      <c r="G41" s="475"/>
      <c r="H41" s="485">
        <f t="shared" si="1"/>
        <v>-4348895</v>
      </c>
    </row>
    <row r="42" spans="1:8" ht="15">
      <c r="A42" s="55">
        <v>21</v>
      </c>
      <c r="B42" s="58" t="s">
        <v>163</v>
      </c>
      <c r="C42" s="475">
        <v>10973</v>
      </c>
      <c r="D42" s="475">
        <v>0</v>
      </c>
      <c r="E42" s="476">
        <f t="shared" si="0"/>
        <v>10973</v>
      </c>
      <c r="F42" s="475">
        <v>38608</v>
      </c>
      <c r="G42" s="475">
        <v>0</v>
      </c>
      <c r="H42" s="485">
        <f t="shared" si="1"/>
        <v>38608</v>
      </c>
    </row>
    <row r="43" spans="1:8" ht="15">
      <c r="A43" s="55">
        <v>22</v>
      </c>
      <c r="B43" s="58" t="s">
        <v>162</v>
      </c>
      <c r="C43" s="475">
        <v>1016921</v>
      </c>
      <c r="D43" s="475">
        <v>232530</v>
      </c>
      <c r="E43" s="476">
        <f t="shared" si="0"/>
        <v>1249451</v>
      </c>
      <c r="F43" s="475">
        <v>1134775</v>
      </c>
      <c r="G43" s="475">
        <v>735174</v>
      </c>
      <c r="H43" s="485">
        <f t="shared" si="1"/>
        <v>1869949</v>
      </c>
    </row>
    <row r="44" spans="1:8" ht="15">
      <c r="A44" s="55">
        <v>23</v>
      </c>
      <c r="B44" s="58" t="s">
        <v>161</v>
      </c>
      <c r="C44" s="475">
        <v>1023984</v>
      </c>
      <c r="D44" s="475">
        <v>63351</v>
      </c>
      <c r="E44" s="476">
        <f t="shared" si="0"/>
        <v>1087335</v>
      </c>
      <c r="F44" s="475">
        <v>698663</v>
      </c>
      <c r="G44" s="475">
        <v>6077</v>
      </c>
      <c r="H44" s="485">
        <f t="shared" si="1"/>
        <v>704740</v>
      </c>
    </row>
    <row r="45" spans="1:8" ht="15">
      <c r="A45" s="55">
        <v>24</v>
      </c>
      <c r="B45" s="61" t="s">
        <v>277</v>
      </c>
      <c r="C45" s="477">
        <f>C34+C37+C38+C39+C40+C41+C42+C43+C44</f>
        <v>9077963</v>
      </c>
      <c r="D45" s="477">
        <f>D34+D37+D38+D39+D40+D41+D42+D43+D44</f>
        <v>-1611547</v>
      </c>
      <c r="E45" s="476">
        <f t="shared" si="0"/>
        <v>7466416</v>
      </c>
      <c r="F45" s="477">
        <f>F34+F37+F38+F39+F40+F41+F42+F43+F44</f>
        <v>2040712</v>
      </c>
      <c r="G45" s="477">
        <f>G34+G37+G38+G39+G40+G41+G42+G43+G44</f>
        <v>-2756901</v>
      </c>
      <c r="H45" s="485">
        <f t="shared" si="1"/>
        <v>-716189</v>
      </c>
    </row>
    <row r="46" spans="1:8">
      <c r="A46" s="55"/>
      <c r="B46" s="240" t="s">
        <v>160</v>
      </c>
      <c r="C46" s="475"/>
      <c r="D46" s="475"/>
      <c r="E46" s="475"/>
      <c r="F46" s="475"/>
      <c r="G46" s="475"/>
      <c r="H46" s="488"/>
    </row>
    <row r="47" spans="1:8" ht="15">
      <c r="A47" s="55">
        <v>25</v>
      </c>
      <c r="B47" s="58" t="s">
        <v>159</v>
      </c>
      <c r="C47" s="475">
        <v>576026</v>
      </c>
      <c r="D47" s="475">
        <v>23023</v>
      </c>
      <c r="E47" s="476">
        <f t="shared" si="0"/>
        <v>599049</v>
      </c>
      <c r="F47" s="475">
        <v>670332</v>
      </c>
      <c r="G47" s="475">
        <v>159091</v>
      </c>
      <c r="H47" s="485">
        <f t="shared" si="1"/>
        <v>829423</v>
      </c>
    </row>
    <row r="48" spans="1:8" ht="15">
      <c r="A48" s="55">
        <v>26</v>
      </c>
      <c r="B48" s="58" t="s">
        <v>158</v>
      </c>
      <c r="C48" s="475">
        <v>433322</v>
      </c>
      <c r="D48" s="475">
        <v>33813</v>
      </c>
      <c r="E48" s="476">
        <f t="shared" si="0"/>
        <v>467135</v>
      </c>
      <c r="F48" s="475">
        <v>376009</v>
      </c>
      <c r="G48" s="475">
        <v>85746</v>
      </c>
      <c r="H48" s="485">
        <f t="shared" si="1"/>
        <v>461755</v>
      </c>
    </row>
    <row r="49" spans="1:8" ht="15">
      <c r="A49" s="55">
        <v>27</v>
      </c>
      <c r="B49" s="58" t="s">
        <v>157</v>
      </c>
      <c r="C49" s="475">
        <v>9562886</v>
      </c>
      <c r="D49" s="475"/>
      <c r="E49" s="476">
        <f t="shared" si="0"/>
        <v>9562886</v>
      </c>
      <c r="F49" s="475">
        <v>9288320</v>
      </c>
      <c r="G49" s="475"/>
      <c r="H49" s="485">
        <f t="shared" si="1"/>
        <v>9288320</v>
      </c>
    </row>
    <row r="50" spans="1:8" ht="15">
      <c r="A50" s="55">
        <v>28</v>
      </c>
      <c r="B50" s="58" t="s">
        <v>156</v>
      </c>
      <c r="C50" s="475">
        <v>55934</v>
      </c>
      <c r="D50" s="475"/>
      <c r="E50" s="476">
        <f t="shared" si="0"/>
        <v>55934</v>
      </c>
      <c r="F50" s="475">
        <v>63463</v>
      </c>
      <c r="G50" s="475"/>
      <c r="H50" s="485">
        <f t="shared" si="1"/>
        <v>63463</v>
      </c>
    </row>
    <row r="51" spans="1:8" ht="15">
      <c r="A51" s="55">
        <v>29</v>
      </c>
      <c r="B51" s="58" t="s">
        <v>155</v>
      </c>
      <c r="C51" s="475">
        <v>3237254</v>
      </c>
      <c r="D51" s="475"/>
      <c r="E51" s="476">
        <f t="shared" si="0"/>
        <v>3237254</v>
      </c>
      <c r="F51" s="475">
        <v>3053757</v>
      </c>
      <c r="G51" s="475"/>
      <c r="H51" s="485">
        <f t="shared" si="1"/>
        <v>3053757</v>
      </c>
    </row>
    <row r="52" spans="1:8" ht="15">
      <c r="A52" s="55">
        <v>30</v>
      </c>
      <c r="B52" s="58" t="s">
        <v>154</v>
      </c>
      <c r="C52" s="475">
        <v>3004953</v>
      </c>
      <c r="D52" s="475">
        <v>136104</v>
      </c>
      <c r="E52" s="476">
        <f t="shared" si="0"/>
        <v>3141057</v>
      </c>
      <c r="F52" s="475">
        <v>3161955</v>
      </c>
      <c r="G52" s="475">
        <v>445322</v>
      </c>
      <c r="H52" s="485">
        <f t="shared" si="1"/>
        <v>3607277</v>
      </c>
    </row>
    <row r="53" spans="1:8" ht="15">
      <c r="A53" s="55">
        <v>31</v>
      </c>
      <c r="B53" s="61" t="s">
        <v>278</v>
      </c>
      <c r="C53" s="477">
        <f>C47+C48+C49+C50+C51+C52</f>
        <v>16870375</v>
      </c>
      <c r="D53" s="477">
        <f>D47+D48+D49+D50+D51+D52</f>
        <v>192940</v>
      </c>
      <c r="E53" s="476">
        <f t="shared" si="0"/>
        <v>17063315</v>
      </c>
      <c r="F53" s="477">
        <f>F47+F48+F49+F50+F51+F52</f>
        <v>16613836</v>
      </c>
      <c r="G53" s="477">
        <f>G47+G48+G49+G50+G51+G52</f>
        <v>690159</v>
      </c>
      <c r="H53" s="485">
        <f t="shared" si="1"/>
        <v>17303995</v>
      </c>
    </row>
    <row r="54" spans="1:8" ht="15">
      <c r="A54" s="55">
        <v>32</v>
      </c>
      <c r="B54" s="61" t="s">
        <v>279</v>
      </c>
      <c r="C54" s="477">
        <f>C45-C53</f>
        <v>-7792412</v>
      </c>
      <c r="D54" s="477">
        <f>D45-D53</f>
        <v>-1804487</v>
      </c>
      <c r="E54" s="476">
        <f t="shared" si="0"/>
        <v>-9596899</v>
      </c>
      <c r="F54" s="477">
        <f>F45-F53</f>
        <v>-14573124</v>
      </c>
      <c r="G54" s="477">
        <f>G45-G53</f>
        <v>-3447060</v>
      </c>
      <c r="H54" s="485">
        <f t="shared" si="1"/>
        <v>-18020184</v>
      </c>
    </row>
    <row r="55" spans="1:8">
      <c r="A55" s="55"/>
      <c r="B55" s="62"/>
      <c r="C55" s="479"/>
      <c r="D55" s="479"/>
      <c r="E55" s="479"/>
      <c r="F55" s="479"/>
      <c r="G55" s="479"/>
      <c r="H55" s="487"/>
    </row>
    <row r="56" spans="1:8" ht="15">
      <c r="A56" s="55">
        <v>33</v>
      </c>
      <c r="B56" s="61" t="s">
        <v>153</v>
      </c>
      <c r="C56" s="477">
        <f>C31+C54</f>
        <v>10532049</v>
      </c>
      <c r="D56" s="477">
        <f>D31+D54</f>
        <v>9887034</v>
      </c>
      <c r="E56" s="476">
        <f t="shared" si="0"/>
        <v>20419083</v>
      </c>
      <c r="F56" s="477">
        <f>F31+F54</f>
        <v>5705701</v>
      </c>
      <c r="G56" s="477">
        <f>G31+G54</f>
        <v>19250223</v>
      </c>
      <c r="H56" s="485">
        <f t="shared" si="1"/>
        <v>24955924</v>
      </c>
    </row>
    <row r="57" spans="1:8">
      <c r="A57" s="55"/>
      <c r="B57" s="62"/>
      <c r="C57" s="479"/>
      <c r="D57" s="479"/>
      <c r="E57" s="479"/>
      <c r="F57" s="479"/>
      <c r="G57" s="479"/>
      <c r="H57" s="487"/>
    </row>
    <row r="58" spans="1:8" ht="15">
      <c r="A58" s="55">
        <v>34</v>
      </c>
      <c r="B58" s="58" t="s">
        <v>152</v>
      </c>
      <c r="C58" s="475">
        <v>44100371</v>
      </c>
      <c r="D58" s="475"/>
      <c r="E58" s="476">
        <f>C58</f>
        <v>44100371</v>
      </c>
      <c r="F58" s="475">
        <v>374382</v>
      </c>
      <c r="G58" s="475"/>
      <c r="H58" s="485">
        <f>F58</f>
        <v>374382</v>
      </c>
    </row>
    <row r="59" spans="1:8" s="241" customFormat="1" ht="15">
      <c r="A59" s="55">
        <v>35</v>
      </c>
      <c r="B59" s="58" t="s">
        <v>151</v>
      </c>
      <c r="C59" s="481">
        <v>-1309033</v>
      </c>
      <c r="D59" s="481"/>
      <c r="E59" s="482">
        <f>C59</f>
        <v>-1309033</v>
      </c>
      <c r="F59" s="483">
        <v>-635261</v>
      </c>
      <c r="G59" s="483"/>
      <c r="H59" s="489">
        <f>F59</f>
        <v>-635261</v>
      </c>
    </row>
    <row r="60" spans="1:8" ht="15">
      <c r="A60" s="55">
        <v>36</v>
      </c>
      <c r="B60" s="58" t="s">
        <v>150</v>
      </c>
      <c r="C60" s="475">
        <v>13183944</v>
      </c>
      <c r="D60" s="475"/>
      <c r="E60" s="476">
        <f>C60</f>
        <v>13183944</v>
      </c>
      <c r="F60" s="475">
        <v>2852039</v>
      </c>
      <c r="G60" s="475"/>
      <c r="H60" s="485">
        <f>F60</f>
        <v>2852039</v>
      </c>
    </row>
    <row r="61" spans="1:8" ht="15">
      <c r="A61" s="55">
        <v>37</v>
      </c>
      <c r="B61" s="61" t="s">
        <v>149</v>
      </c>
      <c r="C61" s="477">
        <f>C58+C59+C60</f>
        <v>55975282</v>
      </c>
      <c r="D61" s="477">
        <f>D58+D59+D60</f>
        <v>0</v>
      </c>
      <c r="E61" s="476">
        <f t="shared" si="0"/>
        <v>55975282</v>
      </c>
      <c r="F61" s="477">
        <f>F58+F59+F60</f>
        <v>2591160</v>
      </c>
      <c r="G61" s="477">
        <f>G58+G59+G60</f>
        <v>0</v>
      </c>
      <c r="H61" s="485">
        <f t="shared" si="1"/>
        <v>2591160</v>
      </c>
    </row>
    <row r="62" spans="1:8">
      <c r="A62" s="55"/>
      <c r="B62" s="64"/>
      <c r="C62" s="475"/>
      <c r="D62" s="475"/>
      <c r="E62" s="475"/>
      <c r="F62" s="475"/>
      <c r="G62" s="475"/>
      <c r="H62" s="488"/>
    </row>
    <row r="63" spans="1:8" ht="15">
      <c r="A63" s="55">
        <v>38</v>
      </c>
      <c r="B63" s="65" t="s">
        <v>148</v>
      </c>
      <c r="C63" s="477">
        <f>C56-C61</f>
        <v>-45443233</v>
      </c>
      <c r="D63" s="477">
        <f>D56-D61</f>
        <v>9887034</v>
      </c>
      <c r="E63" s="476">
        <f t="shared" si="0"/>
        <v>-35556199</v>
      </c>
      <c r="F63" s="477">
        <f>F56-F61</f>
        <v>3114541</v>
      </c>
      <c r="G63" s="477">
        <f>G56-G61</f>
        <v>19250223</v>
      </c>
      <c r="H63" s="485">
        <f t="shared" si="1"/>
        <v>22364764</v>
      </c>
    </row>
    <row r="64" spans="1:8" ht="15">
      <c r="A64" s="51">
        <v>39</v>
      </c>
      <c r="B64" s="58" t="s">
        <v>147</v>
      </c>
      <c r="C64" s="484">
        <v>-5619115</v>
      </c>
      <c r="D64" s="484"/>
      <c r="E64" s="476">
        <f t="shared" si="0"/>
        <v>-5619115</v>
      </c>
      <c r="F64" s="484">
        <v>3469702</v>
      </c>
      <c r="G64" s="484"/>
      <c r="H64" s="485">
        <f t="shared" si="1"/>
        <v>3469702</v>
      </c>
    </row>
    <row r="65" spans="1:8" ht="15">
      <c r="A65" s="55">
        <v>40</v>
      </c>
      <c r="B65" s="61" t="s">
        <v>146</v>
      </c>
      <c r="C65" s="477">
        <f>C63-C64</f>
        <v>-39824118</v>
      </c>
      <c r="D65" s="477">
        <f>D63-D64</f>
        <v>9887034</v>
      </c>
      <c r="E65" s="476">
        <f t="shared" si="0"/>
        <v>-29937084</v>
      </c>
      <c r="F65" s="477">
        <f>F63-F64</f>
        <v>-355161</v>
      </c>
      <c r="G65" s="477">
        <f>G63-G64</f>
        <v>19250223</v>
      </c>
      <c r="H65" s="485">
        <f t="shared" si="1"/>
        <v>18895062</v>
      </c>
    </row>
    <row r="66" spans="1:8" ht="15">
      <c r="A66" s="51">
        <v>41</v>
      </c>
      <c r="B66" s="58" t="s">
        <v>145</v>
      </c>
      <c r="C66" s="484">
        <v>0</v>
      </c>
      <c r="D66" s="484"/>
      <c r="E66" s="476">
        <f t="shared" si="0"/>
        <v>0</v>
      </c>
      <c r="F66" s="484">
        <v>-246</v>
      </c>
      <c r="G66" s="484"/>
      <c r="H66" s="485">
        <f t="shared" si="1"/>
        <v>-246</v>
      </c>
    </row>
    <row r="67" spans="1:8" ht="15.75" thickBot="1">
      <c r="A67" s="66">
        <v>42</v>
      </c>
      <c r="B67" s="67" t="s">
        <v>144</v>
      </c>
      <c r="C67" s="490">
        <f>C65+C66</f>
        <v>-39824118</v>
      </c>
      <c r="D67" s="490">
        <f>D65+D66</f>
        <v>9887034</v>
      </c>
      <c r="E67" s="491">
        <f>C67+D67</f>
        <v>-29937084</v>
      </c>
      <c r="F67" s="490">
        <f>F65+F66</f>
        <v>-355407</v>
      </c>
      <c r="G67" s="490">
        <f>G65+G66</f>
        <v>19250223</v>
      </c>
      <c r="H67" s="492">
        <f>F67+G67</f>
        <v>18894816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3.5703125" style="5" customWidth="1"/>
    <col min="9" max="16384" width="9.14062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69">
        <f>'1. key ratios '!B2</f>
        <v>44104</v>
      </c>
    </row>
    <row r="3" spans="1:8">
      <c r="A3" s="4"/>
    </row>
    <row r="4" spans="1:8" ht="15" thickBot="1">
      <c r="A4" s="4" t="s">
        <v>74</v>
      </c>
      <c r="B4" s="4"/>
      <c r="C4" s="218"/>
      <c r="D4" s="218"/>
      <c r="E4" s="218"/>
      <c r="F4" s="219"/>
      <c r="G4" s="219"/>
      <c r="H4" s="220" t="s">
        <v>73</v>
      </c>
    </row>
    <row r="5" spans="1:8">
      <c r="A5" s="539" t="s">
        <v>6</v>
      </c>
      <c r="B5" s="541" t="s">
        <v>344</v>
      </c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40"/>
      <c r="B6" s="542"/>
      <c r="C6" s="26" t="s">
        <v>291</v>
      </c>
      <c r="D6" s="26" t="s">
        <v>121</v>
      </c>
      <c r="E6" s="26" t="s">
        <v>108</v>
      </c>
      <c r="F6" s="26" t="s">
        <v>291</v>
      </c>
      <c r="G6" s="26" t="s">
        <v>121</v>
      </c>
      <c r="H6" s="27" t="s">
        <v>108</v>
      </c>
    </row>
    <row r="7" spans="1:8" s="15" customFormat="1">
      <c r="A7" s="221">
        <v>1</v>
      </c>
      <c r="B7" s="222" t="s">
        <v>378</v>
      </c>
      <c r="C7" s="32"/>
      <c r="D7" s="32"/>
      <c r="E7" s="223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1">
        <v>1.1000000000000001</v>
      </c>
      <c r="B8" s="276" t="s">
        <v>309</v>
      </c>
      <c r="C8" s="32">
        <v>18336605</v>
      </c>
      <c r="D8" s="32">
        <v>9994901</v>
      </c>
      <c r="E8" s="223">
        <f>C8+D8</f>
        <v>28331506</v>
      </c>
      <c r="F8" s="32">
        <v>21068886</v>
      </c>
      <c r="G8" s="32">
        <v>28512238</v>
      </c>
      <c r="H8" s="33">
        <f t="shared" si="0"/>
        <v>49581124</v>
      </c>
    </row>
    <row r="9" spans="1:8" s="15" customFormat="1">
      <c r="A9" s="221">
        <v>1.2</v>
      </c>
      <c r="B9" s="276" t="s">
        <v>310</v>
      </c>
      <c r="C9" s="32"/>
      <c r="D9" s="32"/>
      <c r="E9" s="223">
        <f t="shared" ref="E9:E52" si="1">C9+D9</f>
        <v>0</v>
      </c>
      <c r="F9" s="32"/>
      <c r="G9" s="32">
        <v>733791</v>
      </c>
      <c r="H9" s="33">
        <f t="shared" si="0"/>
        <v>733791</v>
      </c>
    </row>
    <row r="10" spans="1:8" s="15" customFormat="1">
      <c r="A10" s="221">
        <v>1.3</v>
      </c>
      <c r="B10" s="276" t="s">
        <v>311</v>
      </c>
      <c r="C10" s="32">
        <v>29275630</v>
      </c>
      <c r="D10" s="32">
        <v>17239287</v>
      </c>
      <c r="E10" s="223">
        <f t="shared" si="1"/>
        <v>46514917</v>
      </c>
      <c r="F10" s="32">
        <v>12456564</v>
      </c>
      <c r="G10" s="32">
        <v>18238177</v>
      </c>
      <c r="H10" s="33">
        <f t="shared" si="0"/>
        <v>30694741</v>
      </c>
    </row>
    <row r="11" spans="1:8" s="15" customFormat="1">
      <c r="A11" s="221">
        <v>1.4</v>
      </c>
      <c r="B11" s="276" t="s">
        <v>292</v>
      </c>
      <c r="C11" s="32">
        <v>20729</v>
      </c>
      <c r="D11" s="32">
        <v>0</v>
      </c>
      <c r="E11" s="223">
        <f t="shared" si="1"/>
        <v>20729</v>
      </c>
      <c r="F11" s="32">
        <v>12464</v>
      </c>
      <c r="G11" s="32">
        <f>733791-G9</f>
        <v>0</v>
      </c>
      <c r="H11" s="33">
        <f t="shared" si="0"/>
        <v>12464</v>
      </c>
    </row>
    <row r="12" spans="1:8" s="15" customFormat="1" ht="29.25" customHeight="1">
      <c r="A12" s="221">
        <v>2</v>
      </c>
      <c r="B12" s="225" t="s">
        <v>313</v>
      </c>
      <c r="C12" s="32"/>
      <c r="D12" s="32"/>
      <c r="E12" s="223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1">
        <v>3</v>
      </c>
      <c r="B13" s="225" t="s">
        <v>312</v>
      </c>
      <c r="C13" s="32"/>
      <c r="D13" s="32"/>
      <c r="E13" s="223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1">
        <v>3.1</v>
      </c>
      <c r="B14" s="277" t="s">
        <v>293</v>
      </c>
      <c r="C14" s="32"/>
      <c r="D14" s="32"/>
      <c r="E14" s="223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1">
        <v>3.2</v>
      </c>
      <c r="B15" s="277" t="s">
        <v>294</v>
      </c>
      <c r="C15" s="32"/>
      <c r="D15" s="32"/>
      <c r="E15" s="223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1">
        <v>4</v>
      </c>
      <c r="B16" s="280" t="s">
        <v>323</v>
      </c>
      <c r="C16" s="32"/>
      <c r="D16" s="32"/>
      <c r="E16" s="223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1">
        <v>4.0999999999999996</v>
      </c>
      <c r="B17" s="277" t="s">
        <v>314</v>
      </c>
      <c r="C17" s="32">
        <v>8661128.8327211104</v>
      </c>
      <c r="D17" s="32">
        <v>7089427.5919341538</v>
      </c>
      <c r="E17" s="223">
        <f t="shared" si="1"/>
        <v>15750556.424655264</v>
      </c>
      <c r="F17" s="32">
        <v>8555044.8208025433</v>
      </c>
      <c r="G17" s="32">
        <v>7366303.8588102292</v>
      </c>
      <c r="H17" s="33">
        <f t="shared" si="0"/>
        <v>15921348.679612773</v>
      </c>
    </row>
    <row r="18" spans="1:8" s="15" customFormat="1">
      <c r="A18" s="221">
        <v>4.2</v>
      </c>
      <c r="B18" s="277" t="s">
        <v>308</v>
      </c>
      <c r="C18" s="32">
        <v>136597797.56523067</v>
      </c>
      <c r="D18" s="32">
        <v>399109572.49631786</v>
      </c>
      <c r="E18" s="223">
        <f t="shared" si="1"/>
        <v>535707370.06154853</v>
      </c>
      <c r="F18" s="32">
        <v>145316332.81075639</v>
      </c>
      <c r="G18" s="32">
        <v>295942593.15748608</v>
      </c>
      <c r="H18" s="33">
        <f t="shared" si="0"/>
        <v>441258925.96824247</v>
      </c>
    </row>
    <row r="19" spans="1:8" s="15" customFormat="1">
      <c r="A19" s="221">
        <v>5</v>
      </c>
      <c r="B19" s="225" t="s">
        <v>322</v>
      </c>
      <c r="C19" s="32"/>
      <c r="D19" s="32"/>
      <c r="E19" s="223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1">
        <v>5.0999999999999996</v>
      </c>
      <c r="B20" s="278" t="s">
        <v>297</v>
      </c>
      <c r="C20" s="32">
        <v>577450.01000000013</v>
      </c>
      <c r="D20" s="32">
        <v>37008346.155388005</v>
      </c>
      <c r="E20" s="223">
        <f t="shared" si="1"/>
        <v>37585796.165388003</v>
      </c>
      <c r="F20" s="32">
        <v>271777.77999999997</v>
      </c>
      <c r="G20" s="32">
        <v>11312105.896862</v>
      </c>
      <c r="H20" s="33">
        <f t="shared" si="0"/>
        <v>11583883.676862</v>
      </c>
    </row>
    <row r="21" spans="1:8" s="15" customFormat="1">
      <c r="A21" s="221">
        <v>5.2</v>
      </c>
      <c r="B21" s="278" t="s">
        <v>296</v>
      </c>
      <c r="C21" s="32">
        <v>0</v>
      </c>
      <c r="D21" s="32">
        <v>0</v>
      </c>
      <c r="E21" s="223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1">
        <v>5.3</v>
      </c>
      <c r="B22" s="278" t="s">
        <v>295</v>
      </c>
      <c r="C22" s="32">
        <v>17688364</v>
      </c>
      <c r="D22" s="32">
        <v>2034564891.4408026</v>
      </c>
      <c r="E22" s="223">
        <f t="shared" si="1"/>
        <v>2052253255.4408026</v>
      </c>
      <c r="F22" s="32">
        <v>26233310.400000002</v>
      </c>
      <c r="G22" s="32">
        <v>1859365654.0265951</v>
      </c>
      <c r="H22" s="33">
        <f t="shared" si="0"/>
        <v>1885598964.4265952</v>
      </c>
    </row>
    <row r="23" spans="1:8" s="15" customFormat="1">
      <c r="A23" s="221" t="s">
        <v>15</v>
      </c>
      <c r="B23" s="226" t="s">
        <v>75</v>
      </c>
      <c r="C23" s="32">
        <v>328780</v>
      </c>
      <c r="D23" s="32">
        <v>185009594.32806396</v>
      </c>
      <c r="E23" s="223">
        <f t="shared" si="1"/>
        <v>185338374.32806396</v>
      </c>
      <c r="F23" s="32">
        <v>245281.59999999998</v>
      </c>
      <c r="G23" s="32">
        <v>195001411.11838627</v>
      </c>
      <c r="H23" s="33">
        <f t="shared" si="0"/>
        <v>195246692.71838626</v>
      </c>
    </row>
    <row r="24" spans="1:8" s="15" customFormat="1">
      <c r="A24" s="221" t="s">
        <v>16</v>
      </c>
      <c r="B24" s="226" t="s">
        <v>76</v>
      </c>
      <c r="C24" s="32">
        <v>838389</v>
      </c>
      <c r="D24" s="32">
        <v>1038000974.5723</v>
      </c>
      <c r="E24" s="223">
        <f t="shared" si="1"/>
        <v>1038839363.5723</v>
      </c>
      <c r="F24" s="32">
        <v>9991531.200000003</v>
      </c>
      <c r="G24" s="32">
        <v>941549766.50789762</v>
      </c>
      <c r="H24" s="33">
        <f t="shared" si="0"/>
        <v>951541297.70789766</v>
      </c>
    </row>
    <row r="25" spans="1:8" s="15" customFormat="1">
      <c r="A25" s="221" t="s">
        <v>17</v>
      </c>
      <c r="B25" s="226" t="s">
        <v>77</v>
      </c>
      <c r="C25" s="32">
        <v>0</v>
      </c>
      <c r="D25" s="32">
        <v>212485960.66663432</v>
      </c>
      <c r="E25" s="223">
        <f t="shared" si="1"/>
        <v>212485960.66663432</v>
      </c>
      <c r="F25" s="32">
        <v>0</v>
      </c>
      <c r="G25" s="32">
        <v>188464921.8448</v>
      </c>
      <c r="H25" s="33">
        <f t="shared" si="0"/>
        <v>188464921.8448</v>
      </c>
    </row>
    <row r="26" spans="1:8" s="15" customFormat="1">
      <c r="A26" s="221" t="s">
        <v>18</v>
      </c>
      <c r="B26" s="226" t="s">
        <v>78</v>
      </c>
      <c r="C26" s="32">
        <v>16521195</v>
      </c>
      <c r="D26" s="32">
        <v>495090416.72669321</v>
      </c>
      <c r="E26" s="223">
        <f t="shared" si="1"/>
        <v>511611611.72669321</v>
      </c>
      <c r="F26" s="32">
        <v>15996497.6</v>
      </c>
      <c r="G26" s="32">
        <v>486672130.87551117</v>
      </c>
      <c r="H26" s="33">
        <f t="shared" si="0"/>
        <v>502668628.47551119</v>
      </c>
    </row>
    <row r="27" spans="1:8" s="15" customFormat="1">
      <c r="A27" s="221" t="s">
        <v>19</v>
      </c>
      <c r="B27" s="226" t="s">
        <v>79</v>
      </c>
      <c r="C27" s="32">
        <v>0</v>
      </c>
      <c r="D27" s="32">
        <v>103977945.14711112</v>
      </c>
      <c r="E27" s="223">
        <f t="shared" si="1"/>
        <v>103977945.14711112</v>
      </c>
      <c r="F27" s="32">
        <v>0</v>
      </c>
      <c r="G27" s="32">
        <v>47677423.68</v>
      </c>
      <c r="H27" s="33">
        <f t="shared" si="0"/>
        <v>47677423.68</v>
      </c>
    </row>
    <row r="28" spans="1:8" s="15" customFormat="1">
      <c r="A28" s="221">
        <v>5.4</v>
      </c>
      <c r="B28" s="278" t="s">
        <v>298</v>
      </c>
      <c r="C28" s="32">
        <v>246311017.66981941</v>
      </c>
      <c r="D28" s="32">
        <v>431714243.98869896</v>
      </c>
      <c r="E28" s="223">
        <f t="shared" si="1"/>
        <v>678025261.65851831</v>
      </c>
      <c r="F28" s="32">
        <v>165430346.88313597</v>
      </c>
      <c r="G28" s="32">
        <v>232604044.13439563</v>
      </c>
      <c r="H28" s="33">
        <f t="shared" si="0"/>
        <v>398034391.01753163</v>
      </c>
    </row>
    <row r="29" spans="1:8" s="15" customFormat="1">
      <c r="A29" s="221">
        <v>5.5</v>
      </c>
      <c r="B29" s="278" t="s">
        <v>299</v>
      </c>
      <c r="C29" s="32">
        <v>12670043</v>
      </c>
      <c r="D29" s="32">
        <v>171475215.5756</v>
      </c>
      <c r="E29" s="223">
        <f t="shared" si="1"/>
        <v>184145258.5756</v>
      </c>
      <c r="F29" s="32">
        <v>12681043</v>
      </c>
      <c r="G29" s="32">
        <v>149991181.9104</v>
      </c>
      <c r="H29" s="33">
        <f t="shared" si="0"/>
        <v>162672224.9104</v>
      </c>
    </row>
    <row r="30" spans="1:8" s="15" customFormat="1">
      <c r="A30" s="221">
        <v>5.6</v>
      </c>
      <c r="B30" s="278" t="s">
        <v>300</v>
      </c>
      <c r="C30" s="32">
        <v>0</v>
      </c>
      <c r="D30" s="32">
        <v>5096090</v>
      </c>
      <c r="E30" s="223">
        <f t="shared" si="1"/>
        <v>5096090</v>
      </c>
      <c r="F30" s="32">
        <v>0</v>
      </c>
      <c r="G30" s="32">
        <v>4580560</v>
      </c>
      <c r="H30" s="33">
        <f t="shared" si="0"/>
        <v>4580560</v>
      </c>
    </row>
    <row r="31" spans="1:8" s="15" customFormat="1">
      <c r="A31" s="221">
        <v>5.7</v>
      </c>
      <c r="B31" s="278" t="s">
        <v>79</v>
      </c>
      <c r="C31" s="32">
        <v>23120083.710000001</v>
      </c>
      <c r="D31" s="32">
        <v>94241722.770399958</v>
      </c>
      <c r="E31" s="223">
        <f t="shared" si="1"/>
        <v>117361806.48039997</v>
      </c>
      <c r="F31" s="32">
        <v>6176201</v>
      </c>
      <c r="G31" s="32">
        <v>91728692.841600001</v>
      </c>
      <c r="H31" s="33">
        <f t="shared" si="0"/>
        <v>97904893.841600001</v>
      </c>
    </row>
    <row r="32" spans="1:8" s="15" customFormat="1">
      <c r="A32" s="221">
        <v>6</v>
      </c>
      <c r="B32" s="225" t="s">
        <v>328</v>
      </c>
      <c r="C32" s="32"/>
      <c r="D32" s="32"/>
      <c r="E32" s="223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1">
        <v>6.1</v>
      </c>
      <c r="B33" s="279" t="s">
        <v>318</v>
      </c>
      <c r="C33" s="32"/>
      <c r="D33" s="32"/>
      <c r="E33" s="223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1">
        <v>6.2</v>
      </c>
      <c r="B34" s="279" t="s">
        <v>319</v>
      </c>
      <c r="C34" s="32"/>
      <c r="D34" s="32"/>
      <c r="E34" s="223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1">
        <v>6.3</v>
      </c>
      <c r="B35" s="279" t="s">
        <v>315</v>
      </c>
      <c r="C35" s="32"/>
      <c r="D35" s="32"/>
      <c r="E35" s="223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1">
        <v>6.4</v>
      </c>
      <c r="B36" s="279" t="s">
        <v>316</v>
      </c>
      <c r="C36" s="32"/>
      <c r="D36" s="32"/>
      <c r="E36" s="223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1">
        <v>6.5</v>
      </c>
      <c r="B37" s="279" t="s">
        <v>317</v>
      </c>
      <c r="C37" s="32"/>
      <c r="D37" s="32"/>
      <c r="E37" s="223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1">
        <v>6.6</v>
      </c>
      <c r="B38" s="279" t="s">
        <v>320</v>
      </c>
      <c r="C38" s="32"/>
      <c r="D38" s="32"/>
      <c r="E38" s="223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1">
        <v>6.7</v>
      </c>
      <c r="B39" s="279" t="s">
        <v>321</v>
      </c>
      <c r="C39" s="32"/>
      <c r="D39" s="32"/>
      <c r="E39" s="223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1">
        <v>7</v>
      </c>
      <c r="B40" s="225" t="s">
        <v>324</v>
      </c>
      <c r="C40" s="32"/>
      <c r="D40" s="32"/>
      <c r="E40" s="223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1">
        <v>7.1</v>
      </c>
      <c r="B41" s="224" t="s">
        <v>325</v>
      </c>
      <c r="C41" s="32">
        <v>0</v>
      </c>
      <c r="D41" s="32">
        <v>143082.62</v>
      </c>
      <c r="E41" s="223">
        <f t="shared" si="1"/>
        <v>143082.62</v>
      </c>
      <c r="F41" s="32">
        <v>271164.48</v>
      </c>
      <c r="G41" s="32">
        <v>1370423.43</v>
      </c>
      <c r="H41" s="33">
        <f t="shared" si="0"/>
        <v>1641587.91</v>
      </c>
    </row>
    <row r="42" spans="1:8" s="15" customFormat="1" ht="25.5">
      <c r="A42" s="221">
        <v>7.2</v>
      </c>
      <c r="B42" s="224" t="s">
        <v>326</v>
      </c>
      <c r="C42" s="32">
        <v>2472070.4300000197</v>
      </c>
      <c r="D42" s="32">
        <v>5654908.6000000201</v>
      </c>
      <c r="E42" s="223">
        <f t="shared" si="1"/>
        <v>8126979.0300000403</v>
      </c>
      <c r="F42" s="32">
        <v>3530405.779999957</v>
      </c>
      <c r="G42" s="32">
        <v>7900169.8099999754</v>
      </c>
      <c r="H42" s="33">
        <f t="shared" si="0"/>
        <v>11430575.589999933</v>
      </c>
    </row>
    <row r="43" spans="1:8" s="15" customFormat="1" ht="25.5">
      <c r="A43" s="221">
        <v>7.3</v>
      </c>
      <c r="B43" s="224" t="s">
        <v>329</v>
      </c>
      <c r="C43" s="32">
        <v>3303710.1599999992</v>
      </c>
      <c r="D43" s="32">
        <v>7302155.5600000005</v>
      </c>
      <c r="E43" s="223">
        <f t="shared" si="1"/>
        <v>10605865.719999999</v>
      </c>
      <c r="F43" s="32">
        <v>3274453.9299999992</v>
      </c>
      <c r="G43" s="32">
        <v>8134136.629999999</v>
      </c>
      <c r="H43" s="33">
        <f t="shared" si="0"/>
        <v>11408590.559999999</v>
      </c>
    </row>
    <row r="44" spans="1:8" s="15" customFormat="1" ht="25.5">
      <c r="A44" s="221">
        <v>7.4</v>
      </c>
      <c r="B44" s="224" t="s">
        <v>330</v>
      </c>
      <c r="C44" s="32">
        <v>60746690.059996404</v>
      </c>
      <c r="D44" s="32">
        <v>130626558.96000335</v>
      </c>
      <c r="E44" s="223">
        <f t="shared" si="1"/>
        <v>191373249.01999974</v>
      </c>
      <c r="F44" s="32">
        <v>59069748.469995819</v>
      </c>
      <c r="G44" s="32">
        <v>126919890.95999922</v>
      </c>
      <c r="H44" s="33">
        <f t="shared" si="0"/>
        <v>185989639.42999503</v>
      </c>
    </row>
    <row r="45" spans="1:8" s="15" customFormat="1">
      <c r="A45" s="221">
        <v>8</v>
      </c>
      <c r="B45" s="225" t="s">
        <v>307</v>
      </c>
      <c r="C45" s="32">
        <f>SUM(C46:C52)</f>
        <v>866963.65735200013</v>
      </c>
      <c r="D45" s="32">
        <f>SUM(D46:D52)</f>
        <v>0</v>
      </c>
      <c r="E45" s="223">
        <f>SUM(E46:E52)</f>
        <v>866963.65735200013</v>
      </c>
      <c r="F45" s="32">
        <f>SUM(F46:F52)</f>
        <v>3095533.4775680001</v>
      </c>
      <c r="G45" s="32">
        <f>SUM(G46:G52)</f>
        <v>0</v>
      </c>
      <c r="H45" s="33">
        <f t="shared" si="0"/>
        <v>3095533.4775680001</v>
      </c>
    </row>
    <row r="46" spans="1:8" s="15" customFormat="1">
      <c r="A46" s="221">
        <v>8.1</v>
      </c>
      <c r="B46" s="277" t="s">
        <v>331</v>
      </c>
      <c r="C46" s="32">
        <v>104788.47235199998</v>
      </c>
      <c r="D46" s="32">
        <v>0</v>
      </c>
      <c r="E46" s="223">
        <f t="shared" si="1"/>
        <v>104788.47235199998</v>
      </c>
      <c r="F46" s="32">
        <v>59807.290368000002</v>
      </c>
      <c r="G46" s="32">
        <v>0</v>
      </c>
      <c r="H46" s="33">
        <f t="shared" si="0"/>
        <v>59807.290368000002</v>
      </c>
    </row>
    <row r="47" spans="1:8" s="15" customFormat="1">
      <c r="A47" s="221">
        <v>8.1999999999999993</v>
      </c>
      <c r="B47" s="277" t="s">
        <v>332</v>
      </c>
      <c r="C47" s="32">
        <v>712836.29000000015</v>
      </c>
      <c r="D47" s="32">
        <v>0</v>
      </c>
      <c r="E47" s="223">
        <f t="shared" si="1"/>
        <v>712836.29000000015</v>
      </c>
      <c r="F47" s="32">
        <v>1970990.3344000001</v>
      </c>
      <c r="G47" s="32">
        <v>0</v>
      </c>
      <c r="H47" s="33">
        <f t="shared" si="0"/>
        <v>1970990.3344000001</v>
      </c>
    </row>
    <row r="48" spans="1:8" s="15" customFormat="1">
      <c r="A48" s="221">
        <v>8.3000000000000007</v>
      </c>
      <c r="B48" s="277" t="s">
        <v>333</v>
      </c>
      <c r="C48" s="32">
        <v>32505.735000000001</v>
      </c>
      <c r="D48" s="32">
        <v>0</v>
      </c>
      <c r="E48" s="223">
        <f t="shared" si="1"/>
        <v>32505.735000000001</v>
      </c>
      <c r="F48" s="32">
        <v>1064735.8528</v>
      </c>
      <c r="G48" s="32">
        <v>0</v>
      </c>
      <c r="H48" s="33">
        <f t="shared" si="0"/>
        <v>1064735.8528</v>
      </c>
    </row>
    <row r="49" spans="1:8" s="15" customFormat="1">
      <c r="A49" s="221">
        <v>8.4</v>
      </c>
      <c r="B49" s="277" t="s">
        <v>334</v>
      </c>
      <c r="C49" s="32">
        <v>11133.16</v>
      </c>
      <c r="D49" s="32">
        <v>0</v>
      </c>
      <c r="E49" s="223">
        <f t="shared" si="1"/>
        <v>11133.16</v>
      </c>
      <c r="F49" s="32">
        <v>0</v>
      </c>
      <c r="G49" s="32">
        <v>0</v>
      </c>
      <c r="H49" s="33">
        <f t="shared" si="0"/>
        <v>0</v>
      </c>
    </row>
    <row r="50" spans="1:8" s="15" customFormat="1">
      <c r="A50" s="221">
        <v>8.5</v>
      </c>
      <c r="B50" s="277" t="s">
        <v>335</v>
      </c>
      <c r="C50" s="32">
        <v>3600</v>
      </c>
      <c r="D50" s="32">
        <v>0</v>
      </c>
      <c r="E50" s="223">
        <f t="shared" si="1"/>
        <v>3600</v>
      </c>
      <c r="F50" s="32">
        <v>0</v>
      </c>
      <c r="G50" s="32">
        <v>0</v>
      </c>
      <c r="H50" s="33">
        <f t="shared" si="0"/>
        <v>0</v>
      </c>
    </row>
    <row r="51" spans="1:8" s="15" customFormat="1">
      <c r="A51" s="221">
        <v>8.6</v>
      </c>
      <c r="B51" s="277" t="s">
        <v>336</v>
      </c>
      <c r="C51" s="32">
        <v>2100</v>
      </c>
      <c r="D51" s="32">
        <v>0</v>
      </c>
      <c r="E51" s="223">
        <f t="shared" si="1"/>
        <v>2100</v>
      </c>
      <c r="F51" s="32">
        <v>0</v>
      </c>
      <c r="G51" s="32">
        <v>0</v>
      </c>
      <c r="H51" s="33">
        <f t="shared" si="0"/>
        <v>0</v>
      </c>
    </row>
    <row r="52" spans="1:8" s="15" customFormat="1">
      <c r="A52" s="221">
        <v>8.6999999999999993</v>
      </c>
      <c r="B52" s="277" t="s">
        <v>337</v>
      </c>
      <c r="C52" s="32">
        <v>0</v>
      </c>
      <c r="D52" s="32">
        <v>0</v>
      </c>
      <c r="E52" s="223">
        <f t="shared" si="1"/>
        <v>0</v>
      </c>
      <c r="F52" s="32">
        <v>0</v>
      </c>
      <c r="G52" s="32">
        <v>0</v>
      </c>
      <c r="H52" s="33">
        <f t="shared" si="0"/>
        <v>0</v>
      </c>
    </row>
    <row r="53" spans="1:8" s="15" customFormat="1" ht="15" thickBot="1">
      <c r="A53" s="227">
        <v>9</v>
      </c>
      <c r="B53" s="228" t="s">
        <v>327</v>
      </c>
      <c r="C53" s="229"/>
      <c r="D53" s="229"/>
      <c r="E53" s="230">
        <f t="shared" ref="E53" si="2">C53+D53</f>
        <v>0</v>
      </c>
      <c r="F53" s="229"/>
      <c r="G53" s="229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5" sqref="B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44104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201</v>
      </c>
      <c r="B4" s="164" t="s">
        <v>301</v>
      </c>
      <c r="D4" s="69" t="s">
        <v>73</v>
      </c>
    </row>
    <row r="5" spans="1:8" ht="15" customHeight="1">
      <c r="A5" s="262" t="s">
        <v>6</v>
      </c>
      <c r="B5" s="263"/>
      <c r="C5" s="383" t="s">
        <v>530</v>
      </c>
      <c r="D5" s="384" t="s">
        <v>527</v>
      </c>
    </row>
    <row r="6" spans="1:8" ht="15" customHeight="1">
      <c r="A6" s="70">
        <v>1</v>
      </c>
      <c r="B6" s="374" t="s">
        <v>305</v>
      </c>
      <c r="C6" s="376">
        <f>C7+C9+C10</f>
        <v>1272725474.2449703</v>
      </c>
      <c r="D6" s="377">
        <f>D7+D9+D10</f>
        <v>1239000992.5752771</v>
      </c>
    </row>
    <row r="7" spans="1:8" ht="15" customHeight="1">
      <c r="A7" s="70">
        <v>1.1000000000000001</v>
      </c>
      <c r="B7" s="374" t="s">
        <v>485</v>
      </c>
      <c r="C7" s="378">
        <v>1235182818.0716774</v>
      </c>
      <c r="D7" s="379">
        <v>1208525105.8663049</v>
      </c>
    </row>
    <row r="8" spans="1:8">
      <c r="A8" s="70" t="s">
        <v>14</v>
      </c>
      <c r="B8" s="374" t="s">
        <v>200</v>
      </c>
      <c r="C8" s="378">
        <v>40463667.5</v>
      </c>
      <c r="D8" s="379">
        <v>32970025</v>
      </c>
    </row>
    <row r="9" spans="1:8" ht="15" customHeight="1">
      <c r="A9" s="70">
        <v>1.2</v>
      </c>
      <c r="B9" s="375" t="s">
        <v>199</v>
      </c>
      <c r="C9" s="378">
        <v>36460936.17329295</v>
      </c>
      <c r="D9" s="379">
        <v>29480606.70897219</v>
      </c>
    </row>
    <row r="10" spans="1:8" ht="15" customHeight="1">
      <c r="A10" s="70">
        <v>1.3</v>
      </c>
      <c r="B10" s="374" t="s">
        <v>28</v>
      </c>
      <c r="C10" s="380">
        <v>1081720</v>
      </c>
      <c r="D10" s="379">
        <v>995280</v>
      </c>
    </row>
    <row r="11" spans="1:8" ht="15" customHeight="1">
      <c r="A11" s="70">
        <v>2</v>
      </c>
      <c r="B11" s="374" t="s">
        <v>302</v>
      </c>
      <c r="C11" s="378">
        <v>50231085.158497348</v>
      </c>
      <c r="D11" s="379">
        <v>50457199.406168602</v>
      </c>
    </row>
    <row r="12" spans="1:8" ht="15" customHeight="1">
      <c r="A12" s="70">
        <v>3</v>
      </c>
      <c r="B12" s="374" t="s">
        <v>303</v>
      </c>
      <c r="C12" s="380">
        <v>129231002.49999999</v>
      </c>
      <c r="D12" s="379">
        <v>129231002.49999999</v>
      </c>
    </row>
    <row r="13" spans="1:8" ht="15" customHeight="1" thickBot="1">
      <c r="A13" s="72">
        <v>4</v>
      </c>
      <c r="B13" s="73" t="s">
        <v>304</v>
      </c>
      <c r="C13" s="381">
        <f>C6+C11+C12</f>
        <v>1452187561.9034677</v>
      </c>
      <c r="D13" s="382">
        <f>D6+D11+D12</f>
        <v>1418689194.4814458</v>
      </c>
    </row>
    <row r="14" spans="1:8">
      <c r="B14" s="76"/>
    </row>
    <row r="15" spans="1:8" ht="25.5">
      <c r="B15" s="77" t="s">
        <v>486</v>
      </c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44104</v>
      </c>
    </row>
    <row r="4" spans="1:8" ht="16.5" customHeight="1" thickBot="1">
      <c r="A4" s="78" t="s">
        <v>80</v>
      </c>
      <c r="B4" s="79" t="s">
        <v>271</v>
      </c>
      <c r="C4" s="80"/>
    </row>
    <row r="5" spans="1:8">
      <c r="A5" s="81"/>
      <c r="B5" s="543" t="s">
        <v>81</v>
      </c>
      <c r="C5" s="544"/>
    </row>
    <row r="6" spans="1:8">
      <c r="A6" s="82">
        <v>1</v>
      </c>
      <c r="B6" s="470" t="s">
        <v>494</v>
      </c>
      <c r="C6" s="471"/>
    </row>
    <row r="7" spans="1:8">
      <c r="A7" s="82">
        <v>2</v>
      </c>
      <c r="B7" s="470" t="s">
        <v>497</v>
      </c>
      <c r="C7" s="471"/>
    </row>
    <row r="8" spans="1:8">
      <c r="A8" s="82">
        <v>3</v>
      </c>
      <c r="B8" s="470" t="s">
        <v>498</v>
      </c>
      <c r="C8" s="471"/>
    </row>
    <row r="9" spans="1:8">
      <c r="A9" s="82">
        <v>4</v>
      </c>
      <c r="B9" s="470" t="s">
        <v>499</v>
      </c>
      <c r="C9" s="471"/>
    </row>
    <row r="10" spans="1:8">
      <c r="A10" s="82">
        <v>5</v>
      </c>
      <c r="B10" s="470" t="s">
        <v>500</v>
      </c>
      <c r="C10" s="471"/>
    </row>
    <row r="11" spans="1:8">
      <c r="A11" s="82">
        <v>6</v>
      </c>
      <c r="B11" s="470"/>
      <c r="C11" s="471"/>
    </row>
    <row r="12" spans="1:8">
      <c r="A12" s="82">
        <v>7</v>
      </c>
      <c r="B12" s="470"/>
      <c r="C12" s="471"/>
      <c r="H12" s="83"/>
    </row>
    <row r="13" spans="1:8">
      <c r="A13" s="82">
        <v>8</v>
      </c>
      <c r="B13" s="470"/>
      <c r="C13" s="471"/>
    </row>
    <row r="14" spans="1:8">
      <c r="A14" s="82">
        <v>9</v>
      </c>
      <c r="B14" s="470"/>
      <c r="C14" s="471"/>
    </row>
    <row r="15" spans="1:8">
      <c r="A15" s="82">
        <v>10</v>
      </c>
      <c r="B15" s="470"/>
      <c r="C15" s="471"/>
    </row>
    <row r="16" spans="1:8">
      <c r="A16" s="82"/>
      <c r="B16" s="545"/>
      <c r="C16" s="546"/>
    </row>
    <row r="17" spans="1:3">
      <c r="A17" s="82"/>
      <c r="B17" s="547" t="s">
        <v>82</v>
      </c>
      <c r="C17" s="548"/>
    </row>
    <row r="18" spans="1:3">
      <c r="A18" s="82">
        <v>1</v>
      </c>
      <c r="B18" s="470" t="s">
        <v>495</v>
      </c>
      <c r="C18" s="472"/>
    </row>
    <row r="19" spans="1:3">
      <c r="A19" s="82">
        <v>2</v>
      </c>
      <c r="B19" s="470" t="s">
        <v>501</v>
      </c>
      <c r="C19" s="472"/>
    </row>
    <row r="20" spans="1:3">
      <c r="A20" s="82">
        <v>3</v>
      </c>
      <c r="B20" s="470" t="s">
        <v>502</v>
      </c>
      <c r="C20" s="472"/>
    </row>
    <row r="21" spans="1:3">
      <c r="A21" s="82">
        <v>4</v>
      </c>
      <c r="B21" s="470" t="s">
        <v>503</v>
      </c>
      <c r="C21" s="472"/>
    </row>
    <row r="22" spans="1:3">
      <c r="A22" s="82">
        <v>5</v>
      </c>
      <c r="B22" s="470" t="s">
        <v>504</v>
      </c>
      <c r="C22" s="472"/>
    </row>
    <row r="23" spans="1:3">
      <c r="A23" s="82">
        <v>6</v>
      </c>
      <c r="B23" s="470"/>
      <c r="C23" s="472"/>
    </row>
    <row r="24" spans="1:3">
      <c r="A24" s="82">
        <v>7</v>
      </c>
      <c r="B24" s="470"/>
      <c r="C24" s="472"/>
    </row>
    <row r="25" spans="1:3">
      <c r="A25" s="82">
        <v>8</v>
      </c>
      <c r="B25" s="470"/>
      <c r="C25" s="472"/>
    </row>
    <row r="26" spans="1:3">
      <c r="A26" s="82">
        <v>9</v>
      </c>
      <c r="B26" s="470"/>
      <c r="C26" s="472"/>
    </row>
    <row r="27" spans="1:3" ht="15.75" customHeight="1">
      <c r="A27" s="82">
        <v>10</v>
      </c>
      <c r="B27" s="470"/>
      <c r="C27" s="473"/>
    </row>
    <row r="28" spans="1:3" ht="15.75" customHeight="1">
      <c r="A28" s="82"/>
      <c r="B28" s="470"/>
      <c r="C28" s="473"/>
    </row>
    <row r="29" spans="1:3" ht="30" customHeight="1">
      <c r="A29" s="82"/>
      <c r="B29" s="547" t="s">
        <v>83</v>
      </c>
      <c r="C29" s="548"/>
    </row>
    <row r="30" spans="1:3">
      <c r="A30" s="82">
        <v>1</v>
      </c>
      <c r="B30" s="470" t="s">
        <v>505</v>
      </c>
      <c r="C30" s="474">
        <v>1</v>
      </c>
    </row>
    <row r="31" spans="1:3" ht="15.75" customHeight="1">
      <c r="A31" s="82"/>
      <c r="B31" s="470"/>
      <c r="C31" s="471"/>
    </row>
    <row r="32" spans="1:3" ht="29.25" customHeight="1">
      <c r="A32" s="82"/>
      <c r="B32" s="547" t="s">
        <v>84</v>
      </c>
      <c r="C32" s="548"/>
    </row>
    <row r="33" spans="1:3">
      <c r="A33" s="82">
        <v>1</v>
      </c>
      <c r="B33" s="470" t="s">
        <v>506</v>
      </c>
      <c r="C33" s="474">
        <v>1</v>
      </c>
    </row>
    <row r="34" spans="1:3" ht="15" thickBot="1">
      <c r="A34" s="84"/>
      <c r="B34" s="85"/>
      <c r="C34" s="86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1" t="s">
        <v>30</v>
      </c>
      <c r="B1" s="312" t="str">
        <f>'Info '!C2</f>
        <v>JSC CARTU BANK</v>
      </c>
      <c r="C1" s="100"/>
      <c r="D1" s="100"/>
      <c r="E1" s="100"/>
      <c r="F1" s="15"/>
    </row>
    <row r="2" spans="1:7" s="87" customFormat="1" ht="15.75" customHeight="1">
      <c r="A2" s="311" t="s">
        <v>31</v>
      </c>
      <c r="B2" s="467">
        <f>'1. key ratios '!B2</f>
        <v>44104</v>
      </c>
    </row>
    <row r="3" spans="1:7" s="87" customFormat="1" ht="15.75" customHeight="1">
      <c r="A3" s="311"/>
    </row>
    <row r="4" spans="1:7" s="87" customFormat="1" ht="15.75" customHeight="1" thickBot="1">
      <c r="A4" s="313" t="s">
        <v>205</v>
      </c>
      <c r="B4" s="553" t="s">
        <v>351</v>
      </c>
      <c r="C4" s="554"/>
      <c r="D4" s="554"/>
      <c r="E4" s="554"/>
    </row>
    <row r="5" spans="1:7" s="91" customFormat="1" ht="17.45" customHeight="1">
      <c r="A5" s="242"/>
      <c r="B5" s="243"/>
      <c r="C5" s="89" t="s">
        <v>0</v>
      </c>
      <c r="D5" s="89" t="s">
        <v>1</v>
      </c>
      <c r="E5" s="90" t="s">
        <v>2</v>
      </c>
    </row>
    <row r="6" spans="1:7" s="15" customFormat="1" ht="14.45" customHeight="1">
      <c r="A6" s="314"/>
      <c r="B6" s="549" t="s">
        <v>358</v>
      </c>
      <c r="C6" s="549" t="s">
        <v>92</v>
      </c>
      <c r="D6" s="551" t="s">
        <v>204</v>
      </c>
      <c r="E6" s="552"/>
      <c r="G6" s="5"/>
    </row>
    <row r="7" spans="1:7" s="15" customFormat="1" ht="99.6" customHeight="1">
      <c r="A7" s="314"/>
      <c r="B7" s="550"/>
      <c r="C7" s="549"/>
      <c r="D7" s="350" t="s">
        <v>203</v>
      </c>
      <c r="E7" s="351" t="s">
        <v>359</v>
      </c>
      <c r="G7" s="5"/>
    </row>
    <row r="8" spans="1:7">
      <c r="A8" s="315">
        <v>1</v>
      </c>
      <c r="B8" s="352" t="s">
        <v>35</v>
      </c>
      <c r="C8" s="353">
        <v>31680231</v>
      </c>
      <c r="D8" s="353"/>
      <c r="E8" s="354">
        <v>31680231</v>
      </c>
      <c r="F8" s="15"/>
    </row>
    <row r="9" spans="1:7">
      <c r="A9" s="315">
        <v>2</v>
      </c>
      <c r="B9" s="352" t="s">
        <v>36</v>
      </c>
      <c r="C9" s="353">
        <v>195621737</v>
      </c>
      <c r="D9" s="353"/>
      <c r="E9" s="354">
        <v>195621737</v>
      </c>
      <c r="F9" s="15"/>
    </row>
    <row r="10" spans="1:7">
      <c r="A10" s="315">
        <v>3</v>
      </c>
      <c r="B10" s="352" t="s">
        <v>37</v>
      </c>
      <c r="C10" s="353">
        <v>168383987</v>
      </c>
      <c r="D10" s="353"/>
      <c r="E10" s="354">
        <v>168383987</v>
      </c>
      <c r="F10" s="15"/>
    </row>
    <row r="11" spans="1:7">
      <c r="A11" s="315">
        <v>4</v>
      </c>
      <c r="B11" s="352" t="s">
        <v>38</v>
      </c>
      <c r="C11" s="353">
        <v>0</v>
      </c>
      <c r="D11" s="353"/>
      <c r="E11" s="354">
        <v>0</v>
      </c>
      <c r="F11" s="15"/>
    </row>
    <row r="12" spans="1:7">
      <c r="A12" s="315">
        <v>5</v>
      </c>
      <c r="B12" s="352" t="s">
        <v>39</v>
      </c>
      <c r="C12" s="353">
        <v>62382252</v>
      </c>
      <c r="D12" s="353"/>
      <c r="E12" s="354">
        <v>62382252</v>
      </c>
      <c r="F12" s="15"/>
    </row>
    <row r="13" spans="1:7">
      <c r="A13" s="315">
        <v>6.1</v>
      </c>
      <c r="B13" s="355" t="s">
        <v>40</v>
      </c>
      <c r="C13" s="356">
        <v>1032689447</v>
      </c>
      <c r="D13" s="353"/>
      <c r="E13" s="354">
        <v>1032689447</v>
      </c>
      <c r="F13" s="15"/>
    </row>
    <row r="14" spans="1:7">
      <c r="A14" s="315">
        <v>6.2</v>
      </c>
      <c r="B14" s="357" t="s">
        <v>41</v>
      </c>
      <c r="C14" s="356">
        <v>-177415245</v>
      </c>
      <c r="D14" s="353"/>
      <c r="E14" s="354">
        <v>-177415245</v>
      </c>
      <c r="F14" s="15"/>
    </row>
    <row r="15" spans="1:7">
      <c r="A15" s="315">
        <v>6</v>
      </c>
      <c r="B15" s="352" t="s">
        <v>42</v>
      </c>
      <c r="C15" s="353">
        <v>855274202</v>
      </c>
      <c r="D15" s="353"/>
      <c r="E15" s="354">
        <v>855274202</v>
      </c>
      <c r="F15" s="15"/>
    </row>
    <row r="16" spans="1:7">
      <c r="A16" s="315">
        <v>7</v>
      </c>
      <c r="B16" s="352" t="s">
        <v>43</v>
      </c>
      <c r="C16" s="353">
        <v>14762986</v>
      </c>
      <c r="D16" s="353"/>
      <c r="E16" s="354">
        <v>14762986</v>
      </c>
      <c r="F16" s="15"/>
    </row>
    <row r="17" spans="1:7">
      <c r="A17" s="315">
        <v>8</v>
      </c>
      <c r="B17" s="352" t="s">
        <v>202</v>
      </c>
      <c r="C17" s="353">
        <v>6013426</v>
      </c>
      <c r="D17" s="353"/>
      <c r="E17" s="354">
        <v>6013426</v>
      </c>
      <c r="F17" s="316"/>
      <c r="G17" s="94"/>
    </row>
    <row r="18" spans="1:7">
      <c r="A18" s="315">
        <v>9</v>
      </c>
      <c r="B18" s="352" t="s">
        <v>44</v>
      </c>
      <c r="C18" s="353">
        <v>7793239</v>
      </c>
      <c r="D18" s="353"/>
      <c r="E18" s="354">
        <v>7793239</v>
      </c>
      <c r="F18" s="15"/>
      <c r="G18" s="94"/>
    </row>
    <row r="19" spans="1:7">
      <c r="A19" s="315">
        <v>10</v>
      </c>
      <c r="B19" s="352" t="s">
        <v>45</v>
      </c>
      <c r="C19" s="353">
        <v>21313841</v>
      </c>
      <c r="D19" s="353">
        <v>3736435</v>
      </c>
      <c r="E19" s="354">
        <v>17577406</v>
      </c>
      <c r="F19" s="15"/>
      <c r="G19" s="94"/>
    </row>
    <row r="20" spans="1:7">
      <c r="A20" s="315">
        <v>11</v>
      </c>
      <c r="B20" s="352" t="s">
        <v>46</v>
      </c>
      <c r="C20" s="353">
        <v>44052702</v>
      </c>
      <c r="D20" s="353">
        <v>5619115</v>
      </c>
      <c r="E20" s="354">
        <v>38433587</v>
      </c>
      <c r="F20" s="15"/>
    </row>
    <row r="21" spans="1:7" ht="26.25" thickBot="1">
      <c r="A21" s="185"/>
      <c r="B21" s="317" t="s">
        <v>361</v>
      </c>
      <c r="C21" s="244">
        <f>SUM(C8:C12, C15:C20)</f>
        <v>1407278603</v>
      </c>
      <c r="D21" s="244">
        <f>SUM(D8:D12, D15:D20)</f>
        <v>9355550</v>
      </c>
      <c r="E21" s="358">
        <f>SUM(E8:E12, E15:E20)</f>
        <v>1397923053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5"/>
      <c r="F25" s="5"/>
      <c r="G25" s="5"/>
    </row>
    <row r="26" spans="1:7" s="4" customFormat="1">
      <c r="B26" s="95"/>
      <c r="F26" s="5"/>
      <c r="G26" s="5"/>
    </row>
    <row r="27" spans="1:7" s="4" customFormat="1">
      <c r="B27" s="95"/>
      <c r="F27" s="5"/>
      <c r="G27" s="5"/>
    </row>
    <row r="28" spans="1:7" s="4" customFormat="1">
      <c r="B28" s="95"/>
      <c r="F28" s="5"/>
      <c r="G28" s="5"/>
    </row>
    <row r="29" spans="1:7" s="4" customFormat="1">
      <c r="B29" s="95"/>
      <c r="F29" s="5"/>
      <c r="G29" s="5"/>
    </row>
    <row r="30" spans="1:7" s="4" customFormat="1">
      <c r="B30" s="95"/>
      <c r="F30" s="5"/>
      <c r="G30" s="5"/>
    </row>
    <row r="31" spans="1:7" s="4" customFormat="1">
      <c r="B31" s="95"/>
      <c r="F31" s="5"/>
      <c r="G31" s="5"/>
    </row>
    <row r="32" spans="1:7" s="4" customFormat="1">
      <c r="B32" s="95"/>
      <c r="F32" s="5"/>
      <c r="G32" s="5"/>
    </row>
    <row r="33" spans="2:7" s="4" customFormat="1">
      <c r="B33" s="95"/>
      <c r="F33" s="5"/>
      <c r="G33" s="5"/>
    </row>
    <row r="34" spans="2:7" s="4" customFormat="1">
      <c r="B34" s="95"/>
      <c r="F34" s="5"/>
      <c r="G34" s="5"/>
    </row>
    <row r="35" spans="2:7" s="4" customFormat="1">
      <c r="B35" s="95"/>
      <c r="F35" s="5"/>
      <c r="G35" s="5"/>
    </row>
    <row r="36" spans="2:7" s="4" customFormat="1">
      <c r="B36" s="95"/>
      <c r="F36" s="5"/>
      <c r="G36" s="5"/>
    </row>
    <row r="37" spans="2:7" s="4" customFormat="1">
      <c r="B37" s="9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CARTU BANK</v>
      </c>
    </row>
    <row r="2" spans="1:6" s="87" customFormat="1" ht="15.75" customHeight="1">
      <c r="A2" s="2" t="s">
        <v>31</v>
      </c>
      <c r="B2" s="464">
        <f>'1. key ratios '!B2</f>
        <v>44104</v>
      </c>
      <c r="C2" s="4"/>
      <c r="D2" s="4"/>
      <c r="E2" s="4"/>
      <c r="F2" s="4"/>
    </row>
    <row r="3" spans="1:6" s="87" customFormat="1" ht="15.75" customHeight="1">
      <c r="C3" s="4"/>
      <c r="D3" s="4"/>
      <c r="E3" s="4"/>
      <c r="F3" s="4"/>
    </row>
    <row r="4" spans="1:6" s="87" customFormat="1" ht="13.5" thickBot="1">
      <c r="A4" s="87" t="s">
        <v>85</v>
      </c>
      <c r="B4" s="318" t="s">
        <v>338</v>
      </c>
      <c r="C4" s="88" t="s">
        <v>73</v>
      </c>
      <c r="D4" s="4"/>
      <c r="E4" s="4"/>
      <c r="F4" s="4"/>
    </row>
    <row r="5" spans="1:6">
      <c r="A5" s="249">
        <v>1</v>
      </c>
      <c r="B5" s="319" t="s">
        <v>360</v>
      </c>
      <c r="C5" s="250">
        <f>'7. LI1 '!E21</f>
        <v>1397923053</v>
      </c>
    </row>
    <row r="6" spans="1:6" s="251" customFormat="1">
      <c r="A6" s="96">
        <v>2.1</v>
      </c>
      <c r="B6" s="246" t="s">
        <v>339</v>
      </c>
      <c r="C6" s="173">
        <v>73980617.503007337</v>
      </c>
    </row>
    <row r="7" spans="1:6" s="76" customFormat="1" outlineLevel="1">
      <c r="A7" s="70">
        <v>2.2000000000000002</v>
      </c>
      <c r="B7" s="71" t="s">
        <v>340</v>
      </c>
      <c r="C7" s="252">
        <v>54086000</v>
      </c>
    </row>
    <row r="8" spans="1:6" s="76" customFormat="1" ht="25.5">
      <c r="A8" s="70">
        <v>3</v>
      </c>
      <c r="B8" s="247" t="s">
        <v>341</v>
      </c>
      <c r="C8" s="253">
        <v>1525989670.5030074</v>
      </c>
    </row>
    <row r="9" spans="1:6" s="251" customFormat="1">
      <c r="A9" s="96">
        <v>4</v>
      </c>
      <c r="B9" s="98" t="s">
        <v>87</v>
      </c>
      <c r="C9" s="173">
        <v>12034316</v>
      </c>
    </row>
    <row r="10" spans="1:6" s="76" customFormat="1" outlineLevel="1">
      <c r="A10" s="70">
        <v>5.0999999999999996</v>
      </c>
      <c r="B10" s="71" t="s">
        <v>342</v>
      </c>
      <c r="C10" s="252">
        <v>-36087366.654899672</v>
      </c>
    </row>
    <row r="11" spans="1:6" s="76" customFormat="1" outlineLevel="1">
      <c r="A11" s="70">
        <v>5.2</v>
      </c>
      <c r="B11" s="71" t="s">
        <v>343</v>
      </c>
      <c r="C11" s="252">
        <v>-53004280</v>
      </c>
    </row>
    <row r="12" spans="1:6" s="76" customFormat="1">
      <c r="A12" s="70">
        <v>6</v>
      </c>
      <c r="B12" s="245" t="s">
        <v>487</v>
      </c>
      <c r="C12" s="252">
        <v>6415855</v>
      </c>
    </row>
    <row r="13" spans="1:6" s="76" customFormat="1" ht="13.5" thickBot="1">
      <c r="A13" s="72">
        <v>7</v>
      </c>
      <c r="B13" s="248" t="s">
        <v>289</v>
      </c>
      <c r="C13" s="254">
        <f>SUM(C8:C12)</f>
        <v>1455348194.8481078</v>
      </c>
    </row>
    <row r="15" spans="1:6" ht="25.5">
      <c r="A15" s="269"/>
      <c r="B15" s="77" t="s">
        <v>488</v>
      </c>
    </row>
    <row r="16" spans="1:6">
      <c r="A16" s="269"/>
      <c r="B16" s="269"/>
    </row>
    <row r="17" spans="1:5" ht="15">
      <c r="A17" s="264"/>
      <c r="B17" s="265"/>
      <c r="C17" s="269"/>
      <c r="D17" s="269"/>
      <c r="E17" s="269"/>
    </row>
    <row r="18" spans="1:5" ht="15">
      <c r="A18" s="270"/>
      <c r="B18" s="271"/>
      <c r="C18" s="269"/>
      <c r="D18" s="269"/>
      <c r="E18" s="269"/>
    </row>
    <row r="19" spans="1:5">
      <c r="A19" s="272"/>
      <c r="B19" s="266"/>
      <c r="C19" s="269"/>
      <c r="D19" s="269"/>
      <c r="E19" s="269"/>
    </row>
    <row r="20" spans="1:5">
      <c r="A20" s="273"/>
      <c r="B20" s="267"/>
      <c r="C20" s="269"/>
      <c r="D20" s="269"/>
      <c r="E20" s="269"/>
    </row>
    <row r="21" spans="1:5">
      <c r="A21" s="273"/>
      <c r="B21" s="271"/>
      <c r="C21" s="269"/>
      <c r="D21" s="269"/>
      <c r="E21" s="269"/>
    </row>
    <row r="22" spans="1:5">
      <c r="A22" s="272"/>
      <c r="B22" s="268"/>
      <c r="C22" s="269"/>
      <c r="D22" s="269"/>
      <c r="E22" s="269"/>
    </row>
    <row r="23" spans="1:5">
      <c r="A23" s="273"/>
      <c r="B23" s="267"/>
      <c r="C23" s="269"/>
      <c r="D23" s="269"/>
      <c r="E23" s="269"/>
    </row>
    <row r="24" spans="1:5">
      <c r="A24" s="273"/>
      <c r="B24" s="267"/>
      <c r="C24" s="269"/>
      <c r="D24" s="269"/>
      <c r="E24" s="269"/>
    </row>
    <row r="25" spans="1:5">
      <c r="A25" s="273"/>
      <c r="B25" s="274"/>
      <c r="C25" s="269"/>
      <c r="D25" s="269"/>
      <c r="E25" s="269"/>
    </row>
    <row r="26" spans="1:5">
      <c r="A26" s="273"/>
      <c r="B26" s="271"/>
      <c r="C26" s="269"/>
      <c r="D26" s="269"/>
      <c r="E26" s="269"/>
    </row>
    <row r="27" spans="1:5">
      <c r="A27" s="269"/>
      <c r="B27" s="275"/>
      <c r="C27" s="269"/>
      <c r="D27" s="269"/>
      <c r="E27" s="269"/>
    </row>
    <row r="28" spans="1:5">
      <c r="A28" s="269"/>
      <c r="B28" s="275"/>
      <c r="C28" s="269"/>
      <c r="D28" s="269"/>
      <c r="E28" s="269"/>
    </row>
    <row r="29" spans="1:5">
      <c r="A29" s="269"/>
      <c r="B29" s="275"/>
      <c r="C29" s="269"/>
      <c r="D29" s="269"/>
      <c r="E29" s="269"/>
    </row>
    <row r="30" spans="1:5">
      <c r="A30" s="269"/>
      <c r="B30" s="275"/>
      <c r="C30" s="269"/>
      <c r="D30" s="269"/>
      <c r="E30" s="269"/>
    </row>
    <row r="31" spans="1:5">
      <c r="A31" s="269"/>
      <c r="B31" s="275"/>
      <c r="C31" s="269"/>
      <c r="D31" s="269"/>
      <c r="E31" s="269"/>
    </row>
    <row r="32" spans="1:5">
      <c r="A32" s="269"/>
      <c r="B32" s="275"/>
      <c r="C32" s="269"/>
      <c r="D32" s="269"/>
      <c r="E32" s="269"/>
    </row>
    <row r="33" spans="1:5">
      <c r="A33" s="269"/>
      <c r="B33" s="275"/>
      <c r="C33" s="269"/>
      <c r="D33" s="269"/>
      <c r="E33" s="26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H+8zPaHpLaF+Po+T8kS3AEXz7PuTg1vJGTiiG5GYeZo=</DigestValue>
    </Reference>
    <Reference Type="http://www.w3.org/2000/09/xmldsig#Object" URI="#idOfficeObject">
      <DigestMethod Algorithm="http://www.w3.org/2001/04/xmlenc#sha256"/>
      <DigestValue>Ohr2lrAEyoviO7WCxVttw9GJqQTvQXlg0JVP7NCWE/k=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z4KwBe5/C7eTBkBaDKDX3NRPAz4GepJNigD7lIyfTuo=</DigestValue>
    </Reference>
  </SignedInfo>
  <SignatureValue>nc/3KIXoFCYRHkb8s6ZcXoI9j3ARoK1obS/hhhBOPnl1vFqcztZFNtBpFgNgsP1Voeh7KBBzFDob
EyvniSMgK1XcCFJ+yfHgGfsKxBZJP7DHMRbMmT6FngZaV8iycbgg5wJcxs3Yel2wcjmjU9j4EpLG
/8nMkWf06/o4PIsSAzxrErzav7K4TiL2QhT8CmpGsNCf5oAZpX1N+M+fCSAcofUg34j3t/lBX2vK
Zvf2HwZ4YTc42eM+ZvZA4xPKPOfwJ4a703un2C5bdkQDQBpNkVR6dLl+U6CJarL5wK9Qitw5IxY8
U2q6DnL+RVjxWDcTfQvFOI7mkwKRZbuemjSI1g==</SignatureValue>
  <KeyInfo>
    <X509Data>
      <X509Certificate>MIIGPTCCBSWgAwIBAgIKXFTIBgACAAEN7DANBgkqhkiG9w0BAQsFADBKMRIwEAYKCZImiZPyLGQBGRYCZ2UxEzARBgoJkiaJk/IsZAEZFgNuYmcxHzAdBgNVBAMTFk5CRyBDbGFzcyAyIElOVCBTdWIgQ0EwHhcNMTkwMjIyMDgwMDEwWhcNMjEwMjIxMDgwMDEwWjA7MRcwFQYDVQQKEw5KU0MgQ0FSVFUgQkFOSzEgMB4GA1UEAxMXQkNSIC0gRGF2aWQgR2FsdWFzaHZpbGkwggEiMA0GCSqGSIb3DQEBAQUAA4IBDwAwggEKAoIBAQCsK1c/TnerzqmLpB8skKm6mFPnlFj1yDHzxgHfJLou+juQ4RU4Sq1qxETaZUoUeLCdk70+FBP5r6umxXeinULVz43Sz/IWZDUeJ1CYcTyd531M9Tqwt42Gm868mp95hNRrs64J5Yg/JEaNtPIar2nSQI+cm0ks4e2qzlFrpabNHgbUPdm+8OOO11E9B2Oc2DvStOtdWMS0FgUrd/e6dYzDR+6/CpN1RqLTbOOLgH7nSxs5w/PFsL3ZMvns55BH2OB8Kgr68DvsPC4tw44QDPOJPxm0AFlSgSqhUGOz/to5euZfQcockPHmheMunav3JfkdZE5OgN/LQCqKSqp8wR0BAgMBAAGjggMyMIIDLjA8BgkrBgEEAYI3FQcELzAtBiUrBgEEAYI3FQjmsmCDjfVEhoGZCYO4oUqDvoRxBIHPkBGGr54RAgFkAgEbMB0GA1UdJQQWMBQGCCsGAQUFBwMCBggrBgEFBQcDBDALBgNVHQ8EBAMCB4AwJwYJKwYBBAGCNxUKBBowGDAKBggrBgEFBQcDAjAKBggrBgEFBQcDBDAdBgNVHQ4EFgQUU66ZOMpLHkD/QAFoNbj+6/BwQHw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AZqL9XVmUE3vsL91ummsBzS45qd7CHtJuNDJt+Md3rU884/n0pwMPSSFR56z2XIVJzQMAMLpeBt1/nz6zjKGvbAuGIiMuypgSt2SlqZ6WRFmarp9ks94Y/hXi17i9z8oyf/am3y916r92EoMZF3E5V2TSxRqkX5PorL1qOskh5kiUp9SLJCCkdmScW6MreFzScJZP8QPhQVujCapcjMk/H+Vd6YYVIOvkiutBNeujIaauz7k8pzMVHsCwqtPP9i2i7AJn41ghsl8XgrbL1uq9czU+0VG4Xpz1w2zdT8fYvRimXjMWKLUuNDrt6CivT3SjGmjikJoU0Ot84kYkfCn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RHpWjY37kpX7M2tBQaAEMztNZrA65DL8yteqORa+B1g=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Dxq59qpC0baGtkEbRUqZsEVJU1hgulxJ0K8N62znDrk=</DigestValue>
      </Reference>
      <Reference URI="/xl/styles.xml?ContentType=application/vnd.openxmlformats-officedocument.spreadsheetml.styles+xml">
        <DigestMethod Algorithm="http://www.w3.org/2001/04/xmlenc#sha256"/>
        <DigestValue>4uTGd8d3RY5AjsXdgkvjPg0Xo6oTSLybvZQ1VXOwOe4=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0zDNSKqe14EKEsJ+xWh/liXbEYH8S8HI7oRYoU+6Ds8=</DigestValue>
      </Reference>
      <Reference URI="/xl/worksheets/sheet10.xml?ContentType=application/vnd.openxmlformats-officedocument.spreadsheetml.worksheet+xml">
        <DigestMethod Algorithm="http://www.w3.org/2001/04/xmlenc#sha256"/>
        <DigestValue>so5j06lsHY46QIJ7y9ZU3NHgiyyR3bTzEniDVgbcxsM=</DigestValue>
      </Reference>
      <Reference URI="/xl/worksheets/sheet11.xml?ContentType=application/vnd.openxmlformats-officedocument.spreadsheetml.worksheet+xml">
        <DigestMethod Algorithm="http://www.w3.org/2001/04/xmlenc#sha256"/>
        <DigestValue>higWpYZvz5HBnn6edLGsFwXedxV9z0EMJFjzRR5YXAs=</DigestValue>
      </Reference>
      <Reference URI="/xl/worksheets/sheet12.xml?ContentType=application/vnd.openxmlformats-officedocument.spreadsheetml.worksheet+xml">
        <DigestMethod Algorithm="http://www.w3.org/2001/04/xmlenc#sha256"/>
        <DigestValue>w5AQo/xBJmEIP3vOmMdnXtIrK+T877e/obgN+xxubc0=</DigestValue>
      </Reference>
      <Reference URI="/xl/worksheets/sheet13.xml?ContentType=application/vnd.openxmlformats-officedocument.spreadsheetml.worksheet+xml">
        <DigestMethod Algorithm="http://www.w3.org/2001/04/xmlenc#sha256"/>
        <DigestValue>yyzYox4HQsShS9rQIqU7SEf7nktZ5UolBlYA19BqjHI=</DigestValue>
      </Reference>
      <Reference URI="/xl/worksheets/sheet14.xml?ContentType=application/vnd.openxmlformats-officedocument.spreadsheetml.worksheet+xml">
        <DigestMethod Algorithm="http://www.w3.org/2001/04/xmlenc#sha256"/>
        <DigestValue>nWZKBHC3tveNuQ6Mjr8CFtC4hTDRuP4d7qQjOk5Aju8=</DigestValue>
      </Reference>
      <Reference URI="/xl/worksheets/sheet15.xml?ContentType=application/vnd.openxmlformats-officedocument.spreadsheetml.worksheet+xml">
        <DigestMethod Algorithm="http://www.w3.org/2001/04/xmlenc#sha256"/>
        <DigestValue>f0qfmrMYSu6UlrtxGmdfs2O7zmMq0x1FENshACEM/tQ=</DigestValue>
      </Reference>
      <Reference URI="/xl/worksheets/sheet16.xml?ContentType=application/vnd.openxmlformats-officedocument.spreadsheetml.worksheet+xml">
        <DigestMethod Algorithm="http://www.w3.org/2001/04/xmlenc#sha256"/>
        <DigestValue>iYclMgKJvbGkLVPcQR5udJ81dDPVhGfMFNK7CvexuIk=</DigestValue>
      </Reference>
      <Reference URI="/xl/worksheets/sheet17.xml?ContentType=application/vnd.openxmlformats-officedocument.spreadsheetml.worksheet+xml">
        <DigestMethod Algorithm="http://www.w3.org/2001/04/xmlenc#sha256"/>
        <DigestValue>CeWgCqR6LxoNtMHyPbv33YBbfEnYiNlKNV9YoW4yHjw=</DigestValue>
      </Reference>
      <Reference URI="/xl/worksheets/sheet18.xml?ContentType=application/vnd.openxmlformats-officedocument.spreadsheetml.worksheet+xml">
        <DigestMethod Algorithm="http://www.w3.org/2001/04/xmlenc#sha256"/>
        <DigestValue>yykI7PLf39AEta9aVKne4MfsfIUDaE+sn2RhWKIG5PI=</DigestValue>
      </Reference>
      <Reference URI="/xl/worksheets/sheet2.xml?ContentType=application/vnd.openxmlformats-officedocument.spreadsheetml.worksheet+xml">
        <DigestMethod Algorithm="http://www.w3.org/2001/04/xmlenc#sha256"/>
        <DigestValue>ySX6KAsBkowhMOi2PjTCnvbNq9+kSoNSGXL/fIAs0+I=</DigestValue>
      </Reference>
      <Reference URI="/xl/worksheets/sheet3.xml?ContentType=application/vnd.openxmlformats-officedocument.spreadsheetml.worksheet+xml">
        <DigestMethod Algorithm="http://www.w3.org/2001/04/xmlenc#sha256"/>
        <DigestValue>N4GueI6iNUUgRVf8apcfx+bJbV3vthwLszXEUbKxz2k=</DigestValue>
      </Reference>
      <Reference URI="/xl/worksheets/sheet4.xml?ContentType=application/vnd.openxmlformats-officedocument.spreadsheetml.worksheet+xml">
        <DigestMethod Algorithm="http://www.w3.org/2001/04/xmlenc#sha256"/>
        <DigestValue>mZRh2fD2uLAD7jAJOEU6XFHGridioRfqecCh04HryeU=</DigestValue>
      </Reference>
      <Reference URI="/xl/worksheets/sheet5.xml?ContentType=application/vnd.openxmlformats-officedocument.spreadsheetml.worksheet+xml">
        <DigestMethod Algorithm="http://www.w3.org/2001/04/xmlenc#sha256"/>
        <DigestValue>MsYZPCr2rlfpFhDm+X0xedytsWZLXZouWHYKGQuaJDo=</DigestValue>
      </Reference>
      <Reference URI="/xl/worksheets/sheet6.xml?ContentType=application/vnd.openxmlformats-officedocument.spreadsheetml.worksheet+xml">
        <DigestMethod Algorithm="http://www.w3.org/2001/04/xmlenc#sha256"/>
        <DigestValue>VrKOK5KrL8M0eRRMSiMD58M9kYBkAtGP9bjRxPqR4TI=</DigestValue>
      </Reference>
      <Reference URI="/xl/worksheets/sheet7.xml?ContentType=application/vnd.openxmlformats-officedocument.spreadsheetml.worksheet+xml">
        <DigestMethod Algorithm="http://www.w3.org/2001/04/xmlenc#sha256"/>
        <DigestValue>bqg2WoWFeG2DDxwZ4fCCzBW/jemO4alj0BPRxId4Irc=</DigestValue>
      </Reference>
      <Reference URI="/xl/worksheets/sheet8.xml?ContentType=application/vnd.openxmlformats-officedocument.spreadsheetml.worksheet+xml">
        <DigestMethod Algorithm="http://www.w3.org/2001/04/xmlenc#sha256"/>
        <DigestValue>jcLKyBeMsE0D3iAhXyY8V5TCGFiKzTmWrRuMliPyIjU=</DigestValue>
      </Reference>
      <Reference URI="/xl/worksheets/sheet9.xml?ContentType=application/vnd.openxmlformats-officedocument.spreadsheetml.worksheet+xml">
        <DigestMethod Algorithm="http://www.w3.org/2001/04/xmlenc#sha256"/>
        <DigestValue>5DUsenPmdyLT3UgT/BiCSrpkgvdCd1MqLWIPVBuHdz4=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2020-10-30T06:14:09Z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16.0.13231/21</OfficeVersion>
          <ApplicationVersion>16.0.13231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2020-10-30T06:14:09Z</xd:SigningTime>
          <xd:SigningCertificate>
            <xd:Cert>
              <xd:CertDigest>
                <DigestMethod Algorithm="http://www.w3.org/2001/04/xmlenc#sha256"/>
                <DigestValue>OFu6FYb+OyzVzamlR5RUdHMImxTlX7x4bINGQr6WVkw=</DigestValue>
              </xd:CertDigest>
              <xd:IssuerSerial>
                <X509IssuerName>CN=NBG Class 2 INT Sub CA, DC=nbg, DC=ge</X509IssuerName>
                <X509SerialNumber>436021656133864997850604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+xR4zEvvHq1D49Clc7TWc3jRNds5dB9GfRKonru6JfA=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oYAFS3WRJ9BFFfnqlM57F9lWqaf9JHnlnrZD9KX7CvA=</DigestValue>
    </Reference>
  </SignedInfo>
  <SignatureValue>foJc+YmOEO3XGDHdpHpvrVpS4pv/KGp8CuK1hwcyz/2j8yIR298Dg6zePf17o6pdgpZqKikUt6tY
EzbxeiIdS0puwh2bsTcrnYodfkbE5Mv4sfqPm+IZwfDP68zlEovjfcLB9ASfBfDnmWPKAkzkhElU
PP73kXb0/7amiSclH4I+8GJQHfU2DPemdRETDXQS5Ez+q0p4tiJr2OI2pxVXqDuP980OHN1zZVXE
ZMNkBAkYY2zhvvoR0FgpuUsttPAmmDBrS93C3GkfMervgMaILQYS8o2uCSTlDN9e3BGRHAQubcDb
Je7wBA2PB80Ld97+oDL/An3wBzMqjPStwPwYaw==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RHpWjY37kpX7M2tBQaAEMztNZrA65DL8yteqORa+B1g=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Dxq59qpC0baGtkEbRUqZsEVJU1hgulxJ0K8N62znDrk=</DigestValue>
      </Reference>
      <Reference URI="/xl/styles.xml?ContentType=application/vnd.openxmlformats-officedocument.spreadsheetml.styles+xml">
        <DigestMethod Algorithm="http://www.w3.org/2001/04/xmlenc#sha256"/>
        <DigestValue>4uTGd8d3RY5AjsXdgkvjPg0Xo6oTSLybvZQ1VXOwOe4=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0zDNSKqe14EKEsJ+xWh/liXbEYH8S8HI7oRYoU+6Ds8=</DigestValue>
      </Reference>
      <Reference URI="/xl/worksheets/sheet10.xml?ContentType=application/vnd.openxmlformats-officedocument.spreadsheetml.worksheet+xml">
        <DigestMethod Algorithm="http://www.w3.org/2001/04/xmlenc#sha256"/>
        <DigestValue>so5j06lsHY46QIJ7y9ZU3NHgiyyR3bTzEniDVgbcxsM=</DigestValue>
      </Reference>
      <Reference URI="/xl/worksheets/sheet11.xml?ContentType=application/vnd.openxmlformats-officedocument.spreadsheetml.worksheet+xml">
        <DigestMethod Algorithm="http://www.w3.org/2001/04/xmlenc#sha256"/>
        <DigestValue>higWpYZvz5HBnn6edLGsFwXedxV9z0EMJFjzRR5YXAs=</DigestValue>
      </Reference>
      <Reference URI="/xl/worksheets/sheet12.xml?ContentType=application/vnd.openxmlformats-officedocument.spreadsheetml.worksheet+xml">
        <DigestMethod Algorithm="http://www.w3.org/2001/04/xmlenc#sha256"/>
        <DigestValue>w5AQo/xBJmEIP3vOmMdnXtIrK+T877e/obgN+xxubc0=</DigestValue>
      </Reference>
      <Reference URI="/xl/worksheets/sheet13.xml?ContentType=application/vnd.openxmlformats-officedocument.spreadsheetml.worksheet+xml">
        <DigestMethod Algorithm="http://www.w3.org/2001/04/xmlenc#sha256"/>
        <DigestValue>yyzYox4HQsShS9rQIqU7SEf7nktZ5UolBlYA19BqjHI=</DigestValue>
      </Reference>
      <Reference URI="/xl/worksheets/sheet14.xml?ContentType=application/vnd.openxmlformats-officedocument.spreadsheetml.worksheet+xml">
        <DigestMethod Algorithm="http://www.w3.org/2001/04/xmlenc#sha256"/>
        <DigestValue>nWZKBHC3tveNuQ6Mjr8CFtC4hTDRuP4d7qQjOk5Aju8=</DigestValue>
      </Reference>
      <Reference URI="/xl/worksheets/sheet15.xml?ContentType=application/vnd.openxmlformats-officedocument.spreadsheetml.worksheet+xml">
        <DigestMethod Algorithm="http://www.w3.org/2001/04/xmlenc#sha256"/>
        <DigestValue>f0qfmrMYSu6UlrtxGmdfs2O7zmMq0x1FENshACEM/tQ=</DigestValue>
      </Reference>
      <Reference URI="/xl/worksheets/sheet16.xml?ContentType=application/vnd.openxmlformats-officedocument.spreadsheetml.worksheet+xml">
        <DigestMethod Algorithm="http://www.w3.org/2001/04/xmlenc#sha256"/>
        <DigestValue>iYclMgKJvbGkLVPcQR5udJ81dDPVhGfMFNK7CvexuIk=</DigestValue>
      </Reference>
      <Reference URI="/xl/worksheets/sheet17.xml?ContentType=application/vnd.openxmlformats-officedocument.spreadsheetml.worksheet+xml">
        <DigestMethod Algorithm="http://www.w3.org/2001/04/xmlenc#sha256"/>
        <DigestValue>CeWgCqR6LxoNtMHyPbv33YBbfEnYiNlKNV9YoW4yHjw=</DigestValue>
      </Reference>
      <Reference URI="/xl/worksheets/sheet18.xml?ContentType=application/vnd.openxmlformats-officedocument.spreadsheetml.worksheet+xml">
        <DigestMethod Algorithm="http://www.w3.org/2001/04/xmlenc#sha256"/>
        <DigestValue>yykI7PLf39AEta9aVKne4MfsfIUDaE+sn2RhWKIG5PI=</DigestValue>
      </Reference>
      <Reference URI="/xl/worksheets/sheet2.xml?ContentType=application/vnd.openxmlformats-officedocument.spreadsheetml.worksheet+xml">
        <DigestMethod Algorithm="http://www.w3.org/2001/04/xmlenc#sha256"/>
        <DigestValue>ySX6KAsBkowhMOi2PjTCnvbNq9+kSoNSGXL/fIAs0+I=</DigestValue>
      </Reference>
      <Reference URI="/xl/worksheets/sheet3.xml?ContentType=application/vnd.openxmlformats-officedocument.spreadsheetml.worksheet+xml">
        <DigestMethod Algorithm="http://www.w3.org/2001/04/xmlenc#sha256"/>
        <DigestValue>N4GueI6iNUUgRVf8apcfx+bJbV3vthwLszXEUbKxz2k=</DigestValue>
      </Reference>
      <Reference URI="/xl/worksheets/sheet4.xml?ContentType=application/vnd.openxmlformats-officedocument.spreadsheetml.worksheet+xml">
        <DigestMethod Algorithm="http://www.w3.org/2001/04/xmlenc#sha256"/>
        <DigestValue>mZRh2fD2uLAD7jAJOEU6XFHGridioRfqecCh04HryeU=</DigestValue>
      </Reference>
      <Reference URI="/xl/worksheets/sheet5.xml?ContentType=application/vnd.openxmlformats-officedocument.spreadsheetml.worksheet+xml">
        <DigestMethod Algorithm="http://www.w3.org/2001/04/xmlenc#sha256"/>
        <DigestValue>MsYZPCr2rlfpFhDm+X0xedytsWZLXZouWHYKGQuaJDo=</DigestValue>
      </Reference>
      <Reference URI="/xl/worksheets/sheet6.xml?ContentType=application/vnd.openxmlformats-officedocument.spreadsheetml.worksheet+xml">
        <DigestMethod Algorithm="http://www.w3.org/2001/04/xmlenc#sha256"/>
        <DigestValue>VrKOK5KrL8M0eRRMSiMD58M9kYBkAtGP9bjRxPqR4TI=</DigestValue>
      </Reference>
      <Reference URI="/xl/worksheets/sheet7.xml?ContentType=application/vnd.openxmlformats-officedocument.spreadsheetml.worksheet+xml">
        <DigestMethod Algorithm="http://www.w3.org/2001/04/xmlenc#sha256"/>
        <DigestValue>bqg2WoWFeG2DDxwZ4fCCzBW/jemO4alj0BPRxId4Irc=</DigestValue>
      </Reference>
      <Reference URI="/xl/worksheets/sheet8.xml?ContentType=application/vnd.openxmlformats-officedocument.spreadsheetml.worksheet+xml">
        <DigestMethod Algorithm="http://www.w3.org/2001/04/xmlenc#sha256"/>
        <DigestValue>jcLKyBeMsE0D3iAhXyY8V5TCGFiKzTmWrRuMliPyIjU=</DigestValue>
      </Reference>
      <Reference URI="/xl/worksheets/sheet9.xml?ContentType=application/vnd.openxmlformats-officedocument.spreadsheetml.worksheet+xml">
        <DigestMethod Algorithm="http://www.w3.org/2001/04/xmlenc#sha256"/>
        <DigestValue>5DUsenPmdyLT3UgT/BiCSrpkgvdCd1MqLWIPVBuHdz4=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2020-10-30T06:27:14Z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2020-10-30T06:27:14Z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2020-10-29T14:11:32Z</dcterms:modified>
</cp:coreProperties>
</file>