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A8301DF9-C501-47CD-AE0F-F58A99826B73}" xr6:coauthVersionLast="44" xr6:coauthVersionMax="44" xr10:uidLastSave="{00000000-0000-0000-0000-000000000000}"/>
  <bookViews>
    <workbookView xWindow="-120" yWindow="-120" windowWidth="30960" windowHeight="16920" tabRatio="919" activeTab="1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5" l="1"/>
  <c r="C35" i="95"/>
  <c r="C30" i="95"/>
  <c r="C8" i="95"/>
  <c r="K16" i="93"/>
  <c r="J16" i="93"/>
  <c r="I16" i="93"/>
  <c r="H16" i="93"/>
  <c r="G16" i="93"/>
  <c r="F16" i="93"/>
  <c r="E16" i="93"/>
  <c r="D16" i="93"/>
  <c r="C16" i="93"/>
  <c r="C51" i="69"/>
  <c r="C50" i="69"/>
  <c r="C47" i="69"/>
  <c r="C46" i="69"/>
  <c r="C45" i="69"/>
  <c r="C44" i="69"/>
  <c r="C43" i="69"/>
  <c r="C42" i="69"/>
  <c r="C40" i="69"/>
  <c r="C41" i="69" s="1"/>
  <c r="C38" i="69"/>
  <c r="C37" i="69"/>
  <c r="C36" i="69"/>
  <c r="C35" i="69"/>
  <c r="C34" i="69"/>
  <c r="C33" i="69"/>
  <c r="C32" i="69"/>
  <c r="C31" i="69"/>
  <c r="C26" i="69"/>
  <c r="C29" i="69" s="1"/>
  <c r="C25" i="69"/>
  <c r="C24" i="69"/>
  <c r="C19" i="69"/>
  <c r="C18" i="69"/>
  <c r="C17" i="69"/>
  <c r="C14" i="69"/>
  <c r="C13" i="69"/>
  <c r="C16" i="69" s="1"/>
  <c r="C12" i="69"/>
  <c r="C10" i="69"/>
  <c r="C9" i="69"/>
  <c r="C8" i="69"/>
  <c r="C7" i="69"/>
  <c r="C6" i="69"/>
  <c r="C52" i="89"/>
  <c r="C47" i="89"/>
  <c r="C43" i="89"/>
  <c r="C35" i="89"/>
  <c r="C31" i="89"/>
  <c r="C30" i="89" s="1"/>
  <c r="C41" i="89" s="1"/>
  <c r="C12" i="89"/>
  <c r="F40" i="83"/>
  <c r="C40" i="83"/>
  <c r="E40" i="83" s="1"/>
  <c r="E39" i="83"/>
  <c r="E38" i="83"/>
  <c r="E37" i="83"/>
  <c r="E36" i="83"/>
  <c r="E35" i="83"/>
  <c r="E34" i="83"/>
  <c r="E33" i="83"/>
  <c r="G31" i="83"/>
  <c r="F31" i="83"/>
  <c r="E31" i="83"/>
  <c r="D31" i="83"/>
  <c r="C31" i="83"/>
  <c r="E30" i="83"/>
  <c r="E29" i="83"/>
  <c r="E28" i="83"/>
  <c r="E27" i="83"/>
  <c r="E26" i="83"/>
  <c r="E25" i="83"/>
  <c r="E24" i="83"/>
  <c r="E23" i="83"/>
  <c r="E22" i="83"/>
  <c r="G20" i="83"/>
  <c r="D20" i="83"/>
  <c r="C20" i="83"/>
  <c r="E20" i="83" s="1"/>
  <c r="E19" i="83"/>
  <c r="E18" i="83"/>
  <c r="E17" i="83"/>
  <c r="E16" i="83"/>
  <c r="E15" i="83"/>
  <c r="G14" i="83"/>
  <c r="F14" i="83"/>
  <c r="F20" i="83" s="1"/>
  <c r="E14" i="83"/>
  <c r="D14" i="83"/>
  <c r="C14" i="83"/>
  <c r="E13" i="83"/>
  <c r="E12" i="83"/>
  <c r="E11" i="83"/>
  <c r="E10" i="83"/>
  <c r="E9" i="83"/>
  <c r="E8" i="83"/>
  <c r="E7" i="83"/>
  <c r="C30" i="69" l="1"/>
  <c r="D6" i="86" l="1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H64" i="85"/>
  <c r="H61" i="85"/>
  <c r="H60" i="85"/>
  <c r="H59" i="85"/>
  <c r="H58" i="85"/>
  <c r="H53" i="85"/>
  <c r="H52" i="85"/>
  <c r="H51" i="85"/>
  <c r="H50" i="85"/>
  <c r="H49" i="85"/>
  <c r="H48" i="85"/>
  <c r="H47" i="85"/>
  <c r="H44" i="85"/>
  <c r="H43" i="85"/>
  <c r="H42" i="85"/>
  <c r="H41" i="85"/>
  <c r="H40" i="85"/>
  <c r="H39" i="85"/>
  <c r="H38" i="85"/>
  <c r="H37" i="85"/>
  <c r="H36" i="85"/>
  <c r="H35" i="85"/>
  <c r="H30" i="85"/>
  <c r="H29" i="85"/>
  <c r="H28" i="85"/>
  <c r="H27" i="85"/>
  <c r="H26" i="85"/>
  <c r="H25" i="85"/>
  <c r="H24" i="85"/>
  <c r="H21" i="85"/>
  <c r="H20" i="85"/>
  <c r="H19" i="85"/>
  <c r="H18" i="85"/>
  <c r="H17" i="85"/>
  <c r="H16" i="85"/>
  <c r="H15" i="85"/>
  <c r="H14" i="85"/>
  <c r="H13" i="85"/>
  <c r="H12" i="85"/>
  <c r="H11" i="85"/>
  <c r="H10" i="85"/>
  <c r="H8" i="85"/>
  <c r="G41" i="83"/>
  <c r="F41" i="83"/>
  <c r="H39" i="83"/>
  <c r="H38" i="83"/>
  <c r="H37" i="83"/>
  <c r="H36" i="83"/>
  <c r="H35" i="83"/>
  <c r="H34" i="83"/>
  <c r="H33" i="83"/>
  <c r="H31" i="83"/>
  <c r="D41" i="83"/>
  <c r="H30" i="83"/>
  <c r="H29" i="83"/>
  <c r="H28" i="83"/>
  <c r="H27" i="83"/>
  <c r="H26" i="83"/>
  <c r="H25" i="83"/>
  <c r="H24" i="83"/>
  <c r="H23" i="83"/>
  <c r="H22" i="83"/>
  <c r="H2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7" i="83"/>
  <c r="G67" i="85" l="1"/>
  <c r="H41" i="83"/>
  <c r="H9" i="85"/>
  <c r="E45" i="75"/>
  <c r="H34" i="85"/>
  <c r="D67" i="85"/>
  <c r="H22" i="85"/>
  <c r="H45" i="85"/>
  <c r="H54" i="85"/>
  <c r="H40" i="83"/>
  <c r="C41" i="83"/>
  <c r="E41" i="83" s="1"/>
  <c r="H31" i="85" l="1"/>
  <c r="C38" i="95"/>
  <c r="H24" i="93"/>
  <c r="K23" i="93"/>
  <c r="J23" i="93"/>
  <c r="I23" i="93"/>
  <c r="H23" i="93"/>
  <c r="G23" i="93"/>
  <c r="F23" i="93"/>
  <c r="K21" i="93"/>
  <c r="K24" i="93" s="1"/>
  <c r="J21" i="93"/>
  <c r="J24" i="93" s="1"/>
  <c r="I21" i="93"/>
  <c r="I24" i="93" s="1"/>
  <c r="H21" i="93"/>
  <c r="G21" i="93"/>
  <c r="G24" i="93" s="1"/>
  <c r="F21" i="93"/>
  <c r="F24" i="93" s="1"/>
  <c r="E21" i="93"/>
  <c r="D21" i="93"/>
  <c r="C21" i="93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52" i="69"/>
  <c r="D13" i="86"/>
  <c r="C13" i="86"/>
  <c r="G25" i="93" l="1"/>
  <c r="J25" i="93"/>
  <c r="F25" i="93"/>
  <c r="H25" i="93"/>
  <c r="I25" i="93"/>
  <c r="K25" i="93"/>
  <c r="H56" i="8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H63" i="85" l="1"/>
  <c r="B17" i="84"/>
  <c r="B16" i="84"/>
  <c r="B15" i="84"/>
  <c r="H65" i="85" l="1"/>
  <c r="F67" i="85"/>
  <c r="H67" i="85" s="1"/>
  <c r="C67" i="85"/>
  <c r="E67" i="85" s="1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M21" i="92" s="1"/>
  <c r="L7" i="92"/>
  <c r="L21" i="92" s="1"/>
  <c r="K7" i="92"/>
  <c r="J7" i="92"/>
  <c r="J21" i="92" s="1"/>
  <c r="I7" i="92"/>
  <c r="H7" i="92"/>
  <c r="H21" i="92" s="1"/>
  <c r="G7" i="92"/>
  <c r="G21" i="92" s="1"/>
  <c r="F7" i="92"/>
  <c r="F21" i="92" s="1"/>
  <c r="C7" i="92"/>
  <c r="E7" i="92" l="1"/>
  <c r="N7" i="92"/>
  <c r="C21" i="92"/>
  <c r="E21" i="92"/>
  <c r="I21" i="92"/>
  <c r="K21" i="92"/>
  <c r="N14" i="92"/>
  <c r="N21" i="92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8" i="73" s="1"/>
  <c r="C22" i="90" l="1"/>
  <c r="C6" i="89"/>
  <c r="C28" i="89" s="1"/>
  <c r="D22" i="90" l="1"/>
  <c r="E22" i="90"/>
  <c r="F22" i="90"/>
  <c r="G22" i="90"/>
  <c r="H22" i="90"/>
  <c r="I22" i="90"/>
  <c r="J22" i="90"/>
  <c r="C13" i="73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<sst xmlns="http://schemas.openxmlformats.org/spreadsheetml/2006/main" count="746" uniqueCount="522">
  <si>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</si>
  <si>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</si>
  <si>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</si>
  <si>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</si>
  <si>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</si>
  <si>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</si>
  <si>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</si>
  <si>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</si>
  <si>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</si>
  <si>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</si>
  <si>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</si>
  <si>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</si>
  <si>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</si>
  <si>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</si>
  <si>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</si>
  <si>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</si>
  <si>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</si>
  <si>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</si>
  <si>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</si>
  <si>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</si>
  <si>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</si>
  <si>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</si>
  <si>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</si>
  <si>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</si>
  <si>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</si>
  <si>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</si>
  <si>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</si>
  <si>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</si>
  <si>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</si>
  <si>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</si>
  <si>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</si>
  <si>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</si>
  <si>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</si>
  <si>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</si>
  <si>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</si>
  <si>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</si>
  <si>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</si>
  <si>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</si>
  <si>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</si>
  <si>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</si>
  <si>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</si>
  <si>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</si>
  <si>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</si>
  <si>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</si>
  <si>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</si>
  <si>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</si>
  <si>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</si>
  <si>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</si>
  <si>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</si>
  <si>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</si>
  <si>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</si>
  <si>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</si>
  <si>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</si>
  <si>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</si>
  <si>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</si>
  <si>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</si>
  <si>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</si>
  <si>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</si>
  <si>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</si>
  <si>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</si>
  <si>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</si>
  <si>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</si>
  <si>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</si>
  <si>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</si>
  <si>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</si>
  <si>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</si>
  <si>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</si>
  <si>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</si>
  <si>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</si>
  <si>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</si>
  <si>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</si>
  <si>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</si>
  <si>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</si>
  <si>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</si>
  <si>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</si>
  <si>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</si>
  <si>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</si>
  <si>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</si>
  <si>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</si>
  <si>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</si>
  <si>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</si>
  <si>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</si>
  <si>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</si>
  <si>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</si>
  <si>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</si>
  <si>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</si>
  <si>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</si>
  <si>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</si>
  <si>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</si>
  <si>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</si>
  <si>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</si>
  <si>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</si>
  <si>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</si>
  <si>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</si>
  <si>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</si>
  <si>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</si>
  <si>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</si>
  <si>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</si>
  <si>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</si>
  <si>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</si>
  <si>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</si>
  <si>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</si>
  <si>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</si>
  <si>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</si>
  <si>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</si>
  <si>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</si>
  <si>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</si>
  <si>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</si>
  <si>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</si>
  <si>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</si>
  <si>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</si>
  <si>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</si>
  <si>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</si>
  <si>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</si>
  <si>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</si>
  <si>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</si>
  <si>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</si>
  <si>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</si>
  <si>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</si>
  <si>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</si>
  <si>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</si>
  <si>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</si>
  <si>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</si>
  <si>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</si>
  <si>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</si>
  <si>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</si>
  <si>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</si>
  <si>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</si>
  <si>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</si>
  <si>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</si>
  <si>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</si>
  <si>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</si>
  <si>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</si>
  <si>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</si>
  <si>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</si>
  <si>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</si>
  <si>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</si>
  <si>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</si>
  <si>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</si>
  <si>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</si>
  <si>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</si>
  <si>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</si>
  <si>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</si>
  <si>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</si>
  <si>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</si>
  <si>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</si>
  <si>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</si>
  <si>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</si>
  <si>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</si>
  <si>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</si>
  <si>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</si>
  <si>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</si>
  <si>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</si>
  <si>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</si>
  <si>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</si>
  <si>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</si>
  <si>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</si>
  <si>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</si>
  <si>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</si>
  <si>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</si>
  <si>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</si>
  <si>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</si>
  <si>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</si>
  <si>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</si>
  <si>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</si>
  <si>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</si>
  <si>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</si>
  <si>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</si>
  <si>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</si>
  <si>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</si>
  <si>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</si>
  <si>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</si>
  <si>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</si>
  <si>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</si>
  <si>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</si>
  <si>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</si>
  <si>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</si>
  <si>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</si>
  <si>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</si>
  <si>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</si>
  <si>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</si>
  <si>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</si>
  <si>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</si>
  <si>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</si>
  <si>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</si>
  <si>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</si>
  <si>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</si>
  <si>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</si>
  <si>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</si>
  <si>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</si>
  <si>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</si>
  <si>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</si>
  <si>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</si>
  <si>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</si>
  <si>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</si>
  <si>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</si>
  <si>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</si>
  <si>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</si>
  <si>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</si>
  <si>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</si>
  <si>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</si>
  <si>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</si>
  <si>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</si>
  <si>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</si>
  <si>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</si>
  <si>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</si>
  <si>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</si>
  <si>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</si>
  <si>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</si>
  <si>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</si>
  <si>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</si>
  <si>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</si>
  <si>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</si>
  <si>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</si>
  <si>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</si>
  <si>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</si>
  <si>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</si>
  <si>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</si>
  <si>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</si>
  <si>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</si>
  <si>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</si>
  <si>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</si>
  <si>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</si>
  <si>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</si>
  <si>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</si>
  <si>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</si>
  <si>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</si>
  <si>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</si>
  <si>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</si>
  <si>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</si>
  <si>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</si>
  <si>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</si>
  <si>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</si>
  <si>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</si>
  <si>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</si>
  <si>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</si>
  <si>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</si>
  <si>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</si>
  <si>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</si>
  <si>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</si>
  <si>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</si>
  <si>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</si>
  <si>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</si>
  <si>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</si>
  <si>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</si>
  <si>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</si>
  <si>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</si>
  <si>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</si>
  <si>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</si>
  <si>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</si>
  <si>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</si>
  <si>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</si>
  <si>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</si>
  <si>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</si>
  <si>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</si>
  <si>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</si>
  <si>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</si>
  <si>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</si>
  <si>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</si>
  <si>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</si>
  <si>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</si>
  <si>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</si>
  <si>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</si>
  <si>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</si>
  <si>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</si>
  <si>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</si>
  <si>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</si>
  <si>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</si>
  <si>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</si>
  <si>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</si>
  <si>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</si>
  <si>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</si>
  <si>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</si>
  <si>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</si>
  <si>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</si>
  <si>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</si>
  <si>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</si>
  <si>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</si>
  <si>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</si>
  <si>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</si>
  <si>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</si>
  <si>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</si>
  <si>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</si>
  <si>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</si>
  <si>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</si>
  <si>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</si>
  <si>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</si>
  <si>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</si>
  <si>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</si>
  <si>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</si>
  <si>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</si>
  <si>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</si>
  <si>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</si>
  <si>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</si>
  <si>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</si>
  <si>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</si>
  <si>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</si>
  <si>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</si>
  <si>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</si>
  <si>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</si>
  <si>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</si>
  <si>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</si>
  <si>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</si>
  <si>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</si>
  <si>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</si>
  <si>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</si>
  <si>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</si>
  <si>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</si>
  <si>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</si>
  <si>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</si>
  <si>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</si>
  <si>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</si>
  <si>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</si>
  <si>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</si>
  <si>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</si>
  <si>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</si>
  <si>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</si>
  <si>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</si>
  <si>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</si>
  <si>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</si>
  <si>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</si>
  <si>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</si>
  <si>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</si>
  <si>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</si>
  <si>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</si>
  <si>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</si>
  <si>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</si>
  <si>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</si>
  <si>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</si>
  <si>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</si>
  <si>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</si>
  <si>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</si>
  <si>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</si>
  <si>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</si>
  <si>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</si>
  <si>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</si>
  <si>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</si>
  <si>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</si>
  <si>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</si>
  <si>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</si>
  <si>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</si>
  <si>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</si>
  <si>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</si>
  <si>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</si>
  <si>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</si>
  <si>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</si>
  <si>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</si>
  <si>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</si>
  <si>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</si>
  <si>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</si>
  <si>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</si>
  <si>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</si>
  <si>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</si>
  <si>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</si>
  <si>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</si>
  <si>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</si>
  <si>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</si>
  <si>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</si>
  <si>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</si>
  <si>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</si>
  <si>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</si>
  <si>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</si>
  <si>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</si>
  <si>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</si>
  <si>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</si>
  <si>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</si>
  <si>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</si>
  <si>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</si>
  <si>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</si>
  <si>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</si>
  <si>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</si>
  <si>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</si>
  <si>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</si>
  <si>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</si>
  <si>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</si>
  <si>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</si>
  <si>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</si>
  <si>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</si>
  <si>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</si>
  <si>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</si>
  <si>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</si>
  <si>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</si>
  <si>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</si>
  <si>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</si>
  <si>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</si>
  <si>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</si>
  <si>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</si>
  <si>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</si>
  <si>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</si>
  <si>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</si>
  <si>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</si>
  <si>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</si>
  <si>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</si>
  <si>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</si>
  <si>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</si>
  <si>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</si>
  <si>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</si>
  <si>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</si>
  <si>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</si>
  <si>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</si>
  <si>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</si>
  <si>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</si>
  <si>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</si>
  <si>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</si>
  <si>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</si>
  <si>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</si>
  <si>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</si>
  <si>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</si>
  <si>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</si>
  <si>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</si>
  <si>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</si>
  <si>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</si>
  <si>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</si>
  <si>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</si>
  <si>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</si>
  <si>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</si>
  <si>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</si>
  <si>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</si>
  <si>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</si>
  <si>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</si>
  <si>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</si>
  <si>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</si>
  <si>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</si>
  <si>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</si>
  <si>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</si>
  <si>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</si>
  <si>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</si>
  <si>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</si>
  <si>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</si>
  <si>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</si>
  <si>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</si>
  <si>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</si>
  <si>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</si>
  <si>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</si>
  <si>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</si>
  <si>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</si>
  <si>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</si>
  <si>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</si>
  <si>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</si>
  <si>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</si>
  <si>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</si>
  <si>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</si>
  <si>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</si>
  <si>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</si>
  <si>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</si>
  <si>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</si>
  <si>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</si>
  <si>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</si>
  <si>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</si>
  <si>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</si>
  <si>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</si>
  <si>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</si>
  <si>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</si>
  <si>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</si>
  <si>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</si>
  <si>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</si>
  <si>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</si>
  <si>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</si>
  <si>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</si>
  <si>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</si>
  <si>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</si>
  <si>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</si>
  <si>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</si>
  <si>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</si>
  <si>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</si>
  <si>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</si>
  <si>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</si>
  <si>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</si>
  <si>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</si>
  <si>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</si>
  <si>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</si>
  <si>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</si>
  <si>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</si>
  <si>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</si>
  <si>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</si>
  <si>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</si>
  <si>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</si>
  <si>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</si>
  <si>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</si>
  <si>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</si>
  <si>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</si>
  <si>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</si>
  <si>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</si>
  <si>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</si>
  <si>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</si>
  <si>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</si>
  <si>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CARTU BANK</t>
  </si>
  <si>
    <t>1Q 2019</t>
  </si>
  <si>
    <t>4Q 2018</t>
  </si>
  <si>
    <t>3Q 2018</t>
  </si>
  <si>
    <t>X</t>
  </si>
  <si>
    <t xml:space="preserve">  </t>
  </si>
  <si>
    <t>Nikoloz Chkhetiani</t>
  </si>
  <si>
    <t>Nato Khaindrava</t>
  </si>
  <si>
    <t>www.cartubank.ge</t>
  </si>
  <si>
    <t>Besik Demetrashvili</t>
  </si>
  <si>
    <t>Temur Kobakhidze</t>
  </si>
  <si>
    <t>Givi Lebanidze</t>
  </si>
  <si>
    <t>David Galuashvili</t>
  </si>
  <si>
    <t xml:space="preserve">Zurab Gogua </t>
  </si>
  <si>
    <t>Beka Kvaratskhelia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</si>
  <si>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</si>
  <si>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</si>
  <si>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</si>
  <si>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</si>
  <si>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</si>
  <si>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</si>
  <si>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</si>
  <si>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</si>
  <si>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</si>
  <si>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</si>
  <si>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</si>
  <si>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</si>
  <si>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</si>
  <si>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</si>
  <si>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 xml:space="preserve">Jsc "Cartu Group" </t>
  </si>
  <si>
    <t xml:space="preserve">Uta Ivanishvili </t>
  </si>
  <si>
    <t>2Q 2019</t>
  </si>
  <si>
    <t>Net Investment Securities</t>
  </si>
  <si>
    <t>3Q 2019</t>
  </si>
  <si>
    <t>Zaza Verdzeuli</t>
  </si>
  <si>
    <t>Tea Jokhadze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</si>
</sst>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4" fontId="2" fillId="0" borderId="0" xfId="0" applyNumberFormat="1" applyFont="1" applyAlignment="1">
      <alignment horizontal="left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0" fontId="85" fillId="0" borderId="104" xfId="0" applyFont="1" applyBorder="1"/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96" fillId="0" borderId="104" xfId="20962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100" fillId="0" borderId="104" xfId="20962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93" fontId="112" fillId="36" borderId="13" xfId="0" applyNumberFormat="1" applyFont="1" applyFill="1" applyBorder="1" applyAlignment="1">
      <alignment vertical="center"/>
    </xf>
    <xf numFmtId="193" fontId="112" fillId="0" borderId="13" xfId="0" applyNumberFormat="1" applyFont="1" applyBorder="1" applyAlignment="1">
      <alignment vertical="center"/>
    </xf>
    <xf numFmtId="193" fontId="112" fillId="0" borderId="17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67" fontId="114" fillId="76" borderId="65" xfId="0" applyNumberFormat="1" applyFont="1" applyFill="1" applyBorder="1" applyAlignment="1">
      <alignment horizontal="center"/>
    </xf>
    <xf numFmtId="167" fontId="112" fillId="0" borderId="65" xfId="0" applyNumberFormat="1" applyFont="1" applyBorder="1" applyAlignment="1">
      <alignment horizont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9" fontId="84" fillId="0" borderId="91" xfId="20962" applyFont="1" applyBorder="1" applyAlignment="1"/>
    <xf numFmtId="193" fontId="84" fillId="0" borderId="87" xfId="0" applyNumberFormat="1" applyFont="1" applyFill="1" applyBorder="1" applyAlignment="1">
      <alignment vertical="center"/>
    </xf>
    <xf numFmtId="193" fontId="84" fillId="0" borderId="88" xfId="0" applyNumberFormat="1" applyFont="1" applyFill="1" applyBorder="1" applyAlignment="1">
      <alignment vertical="center"/>
    </xf>
    <xf numFmtId="193" fontId="87" fillId="0" borderId="87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 indent="2"/>
    </xf>
    <xf numFmtId="193" fontId="2" fillId="0" borderId="13" xfId="0" applyNumberFormat="1" applyFont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satiani%20s%20Documents/NORMAT/Pilar%203/PG1-CAR-QQ-201909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  <sheetName val="Sheet1"/>
      <sheetName val="Write-Off"/>
      <sheetName val="lease"/>
      <sheetName val="Recovered"/>
      <sheetName val="Instruction"/>
    </sheetNames>
    <sheetDataSet>
      <sheetData sheetId="0"/>
      <sheetData sheetId="1"/>
      <sheetData sheetId="2">
        <row r="6">
          <cell r="E6">
            <v>21352185</v>
          </cell>
        </row>
        <row r="7">
          <cell r="E7">
            <v>190010289</v>
          </cell>
        </row>
        <row r="8">
          <cell r="E8">
            <v>180406000</v>
          </cell>
        </row>
        <row r="9">
          <cell r="E9">
            <v>0</v>
          </cell>
        </row>
        <row r="10">
          <cell r="E10">
            <v>35484283</v>
          </cell>
        </row>
        <row r="11">
          <cell r="E11">
            <v>862641755</v>
          </cell>
        </row>
        <row r="12">
          <cell r="E12">
            <v>-135880472</v>
          </cell>
        </row>
        <row r="14">
          <cell r="E14">
            <v>7555551</v>
          </cell>
        </row>
        <row r="15">
          <cell r="E15">
            <v>24352452</v>
          </cell>
        </row>
        <row r="17">
          <cell r="E17">
            <v>17998741</v>
          </cell>
        </row>
        <row r="18">
          <cell r="E18">
            <v>23135847</v>
          </cell>
        </row>
        <row r="21">
          <cell r="E21">
            <v>155064</v>
          </cell>
        </row>
        <row r="22">
          <cell r="E22">
            <v>362931233</v>
          </cell>
        </row>
        <row r="23">
          <cell r="E23">
            <v>66618455</v>
          </cell>
        </row>
        <row r="24">
          <cell r="E24">
            <v>351173425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8825232</v>
          </cell>
        </row>
        <row r="28">
          <cell r="E28">
            <v>19299898</v>
          </cell>
        </row>
        <row r="29">
          <cell r="E29">
            <v>223413120</v>
          </cell>
        </row>
        <row r="32">
          <cell r="E32">
            <v>114430000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7438034</v>
          </cell>
        </row>
        <row r="37">
          <cell r="E37">
            <v>78586491</v>
          </cell>
        </row>
        <row r="38">
          <cell r="H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5">
          <cell r="C15">
            <v>4611880</v>
          </cell>
        </row>
        <row r="28">
          <cell r="C28">
            <v>195242645</v>
          </cell>
        </row>
        <row r="41">
          <cell r="C41">
            <v>20686400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5"/>
      <c r="B1" s="233" t="s">
        <v>350</v>
      </c>
      <c r="C1" s="185"/>
    </row>
    <row r="2" spans="1:3">
      <c r="A2" s="234">
        <v>1</v>
      </c>
      <c r="B2" s="383" t="s">
        <v>351</v>
      </c>
      <c r="C2" s="454" t="s">
        <v>486</v>
      </c>
    </row>
    <row r="3" spans="1:3">
      <c r="A3" s="234">
        <v>2</v>
      </c>
      <c r="B3" s="384" t="s">
        <v>347</v>
      </c>
      <c r="C3" s="454" t="s">
        <v>492</v>
      </c>
    </row>
    <row r="4" spans="1:3">
      <c r="A4" s="234">
        <v>3</v>
      </c>
      <c r="B4" s="385" t="s">
        <v>352</v>
      </c>
      <c r="C4" s="454" t="s">
        <v>493</v>
      </c>
    </row>
    <row r="5" spans="1:3">
      <c r="A5" s="235">
        <v>4</v>
      </c>
      <c r="B5" s="386" t="s">
        <v>348</v>
      </c>
      <c r="C5" s="454" t="s">
        <v>494</v>
      </c>
    </row>
    <row r="6" spans="1:3" s="236" customFormat="1" ht="45.75" customHeight="1">
      <c r="A6" s="527" t="s">
        <v>427</v>
      </c>
      <c r="B6" s="528"/>
      <c r="C6" s="528"/>
    </row>
    <row r="7" spans="1:3" ht="15">
      <c r="A7" s="237" t="s">
        <v>29</v>
      </c>
      <c r="B7" s="233" t="s">
        <v>349</v>
      </c>
    </row>
    <row r="8" spans="1:3">
      <c r="A8" s="185">
        <v>1</v>
      </c>
      <c r="B8" s="280" t="s">
        <v>20</v>
      </c>
    </row>
    <row r="9" spans="1:3">
      <c r="A9" s="185">
        <v>2</v>
      </c>
      <c r="B9" s="281" t="s">
        <v>21</v>
      </c>
    </row>
    <row r="10" spans="1:3">
      <c r="A10" s="185">
        <v>3</v>
      </c>
      <c r="B10" s="281" t="s">
        <v>22</v>
      </c>
    </row>
    <row r="11" spans="1:3">
      <c r="A11" s="185">
        <v>4</v>
      </c>
      <c r="B11" s="281" t="s">
        <v>23</v>
      </c>
      <c r="C11" s="99"/>
    </row>
    <row r="12" spans="1:3">
      <c r="A12" s="185">
        <v>5</v>
      </c>
      <c r="B12" s="281" t="s">
        <v>24</v>
      </c>
    </row>
    <row r="13" spans="1:3">
      <c r="A13" s="185">
        <v>6</v>
      </c>
      <c r="B13" s="282" t="s">
        <v>359</v>
      </c>
    </row>
    <row r="14" spans="1:3">
      <c r="A14" s="185">
        <v>7</v>
      </c>
      <c r="B14" s="281" t="s">
        <v>353</v>
      </c>
    </row>
    <row r="15" spans="1:3">
      <c r="A15" s="185">
        <v>8</v>
      </c>
      <c r="B15" s="281" t="s">
        <v>354</v>
      </c>
    </row>
    <row r="16" spans="1:3">
      <c r="A16" s="185">
        <v>9</v>
      </c>
      <c r="B16" s="281" t="s">
        <v>25</v>
      </c>
    </row>
    <row r="17" spans="1:2">
      <c r="A17" s="382" t="s">
        <v>426</v>
      </c>
      <c r="B17" s="381" t="s">
        <v>412</v>
      </c>
    </row>
    <row r="18" spans="1:2">
      <c r="A18" s="185">
        <v>10</v>
      </c>
      <c r="B18" s="281" t="s">
        <v>26</v>
      </c>
    </row>
    <row r="19" spans="1:2">
      <c r="A19" s="185">
        <v>11</v>
      </c>
      <c r="B19" s="282" t="s">
        <v>355</v>
      </c>
    </row>
    <row r="20" spans="1:2">
      <c r="A20" s="185">
        <v>12</v>
      </c>
      <c r="B20" s="282" t="s">
        <v>27</v>
      </c>
    </row>
    <row r="21" spans="1:2">
      <c r="A21" s="433">
        <v>13</v>
      </c>
      <c r="B21" s="434" t="s">
        <v>356</v>
      </c>
    </row>
    <row r="22" spans="1:2">
      <c r="A22" s="433">
        <v>14</v>
      </c>
      <c r="B22" s="435" t="s">
        <v>383</v>
      </c>
    </row>
    <row r="23" spans="1:2">
      <c r="A23" s="436">
        <v>15</v>
      </c>
      <c r="B23" s="437" t="s">
        <v>28</v>
      </c>
    </row>
    <row r="24" spans="1:2">
      <c r="A24" s="436">
        <v>15.1</v>
      </c>
      <c r="B24" s="438" t="s">
        <v>440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2.75"/>
  <cols>
    <col min="1" max="1" width="9.5703125" style="10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90" customFormat="1" ht="15.75" customHeight="1">
      <c r="A2" s="90" t="s">
        <v>31</v>
      </c>
      <c r="B2" s="458">
        <f>'1. key ratios '!B2</f>
        <v>43738</v>
      </c>
    </row>
    <row r="3" spans="1:3" s="90" customFormat="1" ht="15.75" customHeight="1"/>
    <row r="4" spans="1:3" ht="13.5" thickBot="1">
      <c r="A4" s="102" t="s">
        <v>251</v>
      </c>
      <c r="B4" s="166" t="s">
        <v>250</v>
      </c>
    </row>
    <row r="5" spans="1:3">
      <c r="A5" s="103" t="s">
        <v>6</v>
      </c>
      <c r="B5" s="104"/>
      <c r="C5" s="105" t="s">
        <v>73</v>
      </c>
    </row>
    <row r="6" spans="1:3">
      <c r="A6" s="106">
        <v>1</v>
      </c>
      <c r="B6" s="107" t="s">
        <v>249</v>
      </c>
      <c r="C6" s="108">
        <f>SUM(C7:C11)</f>
        <v>199854525</v>
      </c>
    </row>
    <row r="7" spans="1:3">
      <c r="A7" s="106">
        <v>2</v>
      </c>
      <c r="B7" s="109" t="s">
        <v>248</v>
      </c>
      <c r="C7" s="110">
        <v>114430000</v>
      </c>
    </row>
    <row r="8" spans="1:3">
      <c r="A8" s="106">
        <v>3</v>
      </c>
      <c r="B8" s="111" t="s">
        <v>247</v>
      </c>
      <c r="C8" s="110"/>
    </row>
    <row r="9" spans="1:3">
      <c r="A9" s="106">
        <v>4</v>
      </c>
      <c r="B9" s="111" t="s">
        <v>246</v>
      </c>
      <c r="C9" s="110"/>
    </row>
    <row r="10" spans="1:3">
      <c r="A10" s="106">
        <v>5</v>
      </c>
      <c r="B10" s="111" t="s">
        <v>245</v>
      </c>
      <c r="C10" s="110">
        <v>6838034</v>
      </c>
    </row>
    <row r="11" spans="1:3">
      <c r="A11" s="106">
        <v>6</v>
      </c>
      <c r="B11" s="112" t="s">
        <v>244</v>
      </c>
      <c r="C11" s="110">
        <v>78586491</v>
      </c>
    </row>
    <row r="12" spans="1:3" s="76" customFormat="1">
      <c r="A12" s="106">
        <v>7</v>
      </c>
      <c r="B12" s="107" t="s">
        <v>243</v>
      </c>
      <c r="C12" s="113">
        <f>SUM(C13:C27)</f>
        <v>4611880</v>
      </c>
    </row>
    <row r="13" spans="1:3" s="76" customFormat="1">
      <c r="A13" s="106">
        <v>8</v>
      </c>
      <c r="B13" s="114" t="s">
        <v>242</v>
      </c>
      <c r="C13" s="115"/>
    </row>
    <row r="14" spans="1:3" s="76" customFormat="1" ht="25.5">
      <c r="A14" s="106">
        <v>9</v>
      </c>
      <c r="B14" s="116" t="s">
        <v>241</v>
      </c>
      <c r="C14" s="115"/>
    </row>
    <row r="15" spans="1:3" s="76" customFormat="1">
      <c r="A15" s="106">
        <v>10</v>
      </c>
      <c r="B15" s="117" t="s">
        <v>240</v>
      </c>
      <c r="C15" s="115">
        <v>4611880</v>
      </c>
    </row>
    <row r="16" spans="1:3" s="76" customFormat="1">
      <c r="A16" s="106">
        <v>11</v>
      </c>
      <c r="B16" s="118" t="s">
        <v>239</v>
      </c>
      <c r="C16" s="115"/>
    </row>
    <row r="17" spans="1:3" s="76" customFormat="1">
      <c r="A17" s="106">
        <v>12</v>
      </c>
      <c r="B17" s="117" t="s">
        <v>238</v>
      </c>
      <c r="C17" s="115"/>
    </row>
    <row r="18" spans="1:3" s="76" customFormat="1">
      <c r="A18" s="106">
        <v>13</v>
      </c>
      <c r="B18" s="117" t="s">
        <v>237</v>
      </c>
      <c r="C18" s="115"/>
    </row>
    <row r="19" spans="1:3" s="76" customFormat="1">
      <c r="A19" s="106">
        <v>14</v>
      </c>
      <c r="B19" s="117" t="s">
        <v>236</v>
      </c>
      <c r="C19" s="115"/>
    </row>
    <row r="20" spans="1:3" s="76" customFormat="1">
      <c r="A20" s="106">
        <v>15</v>
      </c>
      <c r="B20" s="117" t="s">
        <v>235</v>
      </c>
      <c r="C20" s="115"/>
    </row>
    <row r="21" spans="1:3" s="76" customFormat="1" ht="25.5">
      <c r="A21" s="106">
        <v>16</v>
      </c>
      <c r="B21" s="116" t="s">
        <v>234</v>
      </c>
      <c r="C21" s="115"/>
    </row>
    <row r="22" spans="1:3" s="76" customFormat="1">
      <c r="A22" s="106">
        <v>17</v>
      </c>
      <c r="B22" s="119" t="s">
        <v>233</v>
      </c>
      <c r="C22" s="115"/>
    </row>
    <row r="23" spans="1:3" s="76" customFormat="1">
      <c r="A23" s="106">
        <v>18</v>
      </c>
      <c r="B23" s="116" t="s">
        <v>232</v>
      </c>
      <c r="C23" s="115"/>
    </row>
    <row r="24" spans="1:3" s="76" customFormat="1" ht="25.5">
      <c r="A24" s="106">
        <v>19</v>
      </c>
      <c r="B24" s="116" t="s">
        <v>209</v>
      </c>
      <c r="C24" s="115"/>
    </row>
    <row r="25" spans="1:3" s="76" customFormat="1">
      <c r="A25" s="106">
        <v>20</v>
      </c>
      <c r="B25" s="120" t="s">
        <v>231</v>
      </c>
      <c r="C25" s="115"/>
    </row>
    <row r="26" spans="1:3" s="76" customFormat="1">
      <c r="A26" s="106">
        <v>21</v>
      </c>
      <c r="B26" s="120" t="s">
        <v>230</v>
      </c>
      <c r="C26" s="115"/>
    </row>
    <row r="27" spans="1:3" s="76" customFormat="1">
      <c r="A27" s="106">
        <v>22</v>
      </c>
      <c r="B27" s="120" t="s">
        <v>229</v>
      </c>
      <c r="C27" s="115"/>
    </row>
    <row r="28" spans="1:3" s="76" customFormat="1">
      <c r="A28" s="106">
        <v>23</v>
      </c>
      <c r="B28" s="121" t="s">
        <v>228</v>
      </c>
      <c r="C28" s="113">
        <f>C6-C12</f>
        <v>195242645</v>
      </c>
    </row>
    <row r="29" spans="1:3" s="76" customFormat="1">
      <c r="A29" s="122"/>
      <c r="B29" s="123"/>
      <c r="C29" s="115"/>
    </row>
    <row r="30" spans="1:3" s="76" customFormat="1">
      <c r="A30" s="122">
        <v>24</v>
      </c>
      <c r="B30" s="121" t="s">
        <v>227</v>
      </c>
      <c r="C30" s="113">
        <f>C31+C34</f>
        <v>20686400</v>
      </c>
    </row>
    <row r="31" spans="1:3" s="76" customFormat="1">
      <c r="A31" s="122">
        <v>25</v>
      </c>
      <c r="B31" s="111" t="s">
        <v>226</v>
      </c>
      <c r="C31" s="124">
        <f>C32+C33</f>
        <v>20686400</v>
      </c>
    </row>
    <row r="32" spans="1:3" s="76" customFormat="1">
      <c r="A32" s="122">
        <v>26</v>
      </c>
      <c r="B32" s="125" t="s">
        <v>308</v>
      </c>
      <c r="C32" s="115"/>
    </row>
    <row r="33" spans="1:3" s="76" customFormat="1">
      <c r="A33" s="122">
        <v>27</v>
      </c>
      <c r="B33" s="125" t="s">
        <v>225</v>
      </c>
      <c r="C33" s="115">
        <v>20686400</v>
      </c>
    </row>
    <row r="34" spans="1:3" s="76" customFormat="1">
      <c r="A34" s="122">
        <v>28</v>
      </c>
      <c r="B34" s="111" t="s">
        <v>224</v>
      </c>
      <c r="C34" s="115"/>
    </row>
    <row r="35" spans="1:3" s="76" customFormat="1">
      <c r="A35" s="122">
        <v>29</v>
      </c>
      <c r="B35" s="121" t="s">
        <v>223</v>
      </c>
      <c r="C35" s="113">
        <f>SUM(C36:C40)</f>
        <v>0</v>
      </c>
    </row>
    <row r="36" spans="1:3" s="76" customFormat="1">
      <c r="A36" s="122">
        <v>30</v>
      </c>
      <c r="B36" s="116" t="s">
        <v>222</v>
      </c>
      <c r="C36" s="115"/>
    </row>
    <row r="37" spans="1:3" s="76" customFormat="1">
      <c r="A37" s="122">
        <v>31</v>
      </c>
      <c r="B37" s="117" t="s">
        <v>221</v>
      </c>
      <c r="C37" s="115"/>
    </row>
    <row r="38" spans="1:3" s="76" customFormat="1" ht="25.5">
      <c r="A38" s="122">
        <v>32</v>
      </c>
      <c r="B38" s="116" t="s">
        <v>220</v>
      </c>
      <c r="C38" s="115"/>
    </row>
    <row r="39" spans="1:3" s="76" customFormat="1" ht="25.5">
      <c r="A39" s="122">
        <v>33</v>
      </c>
      <c r="B39" s="116" t="s">
        <v>209</v>
      </c>
      <c r="C39" s="115"/>
    </row>
    <row r="40" spans="1:3" s="76" customFormat="1">
      <c r="A40" s="122">
        <v>34</v>
      </c>
      <c r="B40" s="120" t="s">
        <v>219</v>
      </c>
      <c r="C40" s="115"/>
    </row>
    <row r="41" spans="1:3" s="76" customFormat="1">
      <c r="A41" s="122">
        <v>35</v>
      </c>
      <c r="B41" s="121" t="s">
        <v>218</v>
      </c>
      <c r="C41" s="113">
        <f>C30-C35</f>
        <v>20686400</v>
      </c>
    </row>
    <row r="42" spans="1:3" s="76" customFormat="1">
      <c r="A42" s="122"/>
      <c r="B42" s="123"/>
      <c r="C42" s="115"/>
    </row>
    <row r="43" spans="1:3" s="76" customFormat="1">
      <c r="A43" s="122">
        <v>36</v>
      </c>
      <c r="B43" s="126" t="s">
        <v>217</v>
      </c>
      <c r="C43" s="113">
        <f>SUM(C44:C46)</f>
        <v>212241285</v>
      </c>
    </row>
    <row r="44" spans="1:3" s="76" customFormat="1">
      <c r="A44" s="122">
        <v>37</v>
      </c>
      <c r="B44" s="111" t="s">
        <v>216</v>
      </c>
      <c r="C44" s="115">
        <v>203326720</v>
      </c>
    </row>
    <row r="45" spans="1:3" s="76" customFormat="1">
      <c r="A45" s="122">
        <v>38</v>
      </c>
      <c r="B45" s="111" t="s">
        <v>215</v>
      </c>
      <c r="C45" s="115"/>
    </row>
    <row r="46" spans="1:3" s="76" customFormat="1">
      <c r="A46" s="122">
        <v>39</v>
      </c>
      <c r="B46" s="111" t="s">
        <v>214</v>
      </c>
      <c r="C46" s="115">
        <v>8914565</v>
      </c>
    </row>
    <row r="47" spans="1:3" s="76" customFormat="1">
      <c r="A47" s="122">
        <v>40</v>
      </c>
      <c r="B47" s="126" t="s">
        <v>213</v>
      </c>
      <c r="C47" s="113">
        <f>SUM(C48:C51)</f>
        <v>0</v>
      </c>
    </row>
    <row r="48" spans="1:3" s="76" customFormat="1">
      <c r="A48" s="122">
        <v>41</v>
      </c>
      <c r="B48" s="116" t="s">
        <v>212</v>
      </c>
      <c r="C48" s="115"/>
    </row>
    <row r="49" spans="1:3" s="76" customFormat="1">
      <c r="A49" s="122">
        <v>42</v>
      </c>
      <c r="B49" s="117" t="s">
        <v>211</v>
      </c>
      <c r="C49" s="115"/>
    </row>
    <row r="50" spans="1:3" s="76" customFormat="1">
      <c r="A50" s="122">
        <v>43</v>
      </c>
      <c r="B50" s="116" t="s">
        <v>210</v>
      </c>
      <c r="C50" s="115"/>
    </row>
    <row r="51" spans="1:3" s="76" customFormat="1" ht="25.5">
      <c r="A51" s="122">
        <v>44</v>
      </c>
      <c r="B51" s="116" t="s">
        <v>209</v>
      </c>
      <c r="C51" s="115"/>
    </row>
    <row r="52" spans="1:3" s="76" customFormat="1" ht="13.5" thickBot="1">
      <c r="A52" s="127">
        <v>45</v>
      </c>
      <c r="B52" s="128" t="s">
        <v>208</v>
      </c>
      <c r="C52" s="129">
        <f>C43-C47</f>
        <v>212241285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22"/>
  <sheetViews>
    <sheetView workbookViewId="0"/>
  </sheetViews>
  <sheetFormatPr defaultColWidth="9.140625" defaultRowHeight="12.75"/>
  <cols>
    <col min="1" max="1" width="9.42578125" style="296" bestFit="1" customWidth="1"/>
    <col min="2" max="2" width="59" style="296" customWidth="1"/>
    <col min="3" max="3" width="16.7109375" style="296" bestFit="1" customWidth="1"/>
    <col min="4" max="4" width="14.28515625" style="296" bestFit="1" customWidth="1"/>
    <col min="5" max="16384" width="9.140625" style="296"/>
  </cols>
  <sheetData>
    <row r="1" spans="1:4" ht="15">
      <c r="A1" s="355" t="s">
        <v>30</v>
      </c>
      <c r="B1" s="356" t="str">
        <f>'Info '!C2</f>
        <v>JSC CARTU BANK</v>
      </c>
    </row>
    <row r="2" spans="1:4" s="263" customFormat="1" ht="15.75" customHeight="1">
      <c r="A2" s="263" t="s">
        <v>31</v>
      </c>
      <c r="B2" s="459">
        <f>'1. key ratios '!B2</f>
        <v>43738</v>
      </c>
    </row>
    <row r="3" spans="1:4" s="263" customFormat="1" ht="15.75" customHeight="1"/>
    <row r="4" spans="1:4" ht="13.5" thickBot="1">
      <c r="A4" s="321" t="s">
        <v>411</v>
      </c>
      <c r="B4" s="364" t="s">
        <v>412</v>
      </c>
    </row>
    <row r="5" spans="1:4" s="365" customFormat="1" ht="12.75" customHeight="1">
      <c r="A5" s="431"/>
      <c r="B5" s="432" t="s">
        <v>415</v>
      </c>
      <c r="C5" s="357" t="s">
        <v>413</v>
      </c>
      <c r="D5" s="358" t="s">
        <v>414</v>
      </c>
    </row>
    <row r="6" spans="1:4" s="366" customFormat="1">
      <c r="A6" s="359">
        <v>1</v>
      </c>
      <c r="B6" s="427" t="s">
        <v>416</v>
      </c>
      <c r="C6" s="427"/>
      <c r="D6" s="360"/>
    </row>
    <row r="7" spans="1:4" s="366" customFormat="1">
      <c r="A7" s="361" t="s">
        <v>402</v>
      </c>
      <c r="B7" s="428" t="s">
        <v>417</v>
      </c>
      <c r="C7" s="484">
        <v>4.4999999999999998E-2</v>
      </c>
      <c r="D7" s="480">
        <f>C7*'5. RWA '!$C$13</f>
        <v>64381917.309388727</v>
      </c>
    </row>
    <row r="8" spans="1:4" s="366" customFormat="1">
      <c r="A8" s="361" t="s">
        <v>403</v>
      </c>
      <c r="B8" s="428" t="s">
        <v>418</v>
      </c>
      <c r="C8" s="485">
        <v>0.06</v>
      </c>
      <c r="D8" s="480">
        <f>C8*'5. RWA '!$C$13</f>
        <v>85842556.412518293</v>
      </c>
    </row>
    <row r="9" spans="1:4" s="366" customFormat="1">
      <c r="A9" s="361" t="s">
        <v>404</v>
      </c>
      <c r="B9" s="428" t="s">
        <v>419</v>
      </c>
      <c r="C9" s="485">
        <v>0.08</v>
      </c>
      <c r="D9" s="480">
        <f>C9*'5. RWA '!$C$13</f>
        <v>114456741.88335773</v>
      </c>
    </row>
    <row r="10" spans="1:4" s="366" customFormat="1">
      <c r="A10" s="359" t="s">
        <v>405</v>
      </c>
      <c r="B10" s="427" t="s">
        <v>420</v>
      </c>
      <c r="C10" s="426"/>
      <c r="D10" s="481"/>
    </row>
    <row r="11" spans="1:4" s="367" customFormat="1">
      <c r="A11" s="362" t="s">
        <v>406</v>
      </c>
      <c r="B11" s="425" t="s">
        <v>421</v>
      </c>
      <c r="C11" s="486">
        <v>2.5000000000000001E-2</v>
      </c>
      <c r="D11" s="480">
        <f>C11*'5. RWA '!$C$13</f>
        <v>35767731.838549294</v>
      </c>
    </row>
    <row r="12" spans="1:4" s="367" customFormat="1">
      <c r="A12" s="362" t="s">
        <v>407</v>
      </c>
      <c r="B12" s="425" t="s">
        <v>422</v>
      </c>
      <c r="C12" s="486">
        <v>0</v>
      </c>
      <c r="D12" s="480">
        <f>C12*'5. RWA '!$C$13</f>
        <v>0</v>
      </c>
    </row>
    <row r="13" spans="1:4" s="367" customFormat="1">
      <c r="A13" s="362" t="s">
        <v>408</v>
      </c>
      <c r="B13" s="425" t="s">
        <v>423</v>
      </c>
      <c r="C13" s="486"/>
      <c r="D13" s="480">
        <f>C13*'5. RWA '!$C$13</f>
        <v>0</v>
      </c>
    </row>
    <row r="14" spans="1:4" s="367" customFormat="1">
      <c r="A14" s="359" t="s">
        <v>409</v>
      </c>
      <c r="B14" s="427" t="s">
        <v>485</v>
      </c>
      <c r="C14" s="487"/>
      <c r="D14" s="481"/>
    </row>
    <row r="15" spans="1:4" s="367" customFormat="1">
      <c r="A15" s="362">
        <v>3.1</v>
      </c>
      <c r="B15" s="425" t="s">
        <v>428</v>
      </c>
      <c r="C15" s="486">
        <v>2.3121532820169301E-2</v>
      </c>
      <c r="D15" s="480">
        <f>C15*'5. RWA '!$C$13</f>
        <v>33080191.424321275</v>
      </c>
    </row>
    <row r="16" spans="1:4" s="367" customFormat="1">
      <c r="A16" s="362">
        <v>3.2</v>
      </c>
      <c r="B16" s="425" t="s">
        <v>429</v>
      </c>
      <c r="C16" s="486">
        <v>3.0896910626656129E-2</v>
      </c>
      <c r="D16" s="480">
        <f>C16*'5. RWA '!$C$13</f>
        <v>44204496.557354413</v>
      </c>
    </row>
    <row r="17" spans="1:6" s="366" customFormat="1">
      <c r="A17" s="362">
        <v>3.3</v>
      </c>
      <c r="B17" s="425" t="s">
        <v>430</v>
      </c>
      <c r="C17" s="486">
        <v>9.8219388328205065E-2</v>
      </c>
      <c r="D17" s="480">
        <f>C17*'5. RWA '!$C$13</f>
        <v>140523389.72278309</v>
      </c>
    </row>
    <row r="18" spans="1:6" s="365" customFormat="1" ht="12.75" customHeight="1">
      <c r="A18" s="429"/>
      <c r="B18" s="430" t="s">
        <v>484</v>
      </c>
      <c r="C18" s="426" t="s">
        <v>413</v>
      </c>
      <c r="D18" s="482" t="s">
        <v>414</v>
      </c>
    </row>
    <row r="19" spans="1:6" s="366" customFormat="1">
      <c r="A19" s="363">
        <v>4</v>
      </c>
      <c r="B19" s="425" t="s">
        <v>424</v>
      </c>
      <c r="C19" s="486">
        <v>9.31215328201693E-2</v>
      </c>
      <c r="D19" s="480">
        <f>C19*'5. RWA '!$C$13</f>
        <v>133229840.57225929</v>
      </c>
    </row>
    <row r="20" spans="1:6" s="366" customFormat="1">
      <c r="A20" s="363">
        <v>5</v>
      </c>
      <c r="B20" s="425" t="s">
        <v>140</v>
      </c>
      <c r="C20" s="486">
        <v>0.11589691062665612</v>
      </c>
      <c r="D20" s="480">
        <f>C20*'5. RWA '!$C$13</f>
        <v>165814784.808422</v>
      </c>
    </row>
    <row r="21" spans="1:6" s="366" customFormat="1" ht="13.5" thickBot="1">
      <c r="A21" s="368" t="s">
        <v>410</v>
      </c>
      <c r="B21" s="369" t="s">
        <v>425</v>
      </c>
      <c r="C21" s="488">
        <v>0.20321938832820508</v>
      </c>
      <c r="D21" s="483">
        <f>C21*'5. RWA '!$C$13</f>
        <v>290747863.44469011</v>
      </c>
    </row>
    <row r="22" spans="1:6">
      <c r="F22" s="32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"/>
  <sheetViews>
    <sheetView zoomScaleNormal="100" workbookViewId="0">
      <pane xSplit="1" ySplit="5" topLeftCell="B27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4.25"/>
  <cols>
    <col min="1" max="1" width="10.7109375" style="4" customWidth="1"/>
    <col min="2" max="2" width="85.28515625" style="4" customWidth="1"/>
    <col min="3" max="3" width="36.710937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90" customFormat="1" ht="15.75" customHeight="1">
      <c r="A2" s="2" t="s">
        <v>31</v>
      </c>
      <c r="B2" s="458">
        <f>'1. key ratios '!B2</f>
        <v>43738</v>
      </c>
    </row>
    <row r="3" spans="1:6" s="90" customFormat="1" ht="15.75" customHeight="1">
      <c r="A3" s="130"/>
    </row>
    <row r="4" spans="1:6" s="90" customFormat="1" ht="15.75" customHeight="1" thickBot="1">
      <c r="A4" s="90" t="s">
        <v>86</v>
      </c>
      <c r="B4" s="254" t="s">
        <v>292</v>
      </c>
      <c r="D4" s="48" t="s">
        <v>73</v>
      </c>
    </row>
    <row r="5" spans="1:6" ht="38.25">
      <c r="A5" s="131" t="s">
        <v>6</v>
      </c>
      <c r="B5" s="285" t="s">
        <v>346</v>
      </c>
      <c r="C5" s="132" t="s">
        <v>93</v>
      </c>
      <c r="D5" s="133" t="s">
        <v>94</v>
      </c>
    </row>
    <row r="6" spans="1:6">
      <c r="A6" s="95">
        <v>1</v>
      </c>
      <c r="B6" s="134" t="s">
        <v>35</v>
      </c>
      <c r="C6" s="135">
        <f>'[4]2. RC'!E6</f>
        <v>21352185</v>
      </c>
      <c r="D6" s="136"/>
      <c r="E6" s="137"/>
    </row>
    <row r="7" spans="1:6">
      <c r="A7" s="95">
        <v>2</v>
      </c>
      <c r="B7" s="138" t="s">
        <v>36</v>
      </c>
      <c r="C7" s="139">
        <f>'[4]2. RC'!E7</f>
        <v>190010289</v>
      </c>
      <c r="D7" s="140"/>
      <c r="E7" s="137"/>
    </row>
    <row r="8" spans="1:6">
      <c r="A8" s="95">
        <v>3</v>
      </c>
      <c r="B8" s="138" t="s">
        <v>37</v>
      </c>
      <c r="C8" s="139">
        <f>'[4]2. RC'!E8</f>
        <v>180406000</v>
      </c>
      <c r="D8" s="140"/>
      <c r="E8" s="137"/>
    </row>
    <row r="9" spans="1:6">
      <c r="A9" s="95">
        <v>4</v>
      </c>
      <c r="B9" s="138" t="s">
        <v>38</v>
      </c>
      <c r="C9" s="139">
        <f>'[4]2. RC'!E9</f>
        <v>0</v>
      </c>
      <c r="D9" s="140"/>
      <c r="E9" s="137"/>
    </row>
    <row r="10" spans="1:6">
      <c r="A10" s="95">
        <v>5</v>
      </c>
      <c r="B10" s="138" t="s">
        <v>39</v>
      </c>
      <c r="C10" s="139">
        <f>'[4]2. RC'!E10-C11</f>
        <v>35779803</v>
      </c>
      <c r="D10" s="140"/>
      <c r="E10" s="137"/>
    </row>
    <row r="11" spans="1:6" ht="15.75">
      <c r="A11" s="95">
        <v>5.0999999999999996</v>
      </c>
      <c r="B11" s="524" t="s">
        <v>502</v>
      </c>
      <c r="C11" s="139">
        <v>-295520</v>
      </c>
      <c r="D11" s="494" t="s">
        <v>503</v>
      </c>
      <c r="E11" s="137"/>
    </row>
    <row r="12" spans="1:6">
      <c r="A12" s="95">
        <v>5.2</v>
      </c>
      <c r="B12" s="138" t="s">
        <v>518</v>
      </c>
      <c r="C12" s="139">
        <f>C10+C11</f>
        <v>35484283</v>
      </c>
      <c r="D12" s="140"/>
      <c r="E12" s="137"/>
    </row>
    <row r="13" spans="1:6">
      <c r="A13" s="95">
        <v>6.1</v>
      </c>
      <c r="B13" s="255" t="s">
        <v>40</v>
      </c>
      <c r="C13" s="141">
        <f>'[4]2. RC'!E11</f>
        <v>862641755</v>
      </c>
      <c r="D13" s="142"/>
      <c r="E13" s="143"/>
    </row>
    <row r="14" spans="1:6">
      <c r="A14" s="95">
        <v>6.2</v>
      </c>
      <c r="B14" s="256" t="s">
        <v>41</v>
      </c>
      <c r="C14" s="525">
        <f>'[4]2. RC'!E12</f>
        <v>-135880472</v>
      </c>
      <c r="D14" s="142"/>
      <c r="E14" s="143"/>
    </row>
    <row r="15" spans="1:6" ht="15.75">
      <c r="A15" s="95" t="s">
        <v>501</v>
      </c>
      <c r="B15" s="493" t="s">
        <v>502</v>
      </c>
      <c r="C15" s="491">
        <v>-8019053</v>
      </c>
      <c r="D15" s="494" t="s">
        <v>503</v>
      </c>
      <c r="E15" s="143"/>
    </row>
    <row r="16" spans="1:6">
      <c r="A16" s="95">
        <v>6</v>
      </c>
      <c r="B16" s="138" t="s">
        <v>42</v>
      </c>
      <c r="C16" s="144">
        <f>C13+C14</f>
        <v>726761283</v>
      </c>
      <c r="D16" s="142"/>
      <c r="E16" s="137"/>
    </row>
    <row r="17" spans="1:5">
      <c r="A17" s="95">
        <v>7</v>
      </c>
      <c r="B17" s="138" t="s">
        <v>43</v>
      </c>
      <c r="C17" s="139">
        <f>'[4]2. RC'!E14</f>
        <v>7555551</v>
      </c>
      <c r="D17" s="140"/>
      <c r="E17" s="137"/>
    </row>
    <row r="18" spans="1:5">
      <c r="A18" s="95">
        <v>8</v>
      </c>
      <c r="B18" s="283" t="s">
        <v>204</v>
      </c>
      <c r="C18" s="139">
        <f>'[4]2. RC'!E15</f>
        <v>24352452</v>
      </c>
      <c r="D18" s="140"/>
      <c r="E18" s="137"/>
    </row>
    <row r="19" spans="1:5" ht="15">
      <c r="A19" s="95">
        <v>9</v>
      </c>
      <c r="B19" s="138" t="s">
        <v>44</v>
      </c>
      <c r="C19" s="489">
        <f>SUM(C20:C23)</f>
        <v>5814321</v>
      </c>
      <c r="D19" s="140"/>
      <c r="E19" s="137"/>
    </row>
    <row r="20" spans="1:5" ht="15.75">
      <c r="A20" s="95">
        <v>9.1</v>
      </c>
      <c r="B20" s="145" t="s">
        <v>89</v>
      </c>
      <c r="C20" s="526">
        <v>9372300</v>
      </c>
      <c r="D20" s="495"/>
      <c r="E20" s="137"/>
    </row>
    <row r="21" spans="1:5" ht="15.75">
      <c r="A21" s="95">
        <v>9.1999999999999993</v>
      </c>
      <c r="B21" s="145" t="s">
        <v>504</v>
      </c>
      <c r="C21" s="492">
        <v>-3613839</v>
      </c>
      <c r="D21" s="495"/>
      <c r="E21" s="137"/>
    </row>
    <row r="22" spans="1:5" ht="15.75">
      <c r="A22" s="95">
        <v>9.3000000000000007</v>
      </c>
      <c r="B22" s="145" t="s">
        <v>274</v>
      </c>
      <c r="C22" s="526">
        <v>57000</v>
      </c>
      <c r="D22" s="495"/>
      <c r="E22" s="137"/>
    </row>
    <row r="23" spans="1:5" ht="15.75">
      <c r="A23" s="95">
        <v>9.4</v>
      </c>
      <c r="B23" s="257" t="s">
        <v>505</v>
      </c>
      <c r="C23" s="490">
        <v>-1140</v>
      </c>
      <c r="D23" s="494" t="s">
        <v>503</v>
      </c>
      <c r="E23" s="137"/>
    </row>
    <row r="24" spans="1:5">
      <c r="A24" s="95">
        <v>10</v>
      </c>
      <c r="B24" s="138" t="s">
        <v>45</v>
      </c>
      <c r="C24" s="139">
        <f>'[4]2. RC'!E17</f>
        <v>17998741</v>
      </c>
      <c r="D24" s="140"/>
      <c r="E24" s="137"/>
    </row>
    <row r="25" spans="1:5">
      <c r="A25" s="496">
        <v>10.1</v>
      </c>
      <c r="B25" s="154" t="s">
        <v>90</v>
      </c>
      <c r="C25" s="147">
        <f>'[4]9. Capital'!C15</f>
        <v>4611880</v>
      </c>
      <c r="D25" s="497" t="s">
        <v>92</v>
      </c>
      <c r="E25" s="137"/>
    </row>
    <row r="26" spans="1:5" ht="15">
      <c r="A26" s="498">
        <v>11</v>
      </c>
      <c r="B26" s="499" t="s">
        <v>46</v>
      </c>
      <c r="C26" s="500">
        <f>'[4]2. RC'!E18-C27-C28</f>
        <v>24230011</v>
      </c>
      <c r="D26" s="501"/>
      <c r="E26" s="151"/>
    </row>
    <row r="27" spans="1:5" ht="15.75">
      <c r="A27" s="498"/>
      <c r="B27" s="502" t="s">
        <v>502</v>
      </c>
      <c r="C27" s="500">
        <v>0</v>
      </c>
      <c r="D27" s="494" t="s">
        <v>503</v>
      </c>
      <c r="E27" s="137"/>
    </row>
    <row r="28" spans="1:5">
      <c r="A28" s="498"/>
      <c r="B28" s="502" t="s">
        <v>506</v>
      </c>
      <c r="C28" s="500">
        <v>-1094164</v>
      </c>
      <c r="D28" s="501"/>
      <c r="E28" s="137"/>
    </row>
    <row r="29" spans="1:5">
      <c r="A29" s="498"/>
      <c r="B29" s="499" t="s">
        <v>507</v>
      </c>
      <c r="C29" s="500">
        <f>SUM(C26:C28)</f>
        <v>23135847</v>
      </c>
      <c r="D29" s="501"/>
      <c r="E29" s="137"/>
    </row>
    <row r="30" spans="1:5">
      <c r="A30" s="95">
        <v>12</v>
      </c>
      <c r="B30" s="148" t="s">
        <v>47</v>
      </c>
      <c r="C30" s="149">
        <f>SUM(C6:C9,C12,C16:C19,C24,C29)</f>
        <v>1232870952</v>
      </c>
      <c r="D30" s="150"/>
      <c r="E30" s="137"/>
    </row>
    <row r="31" spans="1:5">
      <c r="A31" s="95">
        <v>13</v>
      </c>
      <c r="B31" s="138" t="s">
        <v>49</v>
      </c>
      <c r="C31" s="152">
        <f>'[4]2. RC'!E21</f>
        <v>155064</v>
      </c>
      <c r="D31" s="153"/>
      <c r="E31" s="137"/>
    </row>
    <row r="32" spans="1:5">
      <c r="A32" s="95">
        <v>14</v>
      </c>
      <c r="B32" s="138" t="s">
        <v>50</v>
      </c>
      <c r="C32" s="139">
        <f>'[4]2. RC'!E22</f>
        <v>362931233</v>
      </c>
      <c r="D32" s="140"/>
      <c r="E32" s="137"/>
    </row>
    <row r="33" spans="1:5">
      <c r="A33" s="95">
        <v>15</v>
      </c>
      <c r="B33" s="138" t="s">
        <v>51</v>
      </c>
      <c r="C33" s="139">
        <f>'[4]2. RC'!E23</f>
        <v>66618455</v>
      </c>
      <c r="D33" s="140"/>
      <c r="E33" s="137"/>
    </row>
    <row r="34" spans="1:5">
      <c r="A34" s="95">
        <v>16</v>
      </c>
      <c r="B34" s="138" t="s">
        <v>52</v>
      </c>
      <c r="C34" s="139">
        <f>'[4]2. RC'!E24</f>
        <v>351173425</v>
      </c>
      <c r="D34" s="140"/>
      <c r="E34" s="137"/>
    </row>
    <row r="35" spans="1:5">
      <c r="A35" s="95">
        <v>17</v>
      </c>
      <c r="B35" s="138" t="s">
        <v>53</v>
      </c>
      <c r="C35" s="139">
        <f>'[4]2. RC'!E25</f>
        <v>0</v>
      </c>
      <c r="D35" s="140"/>
      <c r="E35" s="137"/>
    </row>
    <row r="36" spans="1:5">
      <c r="A36" s="95">
        <v>18</v>
      </c>
      <c r="B36" s="138" t="s">
        <v>54</v>
      </c>
      <c r="C36" s="139">
        <f>'[4]2. RC'!E26</f>
        <v>0</v>
      </c>
      <c r="D36" s="140"/>
      <c r="E36" s="137"/>
    </row>
    <row r="37" spans="1:5" ht="15">
      <c r="A37" s="95">
        <v>19</v>
      </c>
      <c r="B37" s="138" t="s">
        <v>55</v>
      </c>
      <c r="C37" s="139">
        <f>'[4]2. RC'!E27</f>
        <v>8825232</v>
      </c>
      <c r="D37" s="140"/>
      <c r="E37" s="151"/>
    </row>
    <row r="38" spans="1:5">
      <c r="A38" s="95">
        <v>20</v>
      </c>
      <c r="B38" s="138" t="s">
        <v>56</v>
      </c>
      <c r="C38" s="139">
        <f>'[4]2. RC'!E28</f>
        <v>19299898</v>
      </c>
      <c r="D38" s="140"/>
      <c r="E38" s="137"/>
    </row>
    <row r="39" spans="1:5" ht="15.75">
      <c r="A39" s="95">
        <v>20.100000000000001</v>
      </c>
      <c r="B39" s="503" t="s">
        <v>508</v>
      </c>
      <c r="C39" s="491">
        <v>598852</v>
      </c>
      <c r="D39" s="494" t="s">
        <v>503</v>
      </c>
      <c r="E39" s="137"/>
    </row>
    <row r="40" spans="1:5" ht="15.75">
      <c r="A40" s="95">
        <v>21</v>
      </c>
      <c r="B40" s="146" t="s">
        <v>57</v>
      </c>
      <c r="C40" s="147">
        <f>'[4]2. RC'!E29</f>
        <v>223413120</v>
      </c>
      <c r="D40" s="495"/>
      <c r="E40" s="137"/>
    </row>
    <row r="41" spans="1:5" ht="15.75">
      <c r="A41" s="95">
        <v>21.1</v>
      </c>
      <c r="B41" s="154" t="s">
        <v>91</v>
      </c>
      <c r="C41" s="155">
        <f>C40</f>
        <v>223413120</v>
      </c>
      <c r="D41" s="494" t="s">
        <v>509</v>
      </c>
      <c r="E41" s="137"/>
    </row>
    <row r="42" spans="1:5">
      <c r="A42" s="95">
        <v>22</v>
      </c>
      <c r="B42" s="148" t="s">
        <v>58</v>
      </c>
      <c r="C42" s="149">
        <f>SUM(C31:C38,C40)</f>
        <v>1032416427</v>
      </c>
      <c r="D42" s="150"/>
      <c r="E42" s="137"/>
    </row>
    <row r="43" spans="1:5" ht="15.75">
      <c r="A43" s="95">
        <v>23</v>
      </c>
      <c r="B43" s="146" t="s">
        <v>60</v>
      </c>
      <c r="C43" s="139">
        <f>'[4]2. RC'!E32</f>
        <v>114430000</v>
      </c>
      <c r="D43" s="494" t="s">
        <v>510</v>
      </c>
      <c r="E43" s="137"/>
    </row>
    <row r="44" spans="1:5">
      <c r="A44" s="95">
        <v>24</v>
      </c>
      <c r="B44" s="146" t="s">
        <v>61</v>
      </c>
      <c r="C44" s="139">
        <f>'[4]2. RC'!E33</f>
        <v>0</v>
      </c>
      <c r="D44" s="140"/>
      <c r="E44" s="137"/>
    </row>
    <row r="45" spans="1:5" ht="15">
      <c r="A45" s="95">
        <v>25</v>
      </c>
      <c r="B45" s="146" t="s">
        <v>62</v>
      </c>
      <c r="C45" s="139">
        <f>'[4]2. RC'!E34</f>
        <v>0</v>
      </c>
      <c r="D45" s="140"/>
      <c r="E45" s="151"/>
    </row>
    <row r="46" spans="1:5">
      <c r="A46" s="95">
        <v>26</v>
      </c>
      <c r="B46" s="146" t="s">
        <v>63</v>
      </c>
      <c r="C46" s="139">
        <f>'[4]2. RC'!E35</f>
        <v>0</v>
      </c>
      <c r="D46" s="140"/>
    </row>
    <row r="47" spans="1:5">
      <c r="A47" s="95">
        <v>27</v>
      </c>
      <c r="B47" s="146" t="s">
        <v>64</v>
      </c>
      <c r="C47" s="139">
        <f>'[4]2. RC'!E36</f>
        <v>7438034</v>
      </c>
      <c r="D47" s="140"/>
    </row>
    <row r="48" spans="1:5" ht="15.75">
      <c r="A48" s="95">
        <v>27.1</v>
      </c>
      <c r="B48" s="504" t="s">
        <v>511</v>
      </c>
      <c r="C48" s="490">
        <v>6838034</v>
      </c>
      <c r="D48" s="494" t="s">
        <v>512</v>
      </c>
    </row>
    <row r="49" spans="1:4" ht="15.75">
      <c r="A49" s="95">
        <v>27.2</v>
      </c>
      <c r="B49" s="504" t="s">
        <v>513</v>
      </c>
      <c r="C49" s="490">
        <v>600000</v>
      </c>
      <c r="D49" s="494" t="s">
        <v>509</v>
      </c>
    </row>
    <row r="50" spans="1:4" ht="15.75">
      <c r="A50" s="95">
        <v>28</v>
      </c>
      <c r="B50" s="146" t="s">
        <v>65</v>
      </c>
      <c r="C50" s="139">
        <f>'[4]2. RC'!E37</f>
        <v>78586491</v>
      </c>
      <c r="D50" s="494" t="s">
        <v>514</v>
      </c>
    </row>
    <row r="51" spans="1:4">
      <c r="A51" s="95">
        <v>29</v>
      </c>
      <c r="B51" s="146" t="s">
        <v>66</v>
      </c>
      <c r="C51" s="139">
        <f>'[4]2. RC'!H38</f>
        <v>0</v>
      </c>
      <c r="D51" s="140"/>
    </row>
    <row r="52" spans="1:4" ht="15" thickBot="1">
      <c r="A52" s="156">
        <v>30</v>
      </c>
      <c r="B52" s="157" t="s">
        <v>272</v>
      </c>
      <c r="C52" s="158">
        <f>SUM(C43:C47,C50:C51)</f>
        <v>200454525</v>
      </c>
      <c r="D52" s="15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/>
  <cols>
    <col min="1" max="1" width="10.5703125" style="4" bestFit="1" customWidth="1"/>
    <col min="2" max="2" width="71.2851562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6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55">
        <f>'1. key ratios '!B2</f>
        <v>43738</v>
      </c>
    </row>
    <row r="4" spans="1:19" ht="26.25" thickBot="1">
      <c r="A4" s="4" t="s">
        <v>254</v>
      </c>
      <c r="B4" s="307" t="s">
        <v>381</v>
      </c>
    </row>
    <row r="5" spans="1:19" s="293" customFormat="1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5</v>
      </c>
      <c r="I5" s="290" t="s">
        <v>8</v>
      </c>
      <c r="J5" s="290" t="s">
        <v>9</v>
      </c>
      <c r="K5" s="290" t="s">
        <v>10</v>
      </c>
      <c r="L5" s="290" t="s">
        <v>11</v>
      </c>
      <c r="M5" s="290" t="s">
        <v>12</v>
      </c>
      <c r="N5" s="290" t="s">
        <v>13</v>
      </c>
      <c r="O5" s="290" t="s">
        <v>364</v>
      </c>
      <c r="P5" s="290" t="s">
        <v>365</v>
      </c>
      <c r="Q5" s="290" t="s">
        <v>366</v>
      </c>
      <c r="R5" s="291" t="s">
        <v>367</v>
      </c>
      <c r="S5" s="292" t="s">
        <v>368</v>
      </c>
    </row>
    <row r="6" spans="1:19" s="293" customFormat="1" ht="99" customHeight="1">
      <c r="A6" s="294"/>
      <c r="B6" s="555" t="s">
        <v>369</v>
      </c>
      <c r="C6" s="551">
        <v>0</v>
      </c>
      <c r="D6" s="552"/>
      <c r="E6" s="551">
        <v>0.2</v>
      </c>
      <c r="F6" s="552"/>
      <c r="G6" s="551">
        <v>0.35</v>
      </c>
      <c r="H6" s="552"/>
      <c r="I6" s="551">
        <v>0.5</v>
      </c>
      <c r="J6" s="552"/>
      <c r="K6" s="551">
        <v>0.75</v>
      </c>
      <c r="L6" s="552"/>
      <c r="M6" s="551">
        <v>1</v>
      </c>
      <c r="N6" s="552"/>
      <c r="O6" s="551">
        <v>1.5</v>
      </c>
      <c r="P6" s="552"/>
      <c r="Q6" s="551">
        <v>2.5</v>
      </c>
      <c r="R6" s="552"/>
      <c r="S6" s="553" t="s">
        <v>253</v>
      </c>
    </row>
    <row r="7" spans="1:19" s="293" customFormat="1" ht="30.75" customHeight="1">
      <c r="A7" s="294"/>
      <c r="B7" s="556"/>
      <c r="C7" s="284" t="s">
        <v>256</v>
      </c>
      <c r="D7" s="284" t="s">
        <v>255</v>
      </c>
      <c r="E7" s="284" t="s">
        <v>256</v>
      </c>
      <c r="F7" s="284" t="s">
        <v>255</v>
      </c>
      <c r="G7" s="284" t="s">
        <v>256</v>
      </c>
      <c r="H7" s="284" t="s">
        <v>255</v>
      </c>
      <c r="I7" s="284" t="s">
        <v>256</v>
      </c>
      <c r="J7" s="284" t="s">
        <v>255</v>
      </c>
      <c r="K7" s="284" t="s">
        <v>256</v>
      </c>
      <c r="L7" s="284" t="s">
        <v>255</v>
      </c>
      <c r="M7" s="284" t="s">
        <v>256</v>
      </c>
      <c r="N7" s="284" t="s">
        <v>255</v>
      </c>
      <c r="O7" s="284" t="s">
        <v>256</v>
      </c>
      <c r="P7" s="284" t="s">
        <v>255</v>
      </c>
      <c r="Q7" s="284" t="s">
        <v>256</v>
      </c>
      <c r="R7" s="284" t="s">
        <v>255</v>
      </c>
      <c r="S7" s="554"/>
    </row>
    <row r="8" spans="1:19" s="162" customFormat="1">
      <c r="A8" s="160">
        <v>1</v>
      </c>
      <c r="B8" s="1" t="s">
        <v>96</v>
      </c>
      <c r="C8" s="161">
        <v>22788881</v>
      </c>
      <c r="D8" s="161"/>
      <c r="E8" s="161"/>
      <c r="F8" s="161"/>
      <c r="G8" s="161"/>
      <c r="H8" s="161"/>
      <c r="I8" s="161"/>
      <c r="J8" s="161"/>
      <c r="K8" s="161"/>
      <c r="L8" s="161"/>
      <c r="M8" s="161">
        <v>188254762</v>
      </c>
      <c r="N8" s="161"/>
      <c r="O8" s="161"/>
      <c r="P8" s="161"/>
      <c r="Q8" s="161"/>
      <c r="R8" s="161"/>
      <c r="S8" s="308">
        <f>$C$6*SUM(C8:D8)+$E$6*SUM(E8:F8)+$G$6*SUM(G8:H8)+$I$6*SUM(I8:J8)+$K$6*SUM(K8:L8)+$M$6*SUM(M8:N8)+$O$6*SUM(O8:P8)+$Q$6*SUM(Q8:R8)</f>
        <v>188254762</v>
      </c>
    </row>
    <row r="9" spans="1:19" s="162" customFormat="1">
      <c r="A9" s="160">
        <v>2</v>
      </c>
      <c r="B9" s="1" t="s">
        <v>97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>
        <v>0</v>
      </c>
      <c r="N9" s="161"/>
      <c r="O9" s="161"/>
      <c r="P9" s="161"/>
      <c r="Q9" s="161"/>
      <c r="R9" s="161"/>
      <c r="S9" s="308">
        <f t="shared" ref="S9:S21" si="0">$C$6*SUM(C9:D9)+$E$6*SUM(E9:F9)+$G$6*SUM(G9:H9)+$I$6*SUM(I9:J9)+$K$6*SUM(K9:L9)+$M$6*SUM(M9:N9)+$O$6*SUM(O9:P9)+$Q$6*SUM(Q9:R9)</f>
        <v>0</v>
      </c>
    </row>
    <row r="10" spans="1:19" s="162" customFormat="1">
      <c r="A10" s="160">
        <v>3</v>
      </c>
      <c r="B10" s="1" t="s">
        <v>275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>
        <v>0</v>
      </c>
      <c r="N10" s="161"/>
      <c r="O10" s="161"/>
      <c r="P10" s="161"/>
      <c r="Q10" s="161"/>
      <c r="R10" s="161"/>
      <c r="S10" s="308">
        <f t="shared" si="0"/>
        <v>0</v>
      </c>
    </row>
    <row r="11" spans="1:19" s="162" customFormat="1">
      <c r="A11" s="160">
        <v>4</v>
      </c>
      <c r="B11" s="1" t="s">
        <v>98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>
        <v>0</v>
      </c>
      <c r="N11" s="161"/>
      <c r="O11" s="161"/>
      <c r="P11" s="161"/>
      <c r="Q11" s="161"/>
      <c r="R11" s="161"/>
      <c r="S11" s="308">
        <f t="shared" si="0"/>
        <v>0</v>
      </c>
    </row>
    <row r="12" spans="1:19" s="162" customFormat="1">
      <c r="A12" s="160">
        <v>5</v>
      </c>
      <c r="B12" s="1" t="s">
        <v>99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>
        <v>0</v>
      </c>
      <c r="N12" s="161"/>
      <c r="O12" s="161"/>
      <c r="P12" s="161"/>
      <c r="Q12" s="161"/>
      <c r="R12" s="161"/>
      <c r="S12" s="308">
        <f t="shared" si="0"/>
        <v>0</v>
      </c>
    </row>
    <row r="13" spans="1:19" s="162" customFormat="1">
      <c r="A13" s="160">
        <v>6</v>
      </c>
      <c r="B13" s="1" t="s">
        <v>100</v>
      </c>
      <c r="C13" s="161">
        <v>0</v>
      </c>
      <c r="D13" s="161"/>
      <c r="E13" s="161">
        <v>135226265.75000003</v>
      </c>
      <c r="F13" s="161"/>
      <c r="G13" s="161"/>
      <c r="H13" s="161"/>
      <c r="I13" s="161">
        <v>45067875.330000006</v>
      </c>
      <c r="J13" s="161"/>
      <c r="K13" s="161"/>
      <c r="L13" s="161"/>
      <c r="M13" s="161">
        <v>141388.91999996454</v>
      </c>
      <c r="N13" s="161"/>
      <c r="O13" s="161"/>
      <c r="P13" s="161"/>
      <c r="Q13" s="161"/>
      <c r="R13" s="161"/>
      <c r="S13" s="308">
        <f t="shared" si="0"/>
        <v>49720579.734999977</v>
      </c>
    </row>
    <row r="14" spans="1:19" s="162" customFormat="1">
      <c r="A14" s="160">
        <v>7</v>
      </c>
      <c r="B14" s="1" t="s">
        <v>101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v>566237459.81004143</v>
      </c>
      <c r="N14" s="161">
        <v>58034383.740548052</v>
      </c>
      <c r="O14" s="161">
        <v>0</v>
      </c>
      <c r="P14" s="161"/>
      <c r="Q14" s="161">
        <v>47754847.682183005</v>
      </c>
      <c r="R14" s="161">
        <v>0</v>
      </c>
      <c r="S14" s="308">
        <f t="shared" si="0"/>
        <v>743658962.75604701</v>
      </c>
    </row>
    <row r="15" spans="1:19" s="162" customFormat="1">
      <c r="A15" s="160">
        <v>8</v>
      </c>
      <c r="B15" s="1" t="s">
        <v>102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>
        <v>0</v>
      </c>
      <c r="N15" s="161"/>
      <c r="O15" s="161"/>
      <c r="P15" s="161"/>
      <c r="Q15" s="161"/>
      <c r="R15" s="161"/>
      <c r="S15" s="308">
        <f t="shared" si="0"/>
        <v>0</v>
      </c>
    </row>
    <row r="16" spans="1:19" s="162" customFormat="1">
      <c r="A16" s="160">
        <v>9</v>
      </c>
      <c r="B16" s="1" t="s">
        <v>103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>
        <v>0</v>
      </c>
      <c r="N16" s="161"/>
      <c r="O16" s="161"/>
      <c r="P16" s="161"/>
      <c r="Q16" s="161"/>
      <c r="R16" s="161"/>
      <c r="S16" s="308">
        <f t="shared" si="0"/>
        <v>0</v>
      </c>
    </row>
    <row r="17" spans="1:19" s="162" customFormat="1">
      <c r="A17" s="160">
        <v>10</v>
      </c>
      <c r="B17" s="1" t="s">
        <v>104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>
        <v>109193710.62576897</v>
      </c>
      <c r="N17" s="161">
        <v>3982167.9199999957</v>
      </c>
      <c r="O17" s="161">
        <v>0</v>
      </c>
      <c r="P17" s="161"/>
      <c r="Q17" s="161">
        <v>0</v>
      </c>
      <c r="R17" s="161"/>
      <c r="S17" s="308">
        <f t="shared" si="0"/>
        <v>113175878.54576898</v>
      </c>
    </row>
    <row r="18" spans="1:19" s="162" customFormat="1">
      <c r="A18" s="160">
        <v>11</v>
      </c>
      <c r="B18" s="1" t="s">
        <v>105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>
        <v>0</v>
      </c>
      <c r="N18" s="161"/>
      <c r="O18" s="161"/>
      <c r="P18" s="161"/>
      <c r="Q18" s="161"/>
      <c r="R18" s="161"/>
      <c r="S18" s="308">
        <f t="shared" si="0"/>
        <v>0</v>
      </c>
    </row>
    <row r="19" spans="1:19" s="162" customFormat="1">
      <c r="A19" s="160">
        <v>12</v>
      </c>
      <c r="B19" s="1" t="s">
        <v>106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v>0</v>
      </c>
      <c r="N19" s="161"/>
      <c r="O19" s="161"/>
      <c r="P19" s="161"/>
      <c r="Q19" s="161"/>
      <c r="R19" s="161"/>
      <c r="S19" s="308">
        <f t="shared" si="0"/>
        <v>0</v>
      </c>
    </row>
    <row r="20" spans="1:19" s="162" customFormat="1">
      <c r="A20" s="160">
        <v>13</v>
      </c>
      <c r="B20" s="1" t="s">
        <v>252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v>0</v>
      </c>
      <c r="N20" s="161"/>
      <c r="O20" s="161"/>
      <c r="P20" s="161"/>
      <c r="Q20" s="161"/>
      <c r="R20" s="161"/>
      <c r="S20" s="308">
        <f t="shared" si="0"/>
        <v>0</v>
      </c>
    </row>
    <row r="21" spans="1:19" s="162" customFormat="1">
      <c r="A21" s="160">
        <v>14</v>
      </c>
      <c r="B21" s="1" t="s">
        <v>108</v>
      </c>
      <c r="C21" s="161">
        <v>27430781</v>
      </c>
      <c r="D21" s="161"/>
      <c r="E21" s="161">
        <v>0</v>
      </c>
      <c r="F21" s="161"/>
      <c r="G21" s="161"/>
      <c r="H21" s="161">
        <v>0</v>
      </c>
      <c r="I21" s="161">
        <v>0</v>
      </c>
      <c r="J21" s="161"/>
      <c r="K21" s="161"/>
      <c r="L21" s="161"/>
      <c r="M21" s="161">
        <v>63764417.200141974</v>
      </c>
      <c r="N21" s="161">
        <v>1108462.420249999</v>
      </c>
      <c r="O21" s="161">
        <v>0</v>
      </c>
      <c r="P21" s="161"/>
      <c r="Q21" s="161">
        <v>30714390.82</v>
      </c>
      <c r="R21" s="161"/>
      <c r="S21" s="308">
        <f t="shared" si="0"/>
        <v>141658856.67039198</v>
      </c>
    </row>
    <row r="22" spans="1:19" ht="13.5" thickBot="1">
      <c r="A22" s="163"/>
      <c r="B22" s="164" t="s">
        <v>109</v>
      </c>
      <c r="C22" s="165">
        <f>SUM(C8:C21)</f>
        <v>50219662</v>
      </c>
      <c r="D22" s="165">
        <f t="shared" ref="D22:J22" si="1">SUM(D8:D21)</f>
        <v>0</v>
      </c>
      <c r="E22" s="165">
        <f t="shared" si="1"/>
        <v>135226265.75000003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45067875.330000006</v>
      </c>
      <c r="J22" s="165">
        <f t="shared" si="1"/>
        <v>0</v>
      </c>
      <c r="K22" s="165">
        <f t="shared" ref="K22:S22" si="2">SUM(K8:K21)</f>
        <v>0</v>
      </c>
      <c r="L22" s="165">
        <f t="shared" si="2"/>
        <v>0</v>
      </c>
      <c r="M22" s="165">
        <f t="shared" si="2"/>
        <v>927591738.55595243</v>
      </c>
      <c r="N22" s="165">
        <f t="shared" si="2"/>
        <v>63125014.080798045</v>
      </c>
      <c r="O22" s="165">
        <f t="shared" si="2"/>
        <v>0</v>
      </c>
      <c r="P22" s="165">
        <f t="shared" si="2"/>
        <v>0</v>
      </c>
      <c r="Q22" s="165">
        <f t="shared" si="2"/>
        <v>78469238.502183005</v>
      </c>
      <c r="R22" s="165">
        <f t="shared" si="2"/>
        <v>0</v>
      </c>
      <c r="S22" s="309">
        <f t="shared" si="2"/>
        <v>1236469039.7072082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>
      <pane xSplit="2" ySplit="6" topLeftCell="N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55">
        <f>'1. key ratios '!B2</f>
        <v>43738</v>
      </c>
    </row>
    <row r="4" spans="1:22" ht="13.5" thickBot="1">
      <c r="A4" s="4" t="s">
        <v>372</v>
      </c>
      <c r="B4" s="166" t="s">
        <v>95</v>
      </c>
      <c r="V4" s="48" t="s">
        <v>73</v>
      </c>
    </row>
    <row r="5" spans="1:22" ht="12.75" customHeight="1">
      <c r="A5" s="167"/>
      <c r="B5" s="168"/>
      <c r="C5" s="557" t="s">
        <v>283</v>
      </c>
      <c r="D5" s="558"/>
      <c r="E5" s="558"/>
      <c r="F5" s="558"/>
      <c r="G5" s="558"/>
      <c r="H5" s="558"/>
      <c r="I5" s="558"/>
      <c r="J5" s="558"/>
      <c r="K5" s="558"/>
      <c r="L5" s="559"/>
      <c r="M5" s="560" t="s">
        <v>284</v>
      </c>
      <c r="N5" s="561"/>
      <c r="O5" s="561"/>
      <c r="P5" s="561"/>
      <c r="Q5" s="561"/>
      <c r="R5" s="561"/>
      <c r="S5" s="562"/>
      <c r="T5" s="565" t="s">
        <v>370</v>
      </c>
      <c r="U5" s="565" t="s">
        <v>371</v>
      </c>
      <c r="V5" s="563" t="s">
        <v>121</v>
      </c>
    </row>
    <row r="6" spans="1:22" s="101" customFormat="1" ht="102">
      <c r="A6" s="98"/>
      <c r="B6" s="169"/>
      <c r="C6" s="170" t="s">
        <v>110</v>
      </c>
      <c r="D6" s="260" t="s">
        <v>111</v>
      </c>
      <c r="E6" s="197" t="s">
        <v>286</v>
      </c>
      <c r="F6" s="197" t="s">
        <v>287</v>
      </c>
      <c r="G6" s="260" t="s">
        <v>290</v>
      </c>
      <c r="H6" s="260" t="s">
        <v>285</v>
      </c>
      <c r="I6" s="260" t="s">
        <v>112</v>
      </c>
      <c r="J6" s="260" t="s">
        <v>113</v>
      </c>
      <c r="K6" s="171" t="s">
        <v>114</v>
      </c>
      <c r="L6" s="172" t="s">
        <v>115</v>
      </c>
      <c r="M6" s="170" t="s">
        <v>288</v>
      </c>
      <c r="N6" s="171" t="s">
        <v>116</v>
      </c>
      <c r="O6" s="171" t="s">
        <v>117</v>
      </c>
      <c r="P6" s="171" t="s">
        <v>118</v>
      </c>
      <c r="Q6" s="171" t="s">
        <v>119</v>
      </c>
      <c r="R6" s="171" t="s">
        <v>120</v>
      </c>
      <c r="S6" s="286" t="s">
        <v>289</v>
      </c>
      <c r="T6" s="566"/>
      <c r="U6" s="566"/>
      <c r="V6" s="564"/>
    </row>
    <row r="7" spans="1:22" s="162" customFormat="1">
      <c r="A7" s="173">
        <v>1</v>
      </c>
      <c r="B7" s="1" t="s">
        <v>96</v>
      </c>
      <c r="C7" s="174"/>
      <c r="D7" s="161"/>
      <c r="E7" s="161"/>
      <c r="F7" s="161"/>
      <c r="G7" s="161"/>
      <c r="H7" s="161"/>
      <c r="I7" s="161"/>
      <c r="J7" s="161"/>
      <c r="K7" s="161"/>
      <c r="L7" s="175"/>
      <c r="M7" s="174"/>
      <c r="N7" s="161"/>
      <c r="O7" s="161"/>
      <c r="P7" s="161"/>
      <c r="Q7" s="161"/>
      <c r="R7" s="161"/>
      <c r="S7" s="175"/>
      <c r="T7" s="295"/>
      <c r="U7" s="295"/>
      <c r="V7" s="176">
        <f>SUM(C7:S7)</f>
        <v>0</v>
      </c>
    </row>
    <row r="8" spans="1:22" s="162" customFormat="1">
      <c r="A8" s="173">
        <v>2</v>
      </c>
      <c r="B8" s="1" t="s">
        <v>97</v>
      </c>
      <c r="C8" s="174"/>
      <c r="D8" s="161"/>
      <c r="E8" s="161"/>
      <c r="F8" s="161"/>
      <c r="G8" s="161"/>
      <c r="H8" s="161"/>
      <c r="I8" s="161"/>
      <c r="J8" s="161"/>
      <c r="K8" s="161"/>
      <c r="L8" s="175"/>
      <c r="M8" s="174"/>
      <c r="N8" s="161"/>
      <c r="O8" s="161"/>
      <c r="P8" s="161"/>
      <c r="Q8" s="161"/>
      <c r="R8" s="161"/>
      <c r="S8" s="175"/>
      <c r="T8" s="295"/>
      <c r="U8" s="295"/>
      <c r="V8" s="176">
        <f t="shared" ref="V8:V20" si="0">SUM(C8:S8)</f>
        <v>0</v>
      </c>
    </row>
    <row r="9" spans="1:22" s="162" customFormat="1">
      <c r="A9" s="173">
        <v>3</v>
      </c>
      <c r="B9" s="1" t="s">
        <v>276</v>
      </c>
      <c r="C9" s="174"/>
      <c r="D9" s="161"/>
      <c r="E9" s="161"/>
      <c r="F9" s="161"/>
      <c r="G9" s="161"/>
      <c r="H9" s="161"/>
      <c r="I9" s="161"/>
      <c r="J9" s="161"/>
      <c r="K9" s="161"/>
      <c r="L9" s="175"/>
      <c r="M9" s="174"/>
      <c r="N9" s="161"/>
      <c r="O9" s="161"/>
      <c r="P9" s="161"/>
      <c r="Q9" s="161"/>
      <c r="R9" s="161"/>
      <c r="S9" s="175"/>
      <c r="T9" s="295"/>
      <c r="U9" s="295"/>
      <c r="V9" s="176">
        <f t="shared" si="0"/>
        <v>0</v>
      </c>
    </row>
    <row r="10" spans="1:22" s="162" customFormat="1">
      <c r="A10" s="173">
        <v>4</v>
      </c>
      <c r="B10" s="1" t="s">
        <v>98</v>
      </c>
      <c r="C10" s="174"/>
      <c r="D10" s="161"/>
      <c r="E10" s="161"/>
      <c r="F10" s="161"/>
      <c r="G10" s="161"/>
      <c r="H10" s="161"/>
      <c r="I10" s="161"/>
      <c r="J10" s="161"/>
      <c r="K10" s="161"/>
      <c r="L10" s="175"/>
      <c r="M10" s="174"/>
      <c r="N10" s="161"/>
      <c r="O10" s="161"/>
      <c r="P10" s="161"/>
      <c r="Q10" s="161"/>
      <c r="R10" s="161"/>
      <c r="S10" s="175"/>
      <c r="T10" s="295"/>
      <c r="U10" s="295"/>
      <c r="V10" s="176">
        <f t="shared" si="0"/>
        <v>0</v>
      </c>
    </row>
    <row r="11" spans="1:22" s="162" customFormat="1">
      <c r="A11" s="173">
        <v>5</v>
      </c>
      <c r="B11" s="1" t="s">
        <v>99</v>
      </c>
      <c r="C11" s="174"/>
      <c r="D11" s="161"/>
      <c r="E11" s="161"/>
      <c r="F11" s="161"/>
      <c r="G11" s="161"/>
      <c r="H11" s="161"/>
      <c r="I11" s="161"/>
      <c r="J11" s="161"/>
      <c r="K11" s="161"/>
      <c r="L11" s="175"/>
      <c r="M11" s="174"/>
      <c r="N11" s="161"/>
      <c r="O11" s="161"/>
      <c r="P11" s="161"/>
      <c r="Q11" s="161"/>
      <c r="R11" s="161"/>
      <c r="S11" s="175"/>
      <c r="T11" s="295"/>
      <c r="U11" s="295"/>
      <c r="V11" s="176">
        <f t="shared" si="0"/>
        <v>0</v>
      </c>
    </row>
    <row r="12" spans="1:22" s="162" customFormat="1">
      <c r="A12" s="173">
        <v>6</v>
      </c>
      <c r="B12" s="1" t="s">
        <v>100</v>
      </c>
      <c r="C12" s="174"/>
      <c r="D12" s="161"/>
      <c r="E12" s="161"/>
      <c r="F12" s="161"/>
      <c r="G12" s="161"/>
      <c r="H12" s="161"/>
      <c r="I12" s="161"/>
      <c r="J12" s="161"/>
      <c r="K12" s="161"/>
      <c r="L12" s="175"/>
      <c r="M12" s="174"/>
      <c r="N12" s="161"/>
      <c r="O12" s="161"/>
      <c r="P12" s="161"/>
      <c r="Q12" s="161"/>
      <c r="R12" s="161"/>
      <c r="S12" s="175"/>
      <c r="T12" s="295"/>
      <c r="U12" s="295"/>
      <c r="V12" s="176">
        <f t="shared" si="0"/>
        <v>0</v>
      </c>
    </row>
    <row r="13" spans="1:22" s="162" customFormat="1">
      <c r="A13" s="173">
        <v>7</v>
      </c>
      <c r="B13" s="1" t="s">
        <v>101</v>
      </c>
      <c r="C13" s="174"/>
      <c r="D13" s="161">
        <v>10354782.691103071</v>
      </c>
      <c r="E13" s="161"/>
      <c r="F13" s="161"/>
      <c r="G13" s="161"/>
      <c r="H13" s="161"/>
      <c r="I13" s="161"/>
      <c r="J13" s="161"/>
      <c r="K13" s="161"/>
      <c r="L13" s="175"/>
      <c r="M13" s="174"/>
      <c r="N13" s="161"/>
      <c r="O13" s="161"/>
      <c r="P13" s="161"/>
      <c r="Q13" s="161"/>
      <c r="R13" s="161"/>
      <c r="S13" s="175"/>
      <c r="T13" s="295">
        <v>3909169.7967124563</v>
      </c>
      <c r="U13" s="295">
        <v>6445612.8943906156</v>
      </c>
      <c r="V13" s="176">
        <f t="shared" si="0"/>
        <v>10354782.691103071</v>
      </c>
    </row>
    <row r="14" spans="1:22" s="162" customFormat="1">
      <c r="A14" s="173">
        <v>8</v>
      </c>
      <c r="B14" s="1" t="s">
        <v>102</v>
      </c>
      <c r="C14" s="174"/>
      <c r="D14" s="161"/>
      <c r="E14" s="161"/>
      <c r="F14" s="161"/>
      <c r="G14" s="161"/>
      <c r="H14" s="161"/>
      <c r="I14" s="161"/>
      <c r="J14" s="161"/>
      <c r="K14" s="161"/>
      <c r="L14" s="175"/>
      <c r="M14" s="174"/>
      <c r="N14" s="161"/>
      <c r="O14" s="161"/>
      <c r="P14" s="161"/>
      <c r="Q14" s="161"/>
      <c r="R14" s="161"/>
      <c r="S14" s="175"/>
      <c r="T14" s="295"/>
      <c r="U14" s="295"/>
      <c r="V14" s="176">
        <f t="shared" si="0"/>
        <v>0</v>
      </c>
    </row>
    <row r="15" spans="1:22" s="162" customFormat="1">
      <c r="A15" s="173">
        <v>9</v>
      </c>
      <c r="B15" s="1" t="s">
        <v>103</v>
      </c>
      <c r="C15" s="174"/>
      <c r="D15" s="161"/>
      <c r="E15" s="161"/>
      <c r="F15" s="161"/>
      <c r="G15" s="161"/>
      <c r="H15" s="161"/>
      <c r="I15" s="161"/>
      <c r="J15" s="161"/>
      <c r="K15" s="161"/>
      <c r="L15" s="175"/>
      <c r="M15" s="174"/>
      <c r="N15" s="161"/>
      <c r="O15" s="161"/>
      <c r="P15" s="161"/>
      <c r="Q15" s="161"/>
      <c r="R15" s="161"/>
      <c r="S15" s="175"/>
      <c r="T15" s="295"/>
      <c r="U15" s="295"/>
      <c r="V15" s="176">
        <f t="shared" si="0"/>
        <v>0</v>
      </c>
    </row>
    <row r="16" spans="1:22" s="162" customFormat="1">
      <c r="A16" s="173">
        <v>10</v>
      </c>
      <c r="B16" s="1" t="s">
        <v>104</v>
      </c>
      <c r="C16" s="174"/>
      <c r="D16" s="161"/>
      <c r="E16" s="161"/>
      <c r="F16" s="161"/>
      <c r="G16" s="161"/>
      <c r="H16" s="161"/>
      <c r="I16" s="161"/>
      <c r="J16" s="161"/>
      <c r="K16" s="161"/>
      <c r="L16" s="175"/>
      <c r="M16" s="174"/>
      <c r="N16" s="161"/>
      <c r="O16" s="161"/>
      <c r="P16" s="161"/>
      <c r="Q16" s="161"/>
      <c r="R16" s="161"/>
      <c r="S16" s="175"/>
      <c r="T16" s="295">
        <v>0</v>
      </c>
      <c r="U16" s="295"/>
      <c r="V16" s="176">
        <f t="shared" si="0"/>
        <v>0</v>
      </c>
    </row>
    <row r="17" spans="1:22" s="162" customFormat="1">
      <c r="A17" s="173">
        <v>11</v>
      </c>
      <c r="B17" s="1" t="s">
        <v>105</v>
      </c>
      <c r="C17" s="174"/>
      <c r="D17" s="161"/>
      <c r="E17" s="161"/>
      <c r="F17" s="161"/>
      <c r="G17" s="161"/>
      <c r="H17" s="161"/>
      <c r="I17" s="161"/>
      <c r="J17" s="161"/>
      <c r="K17" s="161"/>
      <c r="L17" s="175"/>
      <c r="M17" s="174"/>
      <c r="N17" s="161"/>
      <c r="O17" s="161"/>
      <c r="P17" s="161"/>
      <c r="Q17" s="161"/>
      <c r="R17" s="161"/>
      <c r="S17" s="175"/>
      <c r="T17" s="295"/>
      <c r="U17" s="295"/>
      <c r="V17" s="176">
        <f t="shared" si="0"/>
        <v>0</v>
      </c>
    </row>
    <row r="18" spans="1:22" s="162" customFormat="1">
      <c r="A18" s="173">
        <v>12</v>
      </c>
      <c r="B18" s="1" t="s">
        <v>106</v>
      </c>
      <c r="C18" s="174"/>
      <c r="D18" s="161"/>
      <c r="E18" s="161"/>
      <c r="F18" s="161"/>
      <c r="G18" s="161"/>
      <c r="H18" s="161"/>
      <c r="I18" s="161"/>
      <c r="J18" s="161"/>
      <c r="K18" s="161"/>
      <c r="L18" s="175"/>
      <c r="M18" s="174"/>
      <c r="N18" s="161"/>
      <c r="O18" s="161"/>
      <c r="P18" s="161"/>
      <c r="Q18" s="161"/>
      <c r="R18" s="161"/>
      <c r="S18" s="175"/>
      <c r="T18" s="295"/>
      <c r="U18" s="295"/>
      <c r="V18" s="176">
        <f t="shared" si="0"/>
        <v>0</v>
      </c>
    </row>
    <row r="19" spans="1:22" s="162" customFormat="1">
      <c r="A19" s="173">
        <v>13</v>
      </c>
      <c r="B19" s="1" t="s">
        <v>107</v>
      </c>
      <c r="C19" s="174"/>
      <c r="D19" s="161"/>
      <c r="E19" s="161"/>
      <c r="F19" s="161"/>
      <c r="G19" s="161"/>
      <c r="H19" s="161"/>
      <c r="I19" s="161"/>
      <c r="J19" s="161"/>
      <c r="K19" s="161"/>
      <c r="L19" s="175"/>
      <c r="M19" s="174"/>
      <c r="N19" s="161"/>
      <c r="O19" s="161"/>
      <c r="P19" s="161"/>
      <c r="Q19" s="161"/>
      <c r="R19" s="161"/>
      <c r="S19" s="175"/>
      <c r="T19" s="295"/>
      <c r="U19" s="295"/>
      <c r="V19" s="176">
        <f t="shared" si="0"/>
        <v>0</v>
      </c>
    </row>
    <row r="20" spans="1:22" s="162" customFormat="1">
      <c r="A20" s="173">
        <v>14</v>
      </c>
      <c r="B20" s="1" t="s">
        <v>108</v>
      </c>
      <c r="C20" s="174"/>
      <c r="D20" s="161">
        <v>1859051.3253836257</v>
      </c>
      <c r="E20" s="161"/>
      <c r="F20" s="161"/>
      <c r="G20" s="161"/>
      <c r="H20" s="161"/>
      <c r="I20" s="161"/>
      <c r="J20" s="161"/>
      <c r="K20" s="161"/>
      <c r="L20" s="175"/>
      <c r="M20" s="174"/>
      <c r="N20" s="161"/>
      <c r="O20" s="161"/>
      <c r="P20" s="161"/>
      <c r="Q20" s="161"/>
      <c r="R20" s="161"/>
      <c r="S20" s="175"/>
      <c r="T20" s="295">
        <v>1859051.3253836257</v>
      </c>
      <c r="U20" s="295">
        <v>0</v>
      </c>
      <c r="V20" s="176">
        <f t="shared" si="0"/>
        <v>1859051.3253836257</v>
      </c>
    </row>
    <row r="21" spans="1:22" ht="13.5" thickBot="1">
      <c r="A21" s="163"/>
      <c r="B21" s="177" t="s">
        <v>109</v>
      </c>
      <c r="C21" s="178">
        <f>SUM(C7:C20)</f>
        <v>0</v>
      </c>
      <c r="D21" s="165">
        <f t="shared" ref="D21:V21" si="1">SUM(D7:D20)</f>
        <v>12213834.016486697</v>
      </c>
      <c r="E21" s="165">
        <f t="shared" si="1"/>
        <v>0</v>
      </c>
      <c r="F21" s="165">
        <f t="shared" si="1"/>
        <v>0</v>
      </c>
      <c r="G21" s="165">
        <f t="shared" si="1"/>
        <v>0</v>
      </c>
      <c r="H21" s="165">
        <f t="shared" si="1"/>
        <v>0</v>
      </c>
      <c r="I21" s="165">
        <f t="shared" si="1"/>
        <v>0</v>
      </c>
      <c r="J21" s="165">
        <f t="shared" si="1"/>
        <v>0</v>
      </c>
      <c r="K21" s="165">
        <f t="shared" si="1"/>
        <v>0</v>
      </c>
      <c r="L21" s="179">
        <f t="shared" si="1"/>
        <v>0</v>
      </c>
      <c r="M21" s="178">
        <f t="shared" si="1"/>
        <v>0</v>
      </c>
      <c r="N21" s="165">
        <f t="shared" si="1"/>
        <v>0</v>
      </c>
      <c r="O21" s="165">
        <f t="shared" si="1"/>
        <v>0</v>
      </c>
      <c r="P21" s="165">
        <f t="shared" si="1"/>
        <v>0</v>
      </c>
      <c r="Q21" s="165">
        <f t="shared" si="1"/>
        <v>0</v>
      </c>
      <c r="R21" s="165">
        <f t="shared" si="1"/>
        <v>0</v>
      </c>
      <c r="S21" s="179">
        <f>SUM(S7:S20)</f>
        <v>0</v>
      </c>
      <c r="T21" s="179">
        <f>SUM(T7:T20)</f>
        <v>5768221.1220960822</v>
      </c>
      <c r="U21" s="179">
        <f t="shared" ref="U21" si="2">SUM(U7:U20)</f>
        <v>6445612.8943906156</v>
      </c>
      <c r="V21" s="180">
        <f t="shared" si="1"/>
        <v>12213834.016486697</v>
      </c>
    </row>
    <row r="24" spans="1:22">
      <c r="A24" s="7"/>
      <c r="B24" s="7"/>
      <c r="C24" s="74"/>
      <c r="D24" s="74"/>
      <c r="E24" s="74"/>
    </row>
    <row r="25" spans="1:22">
      <c r="A25" s="181"/>
      <c r="B25" s="181"/>
      <c r="C25" s="7"/>
      <c r="D25" s="74"/>
      <c r="E25" s="74"/>
    </row>
    <row r="26" spans="1:22">
      <c r="A26" s="181"/>
      <c r="B26" s="75"/>
      <c r="C26" s="7"/>
      <c r="D26" s="74"/>
      <c r="E26" s="74"/>
    </row>
    <row r="27" spans="1:22">
      <c r="A27" s="181"/>
      <c r="B27" s="181"/>
      <c r="C27" s="7"/>
      <c r="D27" s="74"/>
      <c r="E27" s="74"/>
    </row>
    <row r="28" spans="1:22">
      <c r="A28" s="181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6" customWidth="1"/>
    <col min="4" max="4" width="14.85546875" style="296" bestFit="1" customWidth="1"/>
    <col min="5" max="5" width="17.7109375" style="296" customWidth="1"/>
    <col min="6" max="6" width="15.85546875" style="296" customWidth="1"/>
    <col min="7" max="7" width="17.42578125" style="296" customWidth="1"/>
    <col min="8" max="8" width="15.28515625" style="296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55">
        <f>'1. key ratios '!B2</f>
        <v>43738</v>
      </c>
    </row>
    <row r="4" spans="1:9" ht="13.5" thickBot="1">
      <c r="A4" s="2" t="s">
        <v>258</v>
      </c>
      <c r="B4" s="166" t="s">
        <v>382</v>
      </c>
    </row>
    <row r="5" spans="1:9">
      <c r="A5" s="167"/>
      <c r="B5" s="182"/>
      <c r="C5" s="297" t="s">
        <v>0</v>
      </c>
      <c r="D5" s="297" t="s">
        <v>1</v>
      </c>
      <c r="E5" s="297" t="s">
        <v>2</v>
      </c>
      <c r="F5" s="297" t="s">
        <v>3</v>
      </c>
      <c r="G5" s="298" t="s">
        <v>4</v>
      </c>
      <c r="H5" s="299" t="s">
        <v>5</v>
      </c>
      <c r="I5" s="183"/>
    </row>
    <row r="6" spans="1:9" s="183" customFormat="1" ht="12.75" customHeight="1">
      <c r="A6" s="184"/>
      <c r="B6" s="569" t="s">
        <v>257</v>
      </c>
      <c r="C6" s="571" t="s">
        <v>374</v>
      </c>
      <c r="D6" s="573" t="s">
        <v>373</v>
      </c>
      <c r="E6" s="574"/>
      <c r="F6" s="571" t="s">
        <v>378</v>
      </c>
      <c r="G6" s="571" t="s">
        <v>379</v>
      </c>
      <c r="H6" s="567" t="s">
        <v>377</v>
      </c>
    </row>
    <row r="7" spans="1:9" ht="38.25">
      <c r="A7" s="186"/>
      <c r="B7" s="570"/>
      <c r="C7" s="572"/>
      <c r="D7" s="300" t="s">
        <v>376</v>
      </c>
      <c r="E7" s="300" t="s">
        <v>375</v>
      </c>
      <c r="F7" s="572"/>
      <c r="G7" s="572"/>
      <c r="H7" s="568"/>
      <c r="I7" s="183"/>
    </row>
    <row r="8" spans="1:9">
      <c r="A8" s="184">
        <v>1</v>
      </c>
      <c r="B8" s="1" t="s">
        <v>96</v>
      </c>
      <c r="C8" s="301">
        <v>211043643</v>
      </c>
      <c r="D8" s="302"/>
      <c r="E8" s="301"/>
      <c r="F8" s="301">
        <v>188254762</v>
      </c>
      <c r="G8" s="303">
        <v>188254762</v>
      </c>
      <c r="H8" s="305">
        <f t="shared" ref="H8:H21" si="0">IFERROR(G8/(C8+E8),0)</f>
        <v>0.8920181594856188</v>
      </c>
    </row>
    <row r="9" spans="1:9" ht="15" customHeight="1">
      <c r="A9" s="184">
        <v>2</v>
      </c>
      <c r="B9" s="1" t="s">
        <v>97</v>
      </c>
      <c r="C9" s="301">
        <v>0</v>
      </c>
      <c r="D9" s="302"/>
      <c r="E9" s="301"/>
      <c r="F9" s="301">
        <v>0</v>
      </c>
      <c r="G9" s="303">
        <v>0</v>
      </c>
      <c r="H9" s="305">
        <f t="shared" si="0"/>
        <v>0</v>
      </c>
    </row>
    <row r="10" spans="1:9">
      <c r="A10" s="184">
        <v>3</v>
      </c>
      <c r="B10" s="1" t="s">
        <v>276</v>
      </c>
      <c r="C10" s="301">
        <v>0</v>
      </c>
      <c r="D10" s="302"/>
      <c r="E10" s="301"/>
      <c r="F10" s="301">
        <v>0</v>
      </c>
      <c r="G10" s="303">
        <v>0</v>
      </c>
      <c r="H10" s="305">
        <f t="shared" si="0"/>
        <v>0</v>
      </c>
    </row>
    <row r="11" spans="1:9">
      <c r="A11" s="184">
        <v>4</v>
      </c>
      <c r="B11" s="1" t="s">
        <v>98</v>
      </c>
      <c r="C11" s="301">
        <v>0</v>
      </c>
      <c r="D11" s="302"/>
      <c r="E11" s="301"/>
      <c r="F11" s="301">
        <v>0</v>
      </c>
      <c r="G11" s="303">
        <v>0</v>
      </c>
      <c r="H11" s="305">
        <f t="shared" si="0"/>
        <v>0</v>
      </c>
    </row>
    <row r="12" spans="1:9">
      <c r="A12" s="184">
        <v>5</v>
      </c>
      <c r="B12" s="1" t="s">
        <v>99</v>
      </c>
      <c r="C12" s="301">
        <v>0</v>
      </c>
      <c r="D12" s="302"/>
      <c r="E12" s="301"/>
      <c r="F12" s="301">
        <v>0</v>
      </c>
      <c r="G12" s="303">
        <v>0</v>
      </c>
      <c r="H12" s="305">
        <f t="shared" si="0"/>
        <v>0</v>
      </c>
    </row>
    <row r="13" spans="1:9">
      <c r="A13" s="184">
        <v>6</v>
      </c>
      <c r="B13" s="1" t="s">
        <v>100</v>
      </c>
      <c r="C13" s="301">
        <v>180435530</v>
      </c>
      <c r="D13" s="302"/>
      <c r="E13" s="301"/>
      <c r="F13" s="301">
        <v>49720579.734999977</v>
      </c>
      <c r="G13" s="303">
        <v>49720579.734999977</v>
      </c>
      <c r="H13" s="305">
        <f t="shared" si="0"/>
        <v>0.27555869808457334</v>
      </c>
    </row>
    <row r="14" spans="1:9">
      <c r="A14" s="184">
        <v>7</v>
      </c>
      <c r="B14" s="1" t="s">
        <v>101</v>
      </c>
      <c r="C14" s="301">
        <v>613992307.49222445</v>
      </c>
      <c r="D14" s="302">
        <v>72250634.255548105</v>
      </c>
      <c r="E14" s="301">
        <v>58034383.740548052</v>
      </c>
      <c r="F14" s="301">
        <v>743658962.75604701</v>
      </c>
      <c r="G14" s="303">
        <v>733304180.06494391</v>
      </c>
      <c r="H14" s="305">
        <f t="shared" si="0"/>
        <v>1.0911831176225506</v>
      </c>
    </row>
    <row r="15" spans="1:9">
      <c r="A15" s="184">
        <v>8</v>
      </c>
      <c r="B15" s="1" t="s">
        <v>102</v>
      </c>
      <c r="C15" s="301">
        <v>0</v>
      </c>
      <c r="D15" s="302"/>
      <c r="E15" s="301">
        <v>0</v>
      </c>
      <c r="F15" s="301">
        <v>0</v>
      </c>
      <c r="G15" s="303">
        <v>0</v>
      </c>
      <c r="H15" s="305">
        <f t="shared" si="0"/>
        <v>0</v>
      </c>
    </row>
    <row r="16" spans="1:9">
      <c r="A16" s="184">
        <v>9</v>
      </c>
      <c r="B16" s="1" t="s">
        <v>103</v>
      </c>
      <c r="C16" s="301">
        <v>0</v>
      </c>
      <c r="D16" s="302"/>
      <c r="E16" s="301">
        <v>0</v>
      </c>
      <c r="F16" s="301">
        <v>0</v>
      </c>
      <c r="G16" s="303">
        <v>0</v>
      </c>
      <c r="H16" s="305">
        <f t="shared" si="0"/>
        <v>0</v>
      </c>
    </row>
    <row r="17" spans="1:8">
      <c r="A17" s="184">
        <v>10</v>
      </c>
      <c r="B17" s="1" t="s">
        <v>104</v>
      </c>
      <c r="C17" s="301">
        <v>109193710.62576897</v>
      </c>
      <c r="D17" s="302">
        <v>4004825.4399999916</v>
      </c>
      <c r="E17" s="301">
        <v>3982167.9199999957</v>
      </c>
      <c r="F17" s="301">
        <v>113175878.54576898</v>
      </c>
      <c r="G17" s="303">
        <v>113175878.54576898</v>
      </c>
      <c r="H17" s="305">
        <f t="shared" si="0"/>
        <v>1</v>
      </c>
    </row>
    <row r="18" spans="1:8">
      <c r="A18" s="184">
        <v>11</v>
      </c>
      <c r="B18" s="1" t="s">
        <v>105</v>
      </c>
      <c r="C18" s="301">
        <v>0</v>
      </c>
      <c r="D18" s="302"/>
      <c r="E18" s="301">
        <v>0</v>
      </c>
      <c r="F18" s="301">
        <v>0</v>
      </c>
      <c r="G18" s="303">
        <v>0</v>
      </c>
      <c r="H18" s="305">
        <f t="shared" si="0"/>
        <v>0</v>
      </c>
    </row>
    <row r="19" spans="1:8">
      <c r="A19" s="184">
        <v>12</v>
      </c>
      <c r="B19" s="1" t="s">
        <v>106</v>
      </c>
      <c r="C19" s="301">
        <v>0</v>
      </c>
      <c r="D19" s="302"/>
      <c r="E19" s="301">
        <v>0</v>
      </c>
      <c r="F19" s="301">
        <v>0</v>
      </c>
      <c r="G19" s="303">
        <v>0</v>
      </c>
      <c r="H19" s="305">
        <f t="shared" si="0"/>
        <v>0</v>
      </c>
    </row>
    <row r="20" spans="1:8">
      <c r="A20" s="184">
        <v>13</v>
      </c>
      <c r="B20" s="1" t="s">
        <v>252</v>
      </c>
      <c r="C20" s="301">
        <v>0</v>
      </c>
      <c r="D20" s="302"/>
      <c r="E20" s="301">
        <v>0</v>
      </c>
      <c r="F20" s="301">
        <v>0</v>
      </c>
      <c r="G20" s="303">
        <v>0</v>
      </c>
      <c r="H20" s="305">
        <f t="shared" si="0"/>
        <v>0</v>
      </c>
    </row>
    <row r="21" spans="1:8">
      <c r="A21" s="184">
        <v>14</v>
      </c>
      <c r="B21" s="1" t="s">
        <v>108</v>
      </c>
      <c r="C21" s="301">
        <v>121909589.02014196</v>
      </c>
      <c r="D21" s="302">
        <v>2216924.8404999981</v>
      </c>
      <c r="E21" s="301">
        <v>1108462.420249999</v>
      </c>
      <c r="F21" s="301">
        <v>141658856.67039198</v>
      </c>
      <c r="G21" s="303">
        <v>139799805.34500834</v>
      </c>
      <c r="H21" s="305">
        <f t="shared" si="0"/>
        <v>1.136417003099321</v>
      </c>
    </row>
    <row r="22" spans="1:8" ht="13.5" thickBot="1">
      <c r="A22" s="187"/>
      <c r="B22" s="188" t="s">
        <v>109</v>
      </c>
      <c r="C22" s="304">
        <f>SUM(C8:C21)</f>
        <v>1236574780.1381354</v>
      </c>
      <c r="D22" s="304">
        <f>SUM(D8:D21)</f>
        <v>78472384.536048099</v>
      </c>
      <c r="E22" s="304">
        <f>SUM(E8:E21)</f>
        <v>63125014.080798045</v>
      </c>
      <c r="F22" s="304">
        <f>SUM(F8:F21)</f>
        <v>1236469039.7072082</v>
      </c>
      <c r="G22" s="304">
        <f>SUM(G8:G21)</f>
        <v>1224255205.6907213</v>
      </c>
      <c r="H22" s="306">
        <f>G22/(C22+E22)</f>
        <v>0.94195229631966559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115" zoomScaleNormal="115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2.75"/>
  <cols>
    <col min="1" max="1" width="10.5703125" style="296" bestFit="1" customWidth="1"/>
    <col min="2" max="2" width="87.140625" style="296" customWidth="1"/>
    <col min="3" max="4" width="12.7109375" style="296" customWidth="1"/>
    <col min="5" max="5" width="14.28515625" style="296" customWidth="1"/>
    <col min="6" max="11" width="12.7109375" style="296" customWidth="1"/>
    <col min="12" max="16384" width="9.140625" style="296"/>
  </cols>
  <sheetData>
    <row r="1" spans="1:11">
      <c r="A1" s="296" t="s">
        <v>30</v>
      </c>
      <c r="B1" s="296" t="str">
        <f>'Info '!C2</f>
        <v>JSC CARTU BANK</v>
      </c>
    </row>
    <row r="2" spans="1:11">
      <c r="A2" s="296" t="s">
        <v>31</v>
      </c>
      <c r="B2" s="457">
        <f>'1. key ratios '!B2</f>
        <v>43738</v>
      </c>
      <c r="C2" s="321"/>
      <c r="D2" s="321"/>
    </row>
    <row r="3" spans="1:11">
      <c r="B3" s="321"/>
      <c r="C3" s="321"/>
      <c r="D3" s="321"/>
    </row>
    <row r="4" spans="1:11" ht="13.5" thickBot="1">
      <c r="A4" s="296" t="s">
        <v>254</v>
      </c>
      <c r="B4" s="348" t="s">
        <v>383</v>
      </c>
      <c r="C4" s="321"/>
      <c r="D4" s="321"/>
    </row>
    <row r="5" spans="1:11" ht="30" customHeight="1">
      <c r="A5" s="575"/>
      <c r="B5" s="576"/>
      <c r="C5" s="577" t="s">
        <v>436</v>
      </c>
      <c r="D5" s="577"/>
      <c r="E5" s="577"/>
      <c r="F5" s="577" t="s">
        <v>437</v>
      </c>
      <c r="G5" s="577"/>
      <c r="H5" s="577"/>
      <c r="I5" s="577" t="s">
        <v>438</v>
      </c>
      <c r="J5" s="577"/>
      <c r="K5" s="578"/>
    </row>
    <row r="6" spans="1:11">
      <c r="A6" s="322"/>
      <c r="B6" s="323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4" t="s">
        <v>386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>
      <c r="A8" s="327">
        <v>1</v>
      </c>
      <c r="B8" s="328" t="s">
        <v>384</v>
      </c>
      <c r="C8" s="329"/>
      <c r="D8" s="329"/>
      <c r="E8" s="329"/>
      <c r="F8" s="505">
        <v>105318308.31804349</v>
      </c>
      <c r="G8" s="506">
        <v>234764156.70834985</v>
      </c>
      <c r="H8" s="506">
        <v>340082465.02639312</v>
      </c>
      <c r="I8" s="506">
        <v>33292812.591847818</v>
      </c>
      <c r="J8" s="506">
        <v>207034348.50334975</v>
      </c>
      <c r="K8" s="507">
        <v>240327161.09519768</v>
      </c>
    </row>
    <row r="9" spans="1:11">
      <c r="A9" s="324" t="s">
        <v>387</v>
      </c>
      <c r="B9" s="325"/>
      <c r="C9" s="508"/>
      <c r="D9" s="508"/>
      <c r="E9" s="508"/>
      <c r="F9" s="508"/>
      <c r="G9" s="508"/>
      <c r="H9" s="508"/>
      <c r="I9" s="508"/>
      <c r="J9" s="508"/>
      <c r="K9" s="326"/>
    </row>
    <row r="10" spans="1:11">
      <c r="A10" s="330">
        <v>2</v>
      </c>
      <c r="B10" s="331" t="s">
        <v>395</v>
      </c>
      <c r="C10" s="505">
        <v>15333452.29806534</v>
      </c>
      <c r="D10" s="506">
        <v>199860542.97057483</v>
      </c>
      <c r="E10" s="506">
        <v>215193995.26864028</v>
      </c>
      <c r="F10" s="505">
        <v>3245552.7469848064</v>
      </c>
      <c r="G10" s="506">
        <v>19927277.379800256</v>
      </c>
      <c r="H10" s="506">
        <v>23172830.126785062</v>
      </c>
      <c r="I10" s="505">
        <v>704344.8275565278</v>
      </c>
      <c r="J10" s="506">
        <v>2700288.3225350468</v>
      </c>
      <c r="K10" s="507">
        <v>3404633.1500915764</v>
      </c>
    </row>
    <row r="11" spans="1:11">
      <c r="A11" s="330">
        <v>3</v>
      </c>
      <c r="B11" s="331" t="s">
        <v>389</v>
      </c>
      <c r="C11" s="505">
        <v>103448933.65921199</v>
      </c>
      <c r="D11" s="506">
        <v>650356181.37639546</v>
      </c>
      <c r="E11" s="506">
        <v>753805115.03560758</v>
      </c>
      <c r="F11" s="505">
        <v>46208244.669616826</v>
      </c>
      <c r="G11" s="506">
        <v>47912815.953175642</v>
      </c>
      <c r="H11" s="506">
        <v>94121060.622792408</v>
      </c>
      <c r="I11" s="505">
        <v>31993132.050938066</v>
      </c>
      <c r="J11" s="506">
        <v>26866323.879693691</v>
      </c>
      <c r="K11" s="507">
        <v>58859455.930631764</v>
      </c>
    </row>
    <row r="12" spans="1:11">
      <c r="A12" s="330">
        <v>4</v>
      </c>
      <c r="B12" s="331" t="s">
        <v>390</v>
      </c>
      <c r="C12" s="505">
        <v>0</v>
      </c>
      <c r="D12" s="506">
        <v>0</v>
      </c>
      <c r="E12" s="506">
        <v>0</v>
      </c>
      <c r="F12" s="505">
        <v>0</v>
      </c>
      <c r="G12" s="506">
        <v>0</v>
      </c>
      <c r="H12" s="506">
        <v>0</v>
      </c>
      <c r="I12" s="505">
        <v>0</v>
      </c>
      <c r="J12" s="506">
        <v>0</v>
      </c>
      <c r="K12" s="507">
        <v>0</v>
      </c>
    </row>
    <row r="13" spans="1:11">
      <c r="A13" s="330">
        <v>5</v>
      </c>
      <c r="B13" s="331" t="s">
        <v>398</v>
      </c>
      <c r="C13" s="505">
        <v>32426669.935543485</v>
      </c>
      <c r="D13" s="506">
        <v>50829134.895054042</v>
      </c>
      <c r="E13" s="506">
        <v>83255804.83059752</v>
      </c>
      <c r="F13" s="505">
        <v>5539978.7243429339</v>
      </c>
      <c r="G13" s="506">
        <v>9569532.1968436446</v>
      </c>
      <c r="H13" s="506">
        <v>15109510.921186574</v>
      </c>
      <c r="I13" s="505">
        <v>2110912.9192391308</v>
      </c>
      <c r="J13" s="506">
        <v>3403698.4522308791</v>
      </c>
      <c r="K13" s="507">
        <v>5514611.3714700118</v>
      </c>
    </row>
    <row r="14" spans="1:11">
      <c r="A14" s="330">
        <v>6</v>
      </c>
      <c r="B14" s="331" t="s">
        <v>431</v>
      </c>
      <c r="C14" s="505"/>
      <c r="D14" s="506"/>
      <c r="E14" s="506"/>
      <c r="F14" s="505"/>
      <c r="G14" s="506"/>
      <c r="H14" s="506"/>
      <c r="I14" s="505"/>
      <c r="J14" s="506"/>
      <c r="K14" s="507"/>
    </row>
    <row r="15" spans="1:11">
      <c r="A15" s="330">
        <v>7</v>
      </c>
      <c r="B15" s="331" t="s">
        <v>432</v>
      </c>
      <c r="C15" s="505">
        <v>13577354.815217391</v>
      </c>
      <c r="D15" s="506">
        <v>12734685.706521738</v>
      </c>
      <c r="E15" s="506">
        <v>26312040.521739129</v>
      </c>
      <c r="F15" s="505">
        <v>2848533.4237400414</v>
      </c>
      <c r="G15" s="506">
        <v>2520860.8273247047</v>
      </c>
      <c r="H15" s="506">
        <v>5369394.2510647448</v>
      </c>
      <c r="I15" s="505">
        <v>2848533.4237400414</v>
      </c>
      <c r="J15" s="506">
        <v>2520860.8273247047</v>
      </c>
      <c r="K15" s="507">
        <v>5369394.2510647448</v>
      </c>
    </row>
    <row r="16" spans="1:11">
      <c r="A16" s="330">
        <v>8</v>
      </c>
      <c r="B16" s="332" t="s">
        <v>391</v>
      </c>
      <c r="C16" s="509">
        <f>SUM(C10:C15)</f>
        <v>164786410.70803821</v>
      </c>
      <c r="D16" s="509">
        <f t="shared" ref="D16:K16" si="0">SUM(D10:D15)</f>
        <v>913780544.94854617</v>
      </c>
      <c r="E16" s="509">
        <f t="shared" si="0"/>
        <v>1078566955.6565845</v>
      </c>
      <c r="F16" s="509">
        <f t="shared" si="0"/>
        <v>57842309.564684615</v>
      </c>
      <c r="G16" s="509">
        <f t="shared" si="0"/>
        <v>79930486.357144237</v>
      </c>
      <c r="H16" s="509">
        <f t="shared" si="0"/>
        <v>137772795.92182878</v>
      </c>
      <c r="I16" s="509">
        <f t="shared" si="0"/>
        <v>37656923.221473768</v>
      </c>
      <c r="J16" s="509">
        <f t="shared" si="0"/>
        <v>35491171.481784321</v>
      </c>
      <c r="K16" s="510">
        <f t="shared" si="0"/>
        <v>73148094.703258097</v>
      </c>
    </row>
    <row r="17" spans="1:11">
      <c r="A17" s="324" t="s">
        <v>388</v>
      </c>
      <c r="B17" s="325"/>
      <c r="C17" s="505"/>
      <c r="D17" s="506"/>
      <c r="E17" s="506"/>
      <c r="F17" s="505"/>
      <c r="G17" s="506"/>
      <c r="H17" s="506"/>
      <c r="I17" s="505"/>
      <c r="J17" s="506"/>
      <c r="K17" s="507"/>
    </row>
    <row r="18" spans="1:11">
      <c r="A18" s="330">
        <v>9</v>
      </c>
      <c r="B18" s="331" t="s">
        <v>394</v>
      </c>
      <c r="C18" s="505">
        <v>0</v>
      </c>
      <c r="D18" s="506">
        <v>0</v>
      </c>
      <c r="E18" s="506">
        <v>0</v>
      </c>
      <c r="F18" s="505">
        <v>0</v>
      </c>
      <c r="G18" s="506">
        <v>0</v>
      </c>
      <c r="H18" s="506">
        <v>0</v>
      </c>
      <c r="I18" s="505">
        <v>0</v>
      </c>
      <c r="J18" s="506">
        <v>0</v>
      </c>
      <c r="K18" s="507">
        <v>0</v>
      </c>
    </row>
    <row r="19" spans="1:11">
      <c r="A19" s="330">
        <v>10</v>
      </c>
      <c r="B19" s="331" t="s">
        <v>433</v>
      </c>
      <c r="C19" s="505">
        <v>211385790.28608695</v>
      </c>
      <c r="D19" s="506">
        <v>330772637.56574827</v>
      </c>
      <c r="E19" s="506">
        <v>542158427.85183525</v>
      </c>
      <c r="F19" s="505">
        <v>6590396.8152312338</v>
      </c>
      <c r="G19" s="506">
        <v>4668390.9646866051</v>
      </c>
      <c r="H19" s="506">
        <v>11258787.779917834</v>
      </c>
      <c r="I19" s="505">
        <v>78687300.981426865</v>
      </c>
      <c r="J19" s="506">
        <v>87735122.255447447</v>
      </c>
      <c r="K19" s="507">
        <v>166422423.23687434</v>
      </c>
    </row>
    <row r="20" spans="1:11">
      <c r="A20" s="330">
        <v>11</v>
      </c>
      <c r="B20" s="331" t="s">
        <v>393</v>
      </c>
      <c r="C20" s="505">
        <v>2647569.501956522</v>
      </c>
      <c r="D20" s="506">
        <v>17107615.800000001</v>
      </c>
      <c r="E20" s="506">
        <v>19755185.301956531</v>
      </c>
      <c r="F20" s="505">
        <v>0</v>
      </c>
      <c r="G20" s="506">
        <v>238490.17391304349</v>
      </c>
      <c r="H20" s="506">
        <v>238490.17391304349</v>
      </c>
      <c r="I20" s="505">
        <v>0</v>
      </c>
      <c r="J20" s="506">
        <v>238490.17391304349</v>
      </c>
      <c r="K20" s="507">
        <v>238490.17391304349</v>
      </c>
    </row>
    <row r="21" spans="1:11" ht="13.5" thickBot="1">
      <c r="A21" s="333">
        <v>12</v>
      </c>
      <c r="B21" s="334" t="s">
        <v>392</v>
      </c>
      <c r="C21" s="511">
        <f>SUM(C18:C20)</f>
        <v>214033359.78804347</v>
      </c>
      <c r="D21" s="511">
        <f t="shared" ref="D21:K21" si="1">SUM(D18:D20)</f>
        <v>347880253.36574829</v>
      </c>
      <c r="E21" s="511">
        <f t="shared" si="1"/>
        <v>561913613.15379179</v>
      </c>
      <c r="F21" s="511">
        <f t="shared" si="1"/>
        <v>6590396.8152312338</v>
      </c>
      <c r="G21" s="511">
        <f t="shared" si="1"/>
        <v>4906881.1385996491</v>
      </c>
      <c r="H21" s="511">
        <f t="shared" si="1"/>
        <v>11497277.953830877</v>
      </c>
      <c r="I21" s="511">
        <f t="shared" si="1"/>
        <v>78687300.981426865</v>
      </c>
      <c r="J21" s="511">
        <f t="shared" si="1"/>
        <v>87973612.429360494</v>
      </c>
      <c r="K21" s="512">
        <f t="shared" si="1"/>
        <v>166660913.41078737</v>
      </c>
    </row>
    <row r="22" spans="1:11" ht="38.25" customHeight="1" thickBot="1">
      <c r="A22" s="335"/>
      <c r="B22" s="336"/>
      <c r="C22" s="336"/>
      <c r="D22" s="336"/>
      <c r="E22" s="336"/>
      <c r="F22" s="579" t="s">
        <v>435</v>
      </c>
      <c r="G22" s="577"/>
      <c r="H22" s="577"/>
      <c r="I22" s="579" t="s">
        <v>399</v>
      </c>
      <c r="J22" s="577"/>
      <c r="K22" s="578"/>
    </row>
    <row r="23" spans="1:11">
      <c r="A23" s="337">
        <v>13</v>
      </c>
      <c r="B23" s="338" t="s">
        <v>384</v>
      </c>
      <c r="C23" s="339"/>
      <c r="D23" s="339"/>
      <c r="E23" s="339"/>
      <c r="F23" s="513">
        <f>F8</f>
        <v>105318308.31804349</v>
      </c>
      <c r="G23" s="513">
        <f t="shared" ref="G23:K23" si="2">G8</f>
        <v>234764156.70834985</v>
      </c>
      <c r="H23" s="513">
        <f t="shared" si="2"/>
        <v>340082465.02639312</v>
      </c>
      <c r="I23" s="513">
        <f t="shared" si="2"/>
        <v>33292812.591847818</v>
      </c>
      <c r="J23" s="513">
        <f t="shared" si="2"/>
        <v>207034348.50334975</v>
      </c>
      <c r="K23" s="514">
        <f t="shared" si="2"/>
        <v>240327161.09519768</v>
      </c>
    </row>
    <row r="24" spans="1:11" ht="13.5" thickBot="1">
      <c r="A24" s="340">
        <v>14</v>
      </c>
      <c r="B24" s="341" t="s">
        <v>396</v>
      </c>
      <c r="C24" s="342"/>
      <c r="D24" s="343"/>
      <c r="E24" s="344"/>
      <c r="F24" s="515">
        <f>MAX(F16-F21,F16*0.25)</f>
        <v>51251912.749453381</v>
      </c>
      <c r="G24" s="515">
        <f t="shared" ref="G24:K24" si="3">MAX(G16-G21,G16*0.25)</f>
        <v>75023605.218544587</v>
      </c>
      <c r="H24" s="515">
        <f t="shared" si="3"/>
        <v>126275517.96799789</v>
      </c>
      <c r="I24" s="515">
        <f t="shared" si="3"/>
        <v>9414230.8053684421</v>
      </c>
      <c r="J24" s="515">
        <f t="shared" si="3"/>
        <v>8872792.8704460803</v>
      </c>
      <c r="K24" s="516">
        <f t="shared" si="3"/>
        <v>18287023.675814524</v>
      </c>
    </row>
    <row r="25" spans="1:11" ht="13.5" thickBot="1">
      <c r="A25" s="345">
        <v>15</v>
      </c>
      <c r="B25" s="346" t="s">
        <v>397</v>
      </c>
      <c r="C25" s="347"/>
      <c r="D25" s="347"/>
      <c r="E25" s="347"/>
      <c r="F25" s="517">
        <f>F23/F24</f>
        <v>2.0549146884116385</v>
      </c>
      <c r="G25" s="517">
        <f t="shared" ref="G25:K25" si="4">G23/G24</f>
        <v>3.1292038822245249</v>
      </c>
      <c r="H25" s="517">
        <f t="shared" si="4"/>
        <v>2.6931781433086694</v>
      </c>
      <c r="I25" s="517">
        <f t="shared" si="4"/>
        <v>3.5364347104027525</v>
      </c>
      <c r="J25" s="517">
        <f t="shared" si="4"/>
        <v>23.333616768283814</v>
      </c>
      <c r="K25" s="518">
        <f t="shared" si="4"/>
        <v>13.141950563176774</v>
      </c>
    </row>
    <row r="27" spans="1:11" ht="38.25">
      <c r="B27" s="320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9.140625" defaultRowHeight="12.75"/>
  <cols>
    <col min="1" max="1" width="10.5703125" style="4" bestFit="1" customWidth="1"/>
    <col min="2" max="2" width="45.28515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23.28515625" style="4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55">
        <f>'1. key ratios '!B2</f>
        <v>43738</v>
      </c>
    </row>
    <row r="3" spans="1:14" ht="14.25" customHeight="1"/>
    <row r="4" spans="1:14" ht="13.5" thickBot="1">
      <c r="A4" s="4" t="s">
        <v>270</v>
      </c>
      <c r="B4" s="259" t="s">
        <v>28</v>
      </c>
    </row>
    <row r="5" spans="1:14" s="194" customFormat="1">
      <c r="A5" s="190"/>
      <c r="B5" s="191"/>
      <c r="C5" s="192" t="s">
        <v>0</v>
      </c>
      <c r="D5" s="192" t="s">
        <v>1</v>
      </c>
      <c r="E5" s="192" t="s">
        <v>2</v>
      </c>
      <c r="F5" s="192" t="s">
        <v>3</v>
      </c>
      <c r="G5" s="192" t="s">
        <v>4</v>
      </c>
      <c r="H5" s="192" t="s">
        <v>5</v>
      </c>
      <c r="I5" s="192" t="s">
        <v>8</v>
      </c>
      <c r="J5" s="192" t="s">
        <v>9</v>
      </c>
      <c r="K5" s="192" t="s">
        <v>10</v>
      </c>
      <c r="L5" s="192" t="s">
        <v>11</v>
      </c>
      <c r="M5" s="192" t="s">
        <v>12</v>
      </c>
      <c r="N5" s="193" t="s">
        <v>13</v>
      </c>
    </row>
    <row r="6" spans="1:14" ht="25.5">
      <c r="A6" s="195"/>
      <c r="B6" s="196"/>
      <c r="C6" s="197" t="s">
        <v>269</v>
      </c>
      <c r="D6" s="198" t="s">
        <v>268</v>
      </c>
      <c r="E6" s="199" t="s">
        <v>267</v>
      </c>
      <c r="F6" s="200">
        <v>0</v>
      </c>
      <c r="G6" s="200">
        <v>0.2</v>
      </c>
      <c r="H6" s="200">
        <v>0.35</v>
      </c>
      <c r="I6" s="200">
        <v>0.5</v>
      </c>
      <c r="J6" s="200">
        <v>0.75</v>
      </c>
      <c r="K6" s="200">
        <v>1</v>
      </c>
      <c r="L6" s="200">
        <v>1.5</v>
      </c>
      <c r="M6" s="200">
        <v>2.5</v>
      </c>
      <c r="N6" s="258" t="s">
        <v>282</v>
      </c>
    </row>
    <row r="7" spans="1:14" ht="15">
      <c r="A7" s="201">
        <v>1</v>
      </c>
      <c r="B7" s="202" t="s">
        <v>266</v>
      </c>
      <c r="C7" s="203">
        <f>SUM(C8:C13)</f>
        <v>0</v>
      </c>
      <c r="D7" s="196"/>
      <c r="E7" s="204">
        <f t="shared" ref="E7:M7" si="0">SUM(E8:E13)</f>
        <v>0</v>
      </c>
      <c r="F7" s="205">
        <f>SUM(F8:F13)</f>
        <v>0</v>
      </c>
      <c r="G7" s="205">
        <f t="shared" si="0"/>
        <v>0</v>
      </c>
      <c r="H7" s="205">
        <f t="shared" si="0"/>
        <v>0</v>
      </c>
      <c r="I7" s="205">
        <f t="shared" si="0"/>
        <v>0</v>
      </c>
      <c r="J7" s="205">
        <f t="shared" si="0"/>
        <v>0</v>
      </c>
      <c r="K7" s="205">
        <f t="shared" si="0"/>
        <v>0</v>
      </c>
      <c r="L7" s="205">
        <f t="shared" si="0"/>
        <v>0</v>
      </c>
      <c r="M7" s="205">
        <f t="shared" si="0"/>
        <v>0</v>
      </c>
      <c r="N7" s="206">
        <f>SUM(N8:N13)</f>
        <v>0</v>
      </c>
    </row>
    <row r="8" spans="1:14" ht="14.25">
      <c r="A8" s="201">
        <v>1.1000000000000001</v>
      </c>
      <c r="B8" s="207" t="s">
        <v>264</v>
      </c>
      <c r="C8" s="205"/>
      <c r="D8" s="208">
        <v>0.02</v>
      </c>
      <c r="E8" s="204">
        <f>C8*D8</f>
        <v>0</v>
      </c>
      <c r="F8" s="205"/>
      <c r="G8" s="205"/>
      <c r="H8" s="205"/>
      <c r="I8" s="205"/>
      <c r="J8" s="205"/>
      <c r="K8" s="205"/>
      <c r="L8" s="205"/>
      <c r="M8" s="205"/>
      <c r="N8" s="206">
        <f>SUMPRODUCT($F$6:$M$6,F8:M8)</f>
        <v>0</v>
      </c>
    </row>
    <row r="9" spans="1:14" ht="14.25">
      <c r="A9" s="201">
        <v>1.2</v>
      </c>
      <c r="B9" s="207" t="s">
        <v>263</v>
      </c>
      <c r="C9" s="205"/>
      <c r="D9" s="208">
        <v>0.05</v>
      </c>
      <c r="E9" s="204">
        <f>C9*D9</f>
        <v>0</v>
      </c>
      <c r="F9" s="205"/>
      <c r="G9" s="205"/>
      <c r="H9" s="205"/>
      <c r="I9" s="205"/>
      <c r="J9" s="205"/>
      <c r="K9" s="205"/>
      <c r="L9" s="205"/>
      <c r="M9" s="205"/>
      <c r="N9" s="206">
        <f t="shared" ref="N9:N12" si="1">SUMPRODUCT($F$6:$M$6,F9:M9)</f>
        <v>0</v>
      </c>
    </row>
    <row r="10" spans="1:14" ht="14.25">
      <c r="A10" s="201">
        <v>1.3</v>
      </c>
      <c r="B10" s="207" t="s">
        <v>262</v>
      </c>
      <c r="C10" s="205"/>
      <c r="D10" s="208">
        <v>0.08</v>
      </c>
      <c r="E10" s="204">
        <f>C10*D10</f>
        <v>0</v>
      </c>
      <c r="F10" s="205"/>
      <c r="G10" s="205"/>
      <c r="H10" s="205"/>
      <c r="I10" s="205"/>
      <c r="J10" s="205"/>
      <c r="K10" s="205"/>
      <c r="L10" s="205"/>
      <c r="M10" s="205"/>
      <c r="N10" s="206">
        <f>SUMPRODUCT($F$6:$M$6,F10:M10)</f>
        <v>0</v>
      </c>
    </row>
    <row r="11" spans="1:14" ht="14.25">
      <c r="A11" s="201">
        <v>1.4</v>
      </c>
      <c r="B11" s="207" t="s">
        <v>261</v>
      </c>
      <c r="C11" s="205"/>
      <c r="D11" s="208">
        <v>0.11</v>
      </c>
      <c r="E11" s="204">
        <f>C11*D11</f>
        <v>0</v>
      </c>
      <c r="F11" s="205"/>
      <c r="G11" s="205"/>
      <c r="H11" s="205"/>
      <c r="I11" s="205"/>
      <c r="J11" s="205"/>
      <c r="K11" s="205"/>
      <c r="L11" s="205"/>
      <c r="M11" s="205"/>
      <c r="N11" s="206">
        <f t="shared" si="1"/>
        <v>0</v>
      </c>
    </row>
    <row r="12" spans="1:14" ht="14.25">
      <c r="A12" s="201">
        <v>1.5</v>
      </c>
      <c r="B12" s="207" t="s">
        <v>260</v>
      </c>
      <c r="C12" s="205"/>
      <c r="D12" s="208">
        <v>0.14000000000000001</v>
      </c>
      <c r="E12" s="204">
        <f>C12*D12</f>
        <v>0</v>
      </c>
      <c r="F12" s="205"/>
      <c r="G12" s="205"/>
      <c r="H12" s="205"/>
      <c r="I12" s="205"/>
      <c r="J12" s="205"/>
      <c r="K12" s="205"/>
      <c r="L12" s="205"/>
      <c r="M12" s="205"/>
      <c r="N12" s="206">
        <f t="shared" si="1"/>
        <v>0</v>
      </c>
    </row>
    <row r="13" spans="1:14" ht="14.25">
      <c r="A13" s="201">
        <v>1.6</v>
      </c>
      <c r="B13" s="209" t="s">
        <v>259</v>
      </c>
      <c r="C13" s="205"/>
      <c r="D13" s="210"/>
      <c r="E13" s="205"/>
      <c r="F13" s="205"/>
      <c r="G13" s="205"/>
      <c r="H13" s="205"/>
      <c r="I13" s="205"/>
      <c r="J13" s="205"/>
      <c r="K13" s="205"/>
      <c r="L13" s="205"/>
      <c r="M13" s="205"/>
      <c r="N13" s="206">
        <f>SUMPRODUCT($F$6:$M$6,F13:M13)</f>
        <v>0</v>
      </c>
    </row>
    <row r="14" spans="1:14" ht="15">
      <c r="A14" s="201">
        <v>2</v>
      </c>
      <c r="B14" s="211" t="s">
        <v>265</v>
      </c>
      <c r="C14" s="203">
        <f>SUM(C15:C20)</f>
        <v>0</v>
      </c>
      <c r="D14" s="196"/>
      <c r="E14" s="204">
        <f t="shared" ref="E14:M14" si="2">SUM(E15:E20)</f>
        <v>0</v>
      </c>
      <c r="F14" s="205">
        <f t="shared" si="2"/>
        <v>0</v>
      </c>
      <c r="G14" s="205">
        <f t="shared" si="2"/>
        <v>0</v>
      </c>
      <c r="H14" s="205">
        <f t="shared" si="2"/>
        <v>0</v>
      </c>
      <c r="I14" s="205">
        <f t="shared" si="2"/>
        <v>0</v>
      </c>
      <c r="J14" s="205">
        <f t="shared" si="2"/>
        <v>0</v>
      </c>
      <c r="K14" s="205">
        <f t="shared" si="2"/>
        <v>0</v>
      </c>
      <c r="L14" s="205">
        <f t="shared" si="2"/>
        <v>0</v>
      </c>
      <c r="M14" s="205">
        <f t="shared" si="2"/>
        <v>0</v>
      </c>
      <c r="N14" s="206">
        <f>SUM(N15:N20)</f>
        <v>0</v>
      </c>
    </row>
    <row r="15" spans="1:14" ht="14.25">
      <c r="A15" s="201">
        <v>2.1</v>
      </c>
      <c r="B15" s="209" t="s">
        <v>264</v>
      </c>
      <c r="C15" s="205"/>
      <c r="D15" s="208">
        <v>5.0000000000000001E-3</v>
      </c>
      <c r="E15" s="204">
        <f>C15*D15</f>
        <v>0</v>
      </c>
      <c r="F15" s="205"/>
      <c r="G15" s="205"/>
      <c r="H15" s="205"/>
      <c r="I15" s="205"/>
      <c r="J15" s="205"/>
      <c r="K15" s="205"/>
      <c r="L15" s="205"/>
      <c r="M15" s="205"/>
      <c r="N15" s="206">
        <f>SUMPRODUCT($F$6:$M$6,F15:M15)</f>
        <v>0</v>
      </c>
    </row>
    <row r="16" spans="1:14" ht="14.25">
      <c r="A16" s="201">
        <v>2.2000000000000002</v>
      </c>
      <c r="B16" s="209" t="s">
        <v>263</v>
      </c>
      <c r="C16" s="205"/>
      <c r="D16" s="208">
        <v>0.01</v>
      </c>
      <c r="E16" s="204">
        <f>C16*D16</f>
        <v>0</v>
      </c>
      <c r="F16" s="205"/>
      <c r="G16" s="205"/>
      <c r="H16" s="205"/>
      <c r="I16" s="205"/>
      <c r="J16" s="205"/>
      <c r="K16" s="205"/>
      <c r="L16" s="205"/>
      <c r="M16" s="205"/>
      <c r="N16" s="206">
        <f t="shared" ref="N16:N20" si="3">SUMPRODUCT($F$6:$M$6,F16:M16)</f>
        <v>0</v>
      </c>
    </row>
    <row r="17" spans="1:14" ht="14.25">
      <c r="A17" s="201">
        <v>2.2999999999999998</v>
      </c>
      <c r="B17" s="209" t="s">
        <v>262</v>
      </c>
      <c r="C17" s="205"/>
      <c r="D17" s="208">
        <v>0.02</v>
      </c>
      <c r="E17" s="204">
        <f>C17*D17</f>
        <v>0</v>
      </c>
      <c r="F17" s="205"/>
      <c r="G17" s="205"/>
      <c r="H17" s="205"/>
      <c r="I17" s="205"/>
      <c r="J17" s="205"/>
      <c r="K17" s="205"/>
      <c r="L17" s="205"/>
      <c r="M17" s="205"/>
      <c r="N17" s="206">
        <f t="shared" si="3"/>
        <v>0</v>
      </c>
    </row>
    <row r="18" spans="1:14" ht="14.25">
      <c r="A18" s="201">
        <v>2.4</v>
      </c>
      <c r="B18" s="209" t="s">
        <v>261</v>
      </c>
      <c r="C18" s="205"/>
      <c r="D18" s="208">
        <v>0.03</v>
      </c>
      <c r="E18" s="204">
        <f>C18*D18</f>
        <v>0</v>
      </c>
      <c r="F18" s="205"/>
      <c r="G18" s="205"/>
      <c r="H18" s="205"/>
      <c r="I18" s="205"/>
      <c r="J18" s="205"/>
      <c r="K18" s="205"/>
      <c r="L18" s="205"/>
      <c r="M18" s="205"/>
      <c r="N18" s="206">
        <f t="shared" si="3"/>
        <v>0</v>
      </c>
    </row>
    <row r="19" spans="1:14" ht="14.25">
      <c r="A19" s="201">
        <v>2.5</v>
      </c>
      <c r="B19" s="209" t="s">
        <v>260</v>
      </c>
      <c r="C19" s="205"/>
      <c r="D19" s="208">
        <v>0.04</v>
      </c>
      <c r="E19" s="204">
        <f>C19*D19</f>
        <v>0</v>
      </c>
      <c r="F19" s="205"/>
      <c r="G19" s="205"/>
      <c r="H19" s="205"/>
      <c r="I19" s="205"/>
      <c r="J19" s="205"/>
      <c r="K19" s="205"/>
      <c r="L19" s="205"/>
      <c r="M19" s="205"/>
      <c r="N19" s="206">
        <f t="shared" si="3"/>
        <v>0</v>
      </c>
    </row>
    <row r="20" spans="1:14" ht="14.25">
      <c r="A20" s="201">
        <v>2.6</v>
      </c>
      <c r="B20" s="209" t="s">
        <v>259</v>
      </c>
      <c r="C20" s="205"/>
      <c r="D20" s="210"/>
      <c r="E20" s="212"/>
      <c r="F20" s="205"/>
      <c r="G20" s="205"/>
      <c r="H20" s="205"/>
      <c r="I20" s="205"/>
      <c r="J20" s="205"/>
      <c r="K20" s="205"/>
      <c r="L20" s="205"/>
      <c r="M20" s="205"/>
      <c r="N20" s="206">
        <f t="shared" si="3"/>
        <v>0</v>
      </c>
    </row>
    <row r="21" spans="1:14" ht="15.75" thickBot="1">
      <c r="A21" s="213"/>
      <c r="B21" s="214" t="s">
        <v>109</v>
      </c>
      <c r="C21" s="189">
        <f>C14+C7</f>
        <v>0</v>
      </c>
      <c r="D21" s="215"/>
      <c r="E21" s="216">
        <f>E14+E7</f>
        <v>0</v>
      </c>
      <c r="F21" s="217">
        <f>F7+F14</f>
        <v>0</v>
      </c>
      <c r="G21" s="217">
        <f t="shared" ref="G21:L21" si="4">G7+G14</f>
        <v>0</v>
      </c>
      <c r="H21" s="217">
        <f t="shared" si="4"/>
        <v>0</v>
      </c>
      <c r="I21" s="217">
        <f t="shared" si="4"/>
        <v>0</v>
      </c>
      <c r="J21" s="217">
        <f t="shared" si="4"/>
        <v>0</v>
      </c>
      <c r="K21" s="217">
        <f t="shared" si="4"/>
        <v>0</v>
      </c>
      <c r="L21" s="217">
        <f t="shared" si="4"/>
        <v>0</v>
      </c>
      <c r="M21" s="217">
        <f>M7+M14</f>
        <v>0</v>
      </c>
      <c r="N21" s="218">
        <f>N14+N7</f>
        <v>0</v>
      </c>
    </row>
    <row r="22" spans="1:14">
      <c r="E22" s="219"/>
      <c r="F22" s="219"/>
      <c r="G22" s="219"/>
      <c r="H22" s="219"/>
      <c r="I22" s="219"/>
      <c r="J22" s="219"/>
      <c r="K22" s="219"/>
      <c r="L22" s="219"/>
      <c r="M22" s="21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1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393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56">
        <f>'1. key ratios '!B2</f>
        <v>43738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394" t="s">
        <v>441</v>
      </c>
      <c r="B5" s="395"/>
      <c r="C5" s="396"/>
    </row>
    <row r="6" spans="1:3" ht="24">
      <c r="A6" s="397">
        <v>1</v>
      </c>
      <c r="B6" s="398" t="s">
        <v>442</v>
      </c>
      <c r="C6" s="399">
        <v>1232870948.3450193</v>
      </c>
    </row>
    <row r="7" spans="1:3">
      <c r="A7" s="397">
        <v>2</v>
      </c>
      <c r="B7" s="398" t="s">
        <v>443</v>
      </c>
      <c r="C7" s="399">
        <v>-4611880</v>
      </c>
    </row>
    <row r="8" spans="1:3" ht="24">
      <c r="A8" s="400">
        <v>3</v>
      </c>
      <c r="B8" s="401" t="s">
        <v>444</v>
      </c>
      <c r="C8" s="399">
        <f>SUM(C6:C7)</f>
        <v>1228259068.3450193</v>
      </c>
    </row>
    <row r="9" spans="1:3">
      <c r="A9" s="394" t="s">
        <v>445</v>
      </c>
      <c r="B9" s="395"/>
      <c r="C9" s="402"/>
    </row>
    <row r="10" spans="1:3" ht="24">
      <c r="A10" s="403">
        <v>4</v>
      </c>
      <c r="B10" s="404" t="s">
        <v>446</v>
      </c>
      <c r="C10" s="399"/>
    </row>
    <row r="11" spans="1:3">
      <c r="A11" s="403">
        <v>5</v>
      </c>
      <c r="B11" s="405" t="s">
        <v>447</v>
      </c>
      <c r="C11" s="399"/>
    </row>
    <row r="12" spans="1:3">
      <c r="A12" s="403" t="s">
        <v>448</v>
      </c>
      <c r="B12" s="405" t="s">
        <v>449</v>
      </c>
      <c r="C12" s="399">
        <v>0</v>
      </c>
    </row>
    <row r="13" spans="1:3" ht="24">
      <c r="A13" s="406">
        <v>6</v>
      </c>
      <c r="B13" s="404" t="s">
        <v>450</v>
      </c>
      <c r="C13" s="399"/>
    </row>
    <row r="14" spans="1:3">
      <c r="A14" s="406">
        <v>7</v>
      </c>
      <c r="B14" s="407" t="s">
        <v>451</v>
      </c>
      <c r="C14" s="399"/>
    </row>
    <row r="15" spans="1:3">
      <c r="A15" s="408">
        <v>8</v>
      </c>
      <c r="B15" s="409" t="s">
        <v>452</v>
      </c>
      <c r="C15" s="399"/>
    </row>
    <row r="16" spans="1:3">
      <c r="A16" s="406">
        <v>9</v>
      </c>
      <c r="B16" s="407" t="s">
        <v>453</v>
      </c>
      <c r="C16" s="399"/>
    </row>
    <row r="17" spans="1:3">
      <c r="A17" s="406">
        <v>10</v>
      </c>
      <c r="B17" s="407" t="s">
        <v>454</v>
      </c>
      <c r="C17" s="399"/>
    </row>
    <row r="18" spans="1:3">
      <c r="A18" s="410">
        <v>11</v>
      </c>
      <c r="B18" s="411" t="s">
        <v>455</v>
      </c>
      <c r="C18" s="412">
        <v>0</v>
      </c>
    </row>
    <row r="19" spans="1:3">
      <c r="A19" s="413" t="s">
        <v>456</v>
      </c>
      <c r="B19" s="414"/>
      <c r="C19" s="415"/>
    </row>
    <row r="20" spans="1:3" ht="24">
      <c r="A20" s="416">
        <v>12</v>
      </c>
      <c r="B20" s="404" t="s">
        <v>457</v>
      </c>
      <c r="C20" s="399"/>
    </row>
    <row r="21" spans="1:3">
      <c r="A21" s="416">
        <v>13</v>
      </c>
      <c r="B21" s="404" t="s">
        <v>458</v>
      </c>
      <c r="C21" s="399"/>
    </row>
    <row r="22" spans="1:3">
      <c r="A22" s="416">
        <v>14</v>
      </c>
      <c r="B22" s="404" t="s">
        <v>459</v>
      </c>
      <c r="C22" s="399"/>
    </row>
    <row r="23" spans="1:3" ht="24">
      <c r="A23" s="416" t="s">
        <v>460</v>
      </c>
      <c r="B23" s="404" t="s">
        <v>461</v>
      </c>
      <c r="C23" s="399"/>
    </row>
    <row r="24" spans="1:3">
      <c r="A24" s="416">
        <v>15</v>
      </c>
      <c r="B24" s="404" t="s">
        <v>462</v>
      </c>
      <c r="C24" s="399"/>
    </row>
    <row r="25" spans="1:3">
      <c r="A25" s="416" t="s">
        <v>463</v>
      </c>
      <c r="B25" s="404" t="s">
        <v>464</v>
      </c>
      <c r="C25" s="399"/>
    </row>
    <row r="26" spans="1:3">
      <c r="A26" s="417">
        <v>16</v>
      </c>
      <c r="B26" s="418" t="s">
        <v>465</v>
      </c>
      <c r="C26" s="412">
        <v>0</v>
      </c>
    </row>
    <row r="27" spans="1:3">
      <c r="A27" s="394" t="s">
        <v>466</v>
      </c>
      <c r="B27" s="395"/>
      <c r="C27" s="402"/>
    </row>
    <row r="28" spans="1:3">
      <c r="A28" s="419">
        <v>17</v>
      </c>
      <c r="B28" s="405" t="s">
        <v>467</v>
      </c>
      <c r="C28" s="399">
        <v>78472384.536048099</v>
      </c>
    </row>
    <row r="29" spans="1:3">
      <c r="A29" s="419">
        <v>18</v>
      </c>
      <c r="B29" s="405" t="s">
        <v>468</v>
      </c>
      <c r="C29" s="399">
        <v>-15347370.455250047</v>
      </c>
    </row>
    <row r="30" spans="1:3">
      <c r="A30" s="417">
        <v>19</v>
      </c>
      <c r="B30" s="418" t="s">
        <v>469</v>
      </c>
      <c r="C30" s="412">
        <f>SUM(C28:C29)</f>
        <v>63125014.080798052</v>
      </c>
    </row>
    <row r="31" spans="1:3">
      <c r="A31" s="394" t="s">
        <v>470</v>
      </c>
      <c r="B31" s="395"/>
      <c r="C31" s="402"/>
    </row>
    <row r="32" spans="1:3" ht="24">
      <c r="A32" s="419" t="s">
        <v>471</v>
      </c>
      <c r="B32" s="404" t="s">
        <v>472</v>
      </c>
      <c r="C32" s="420"/>
    </row>
    <row r="33" spans="1:3">
      <c r="A33" s="419" t="s">
        <v>473</v>
      </c>
      <c r="B33" s="405" t="s">
        <v>474</v>
      </c>
      <c r="C33" s="420"/>
    </row>
    <row r="34" spans="1:3">
      <c r="A34" s="394" t="s">
        <v>475</v>
      </c>
      <c r="B34" s="395"/>
      <c r="C34" s="402"/>
    </row>
    <row r="35" spans="1:3">
      <c r="A35" s="421">
        <v>20</v>
      </c>
      <c r="B35" s="422" t="s">
        <v>476</v>
      </c>
      <c r="C35" s="412">
        <f>'[4]9. Capital'!C28+'[4]9. Capital'!C41</f>
        <v>215929045</v>
      </c>
    </row>
    <row r="36" spans="1:3">
      <c r="A36" s="417">
        <v>21</v>
      </c>
      <c r="B36" s="418" t="s">
        <v>477</v>
      </c>
      <c r="C36" s="412">
        <f>C8+C18+C26+C30</f>
        <v>1291384082.4258175</v>
      </c>
    </row>
    <row r="37" spans="1:3">
      <c r="A37" s="394" t="s">
        <v>478</v>
      </c>
      <c r="B37" s="395"/>
      <c r="C37" s="402"/>
    </row>
    <row r="38" spans="1:3">
      <c r="A38" s="417">
        <v>22</v>
      </c>
      <c r="B38" s="418" t="s">
        <v>478</v>
      </c>
      <c r="C38" s="519">
        <f>IFERROR(C35/C36,0)</f>
        <v>0.16720745434184478</v>
      </c>
    </row>
    <row r="39" spans="1:3">
      <c r="A39" s="394" t="s">
        <v>479</v>
      </c>
      <c r="B39" s="395"/>
      <c r="C39" s="402"/>
    </row>
    <row r="40" spans="1:3">
      <c r="A40" s="423" t="s">
        <v>480</v>
      </c>
      <c r="B40" s="404" t="s">
        <v>481</v>
      </c>
      <c r="C40" s="420"/>
    </row>
    <row r="41" spans="1:3" ht="24">
      <c r="A41" s="424" t="s">
        <v>482</v>
      </c>
      <c r="B41" s="398" t="s">
        <v>483</v>
      </c>
      <c r="C41" s="4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">
        <v>486</v>
      </c>
    </row>
    <row r="2" spans="1:8">
      <c r="A2" s="2" t="s">
        <v>31</v>
      </c>
      <c r="B2" s="439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0" t="s">
        <v>519</v>
      </c>
      <c r="D5" s="440" t="s">
        <v>517</v>
      </c>
      <c r="E5" s="440" t="s">
        <v>487</v>
      </c>
      <c r="F5" s="440" t="s">
        <v>488</v>
      </c>
      <c r="G5" s="444" t="s">
        <v>489</v>
      </c>
    </row>
    <row r="6" spans="1:8">
      <c r="B6" s="238" t="s">
        <v>142</v>
      </c>
      <c r="C6" s="445"/>
      <c r="D6" s="445"/>
      <c r="E6" s="445"/>
      <c r="F6" s="445"/>
      <c r="G6" s="446"/>
    </row>
    <row r="7" spans="1:8">
      <c r="A7" s="13"/>
      <c r="B7" s="239" t="s">
        <v>136</v>
      </c>
      <c r="C7" s="445"/>
      <c r="D7" s="445"/>
      <c r="E7" s="445"/>
      <c r="F7" s="445"/>
      <c r="G7" s="446"/>
    </row>
    <row r="8" spans="1:8" ht="15">
      <c r="A8" s="387">
        <v>1</v>
      </c>
      <c r="B8" s="14" t="s">
        <v>141</v>
      </c>
      <c r="C8" s="441">
        <v>195242645</v>
      </c>
      <c r="D8" s="441">
        <v>187971414</v>
      </c>
      <c r="E8" s="441">
        <v>205002460</v>
      </c>
      <c r="F8" s="441">
        <v>220763712</v>
      </c>
      <c r="G8" s="447">
        <v>213601018</v>
      </c>
    </row>
    <row r="9" spans="1:8" ht="15">
      <c r="A9" s="387">
        <v>2</v>
      </c>
      <c r="B9" s="14" t="s">
        <v>140</v>
      </c>
      <c r="C9" s="441">
        <v>215929045</v>
      </c>
      <c r="D9" s="441">
        <v>208052314</v>
      </c>
      <c r="E9" s="441">
        <v>205002460</v>
      </c>
      <c r="F9" s="441">
        <v>220763712</v>
      </c>
      <c r="G9" s="447">
        <v>213601018</v>
      </c>
    </row>
    <row r="10" spans="1:8" ht="15">
      <c r="A10" s="387">
        <v>3</v>
      </c>
      <c r="B10" s="14" t="s">
        <v>139</v>
      </c>
      <c r="C10" s="441">
        <v>428170330</v>
      </c>
      <c r="D10" s="441">
        <v>413734563</v>
      </c>
      <c r="E10" s="441">
        <v>417876184</v>
      </c>
      <c r="F10" s="441">
        <v>432657101</v>
      </c>
      <c r="G10" s="447">
        <v>449664223.14069903</v>
      </c>
    </row>
    <row r="11" spans="1:8" ht="15">
      <c r="A11" s="388"/>
      <c r="B11" s="238" t="s">
        <v>138</v>
      </c>
      <c r="C11" s="445"/>
      <c r="D11" s="445"/>
      <c r="E11" s="445"/>
      <c r="F11" s="445"/>
      <c r="G11" s="446"/>
    </row>
    <row r="12" spans="1:8" ht="15" customHeight="1">
      <c r="A12" s="387">
        <v>4</v>
      </c>
      <c r="B12" s="14" t="s">
        <v>271</v>
      </c>
      <c r="C12" s="448">
        <v>1430709273.5419717</v>
      </c>
      <c r="D12" s="441">
        <v>1392496942.6090484</v>
      </c>
      <c r="E12" s="441">
        <v>1298103990.8676498</v>
      </c>
      <c r="F12" s="441">
        <v>1381508823.4325151</v>
      </c>
      <c r="G12" s="447">
        <v>1435351301.9981868</v>
      </c>
    </row>
    <row r="13" spans="1:8" ht="15">
      <c r="A13" s="388"/>
      <c r="B13" s="238" t="s">
        <v>137</v>
      </c>
      <c r="C13" s="445"/>
      <c r="D13" s="445"/>
      <c r="E13" s="445"/>
      <c r="F13" s="445"/>
      <c r="G13" s="446"/>
    </row>
    <row r="14" spans="1:8" s="15" customFormat="1" ht="15">
      <c r="A14" s="387"/>
      <c r="B14" s="239" t="s">
        <v>136</v>
      </c>
      <c r="C14" s="445"/>
      <c r="D14" s="445"/>
      <c r="E14" s="445"/>
      <c r="F14" s="445"/>
      <c r="G14" s="446"/>
    </row>
    <row r="15" spans="1:8" ht="15">
      <c r="A15" s="389">
        <v>5</v>
      </c>
      <c r="B15" s="14" t="str">
        <f>"Common equity Tier 1 ratio &gt;="&amp;TEXT('9.1. Capital Requirements'!$C$19*100,"#.##")&amp;"%"</f>
        <v>Common equity Tier 1 ratio &gt;=9.31%</v>
      </c>
      <c r="C15" s="449">
        <v>0.13646563184471616</v>
      </c>
      <c r="D15" s="449">
        <v>0.13498874449792891</v>
      </c>
      <c r="E15" s="449">
        <v>0.15792452795941012</v>
      </c>
      <c r="F15" s="449">
        <v>0.15979898807413156</v>
      </c>
      <c r="G15" s="450">
        <v>0.14881445239408703</v>
      </c>
    </row>
    <row r="16" spans="1:8" ht="15" customHeight="1">
      <c r="A16" s="389">
        <v>6</v>
      </c>
      <c r="B16" s="14" t="str">
        <f>"Tier 1 ratio &gt;="&amp;TEXT('9.1. Capital Requirements'!$C$20*100,"#.##")&amp;"%"</f>
        <v>Tier 1 ratio &gt;=11.59%</v>
      </c>
      <c r="C16" s="449">
        <v>0.1509244743101649</v>
      </c>
      <c r="D16" s="449">
        <v>0.1494095301998892</v>
      </c>
      <c r="E16" s="449">
        <v>0.15792452795941012</v>
      </c>
      <c r="F16" s="449">
        <v>0.15979898807413156</v>
      </c>
      <c r="G16" s="450">
        <v>0.14881445239408703</v>
      </c>
    </row>
    <row r="17" spans="1:7" ht="15">
      <c r="A17" s="389">
        <v>7</v>
      </c>
      <c r="B17" s="14" t="str">
        <f>"Total Regulatory Capital ratio &gt;="&amp;TEXT('9.1. Capital Requirements'!$C$21*100,"#.##")&amp;"%"</f>
        <v>Total Regulatory Capital ratio &gt;=20.32%</v>
      </c>
      <c r="C17" s="449">
        <v>0.29927137393887809</v>
      </c>
      <c r="D17" s="449">
        <v>0.29711703511880411</v>
      </c>
      <c r="E17" s="449">
        <v>0.32191271804094257</v>
      </c>
      <c r="F17" s="449">
        <v>0.31317722598760855</v>
      </c>
      <c r="G17" s="450">
        <v>0.31327816578053802</v>
      </c>
    </row>
    <row r="18" spans="1:7" ht="15">
      <c r="A18" s="388"/>
      <c r="B18" s="240" t="s">
        <v>135</v>
      </c>
      <c r="C18" s="445"/>
      <c r="D18" s="445"/>
      <c r="E18" s="445"/>
      <c r="F18" s="445"/>
      <c r="G18" s="446"/>
    </row>
    <row r="19" spans="1:7" ht="15" customHeight="1">
      <c r="A19" s="390">
        <v>8</v>
      </c>
      <c r="B19" s="14" t="s">
        <v>134</v>
      </c>
      <c r="C19" s="449">
        <v>7.3728187483529037E-2</v>
      </c>
      <c r="D19" s="449">
        <v>5.252808083776199E-2</v>
      </c>
      <c r="E19" s="449">
        <v>7.4393771591169222E-2</v>
      </c>
      <c r="F19" s="449">
        <v>6.8869777669524818E-2</v>
      </c>
      <c r="G19" s="450">
        <v>6.7875055063455161E-2</v>
      </c>
    </row>
    <row r="20" spans="1:7" ht="15">
      <c r="A20" s="390">
        <v>9</v>
      </c>
      <c r="B20" s="14" t="s">
        <v>133</v>
      </c>
      <c r="C20" s="449">
        <v>2.4355998985960803E-2</v>
      </c>
      <c r="D20" s="449">
        <v>1.5772230148373926E-2</v>
      </c>
      <c r="E20" s="449">
        <v>2.4126556739941293E-2</v>
      </c>
      <c r="F20" s="449">
        <v>2.576856840823501E-2</v>
      </c>
      <c r="G20" s="450">
        <v>2.5758209009402611E-2</v>
      </c>
    </row>
    <row r="21" spans="1:7" ht="15">
      <c r="A21" s="390">
        <v>10</v>
      </c>
      <c r="B21" s="14" t="s">
        <v>132</v>
      </c>
      <c r="C21" s="449">
        <v>3.2647077704208952E-2</v>
      </c>
      <c r="D21" s="449">
        <v>2.4353158553452083E-2</v>
      </c>
      <c r="E21" s="449">
        <v>2.9332291113924026E-2</v>
      </c>
      <c r="F21" s="449">
        <v>3.1701715649815776E-2</v>
      </c>
      <c r="G21" s="450">
        <v>3.4090797916205354E-2</v>
      </c>
    </row>
    <row r="22" spans="1:7" ht="15">
      <c r="A22" s="390">
        <v>11</v>
      </c>
      <c r="B22" s="14" t="s">
        <v>131</v>
      </c>
      <c r="C22" s="449">
        <v>4.9372188497568234E-2</v>
      </c>
      <c r="D22" s="449">
        <v>3.6755850689388067E-2</v>
      </c>
      <c r="E22" s="449">
        <v>5.0267214851227926E-2</v>
      </c>
      <c r="F22" s="449">
        <v>4.3101209261289804E-2</v>
      </c>
      <c r="G22" s="450">
        <v>4.2116846054052554E-2</v>
      </c>
    </row>
    <row r="23" spans="1:7" ht="15">
      <c r="A23" s="390">
        <v>12</v>
      </c>
      <c r="B23" s="14" t="s">
        <v>277</v>
      </c>
      <c r="C23" s="449">
        <v>2.1706907874925952E-2</v>
      </c>
      <c r="D23" s="449">
        <v>1.3941209248711816E-2</v>
      </c>
      <c r="E23" s="449">
        <v>1.4851126355640393E-2</v>
      </c>
      <c r="F23" s="449">
        <v>1.5245647500718669E-2</v>
      </c>
      <c r="G23" s="450">
        <v>1.2306832207069357E-2</v>
      </c>
    </row>
    <row r="24" spans="1:7" ht="15">
      <c r="A24" s="390">
        <v>13</v>
      </c>
      <c r="B24" s="14" t="s">
        <v>278</v>
      </c>
      <c r="C24" s="449">
        <v>0.12463471600960843</v>
      </c>
      <c r="D24" s="449">
        <v>7.8071424090230171E-2</v>
      </c>
      <c r="E24" s="449">
        <v>7.7879057341487395E-2</v>
      </c>
      <c r="F24" s="449">
        <v>7.7733662887247201E-2</v>
      </c>
      <c r="G24" s="450">
        <v>6.2518158545612795E-2</v>
      </c>
    </row>
    <row r="25" spans="1:7" ht="15">
      <c r="A25" s="388"/>
      <c r="B25" s="240" t="s">
        <v>357</v>
      </c>
      <c r="C25" s="445"/>
      <c r="D25" s="445"/>
      <c r="E25" s="445"/>
      <c r="F25" s="445"/>
      <c r="G25" s="446"/>
    </row>
    <row r="26" spans="1:7" ht="15">
      <c r="A26" s="390">
        <v>14</v>
      </c>
      <c r="B26" s="14" t="s">
        <v>130</v>
      </c>
      <c r="C26" s="449">
        <v>0.39475788980791926</v>
      </c>
      <c r="D26" s="449">
        <v>0.40771722359086521</v>
      </c>
      <c r="E26" s="449">
        <v>0.36782623479854143</v>
      </c>
      <c r="F26" s="449">
        <v>0.35914968422147536</v>
      </c>
      <c r="G26" s="450">
        <v>0.35195794650276119</v>
      </c>
    </row>
    <row r="27" spans="1:7" ht="15" customHeight="1">
      <c r="A27" s="390">
        <v>15</v>
      </c>
      <c r="B27" s="14" t="s">
        <v>129</v>
      </c>
      <c r="C27" s="449">
        <v>0.15751668779353256</v>
      </c>
      <c r="D27" s="449">
        <v>0.16231154883304391</v>
      </c>
      <c r="E27" s="449">
        <v>0.14302761812648807</v>
      </c>
      <c r="F27" s="449">
        <v>0.13849547929493877</v>
      </c>
      <c r="G27" s="450">
        <v>0.13898104895210672</v>
      </c>
    </row>
    <row r="28" spans="1:7" ht="15">
      <c r="A28" s="390">
        <v>16</v>
      </c>
      <c r="B28" s="14" t="s">
        <v>128</v>
      </c>
      <c r="C28" s="449">
        <v>0.66327935401179372</v>
      </c>
      <c r="D28" s="449">
        <v>0.66909917097400295</v>
      </c>
      <c r="E28" s="449">
        <v>0.62071275044041196</v>
      </c>
      <c r="F28" s="449">
        <v>0.61752701946481858</v>
      </c>
      <c r="G28" s="450">
        <v>0.60736406053144276</v>
      </c>
    </row>
    <row r="29" spans="1:7" ht="15" customHeight="1">
      <c r="A29" s="390">
        <v>17</v>
      </c>
      <c r="B29" s="14" t="s">
        <v>127</v>
      </c>
      <c r="C29" s="449">
        <v>0.65691225808035747</v>
      </c>
      <c r="D29" s="449">
        <v>0.67542171742731194</v>
      </c>
      <c r="E29" s="449">
        <v>0.62782200044927827</v>
      </c>
      <c r="F29" s="449">
        <v>0.60607663353181018</v>
      </c>
      <c r="G29" s="450">
        <v>0.6237976955187633</v>
      </c>
    </row>
    <row r="30" spans="1:7" ht="15">
      <c r="A30" s="390">
        <v>18</v>
      </c>
      <c r="B30" s="14" t="s">
        <v>126</v>
      </c>
      <c r="C30" s="449">
        <v>2.2991226855333169E-2</v>
      </c>
      <c r="D30" s="449">
        <v>-1.9474945958888323E-2</v>
      </c>
      <c r="E30" s="449">
        <v>-2.690143399493361E-3</v>
      </c>
      <c r="F30" s="449">
        <v>2.8948492293526806E-2</v>
      </c>
      <c r="G30" s="450">
        <v>-5.3431982249165788E-3</v>
      </c>
    </row>
    <row r="31" spans="1:7" ht="15" customHeight="1">
      <c r="A31" s="388"/>
      <c r="B31" s="240" t="s">
        <v>358</v>
      </c>
      <c r="C31" s="445"/>
      <c r="D31" s="445"/>
      <c r="E31" s="445"/>
      <c r="F31" s="445"/>
      <c r="G31" s="446"/>
    </row>
    <row r="32" spans="1:7" ht="15" customHeight="1">
      <c r="A32" s="390">
        <v>19</v>
      </c>
      <c r="B32" s="14" t="s">
        <v>125</v>
      </c>
      <c r="C32" s="449">
        <v>0.29719645385886262</v>
      </c>
      <c r="D32" s="449">
        <v>0.26561154695335804</v>
      </c>
      <c r="E32" s="449">
        <v>0.2401095105796863</v>
      </c>
      <c r="F32" s="449">
        <v>0.25456700581335773</v>
      </c>
      <c r="G32" s="450">
        <v>0.28523671467693701</v>
      </c>
    </row>
    <row r="33" spans="1:7" ht="15" customHeight="1">
      <c r="A33" s="390">
        <v>20</v>
      </c>
      <c r="B33" s="14" t="s">
        <v>124</v>
      </c>
      <c r="C33" s="449">
        <v>0.85315415753259805</v>
      </c>
      <c r="D33" s="449">
        <v>0.90275322902111055</v>
      </c>
      <c r="E33" s="449">
        <v>0.91540449009230229</v>
      </c>
      <c r="F33" s="449">
        <v>0.87460779793397492</v>
      </c>
      <c r="G33" s="450">
        <v>0.84514146195679363</v>
      </c>
    </row>
    <row r="34" spans="1:7" ht="15" customHeight="1">
      <c r="A34" s="390">
        <v>21</v>
      </c>
      <c r="B34" s="14" t="s">
        <v>123</v>
      </c>
      <c r="C34" s="449">
        <v>0.34841415259494246</v>
      </c>
      <c r="D34" s="449">
        <v>0.31435631508389533</v>
      </c>
      <c r="E34" s="449">
        <v>0.29697614278110768</v>
      </c>
      <c r="F34" s="449">
        <v>0.3086605244879751</v>
      </c>
      <c r="G34" s="450">
        <v>0.32447579899455464</v>
      </c>
    </row>
    <row r="35" spans="1:7" ht="15" customHeight="1">
      <c r="A35" s="391"/>
      <c r="B35" s="240" t="s">
        <v>401</v>
      </c>
      <c r="C35" s="445"/>
      <c r="D35" s="445"/>
      <c r="E35" s="445"/>
      <c r="F35" s="445"/>
      <c r="G35" s="446"/>
    </row>
    <row r="36" spans="1:7" ht="15">
      <c r="A36" s="390">
        <v>22</v>
      </c>
      <c r="B36" s="14" t="s">
        <v>384</v>
      </c>
      <c r="C36" s="442">
        <v>340082465.02639312</v>
      </c>
      <c r="D36" s="442">
        <v>287529493.42388487</v>
      </c>
      <c r="E36" s="442">
        <v>261784898.58272907</v>
      </c>
      <c r="F36" s="442">
        <v>303859040.16574132</v>
      </c>
      <c r="G36" s="443">
        <v>293208220.02744257</v>
      </c>
    </row>
    <row r="37" spans="1:7" ht="15" customHeight="1">
      <c r="A37" s="390">
        <v>23</v>
      </c>
      <c r="B37" s="14" t="s">
        <v>396</v>
      </c>
      <c r="C37" s="442">
        <v>126275517.96799789</v>
      </c>
      <c r="D37" s="442">
        <v>131191596.84480809</v>
      </c>
      <c r="E37" s="442">
        <v>106988387.95930007</v>
      </c>
      <c r="F37" s="442">
        <v>114639306.97298403</v>
      </c>
      <c r="G37" s="443">
        <v>104455906.5296901</v>
      </c>
    </row>
    <row r="38" spans="1:7" ht="15.75" thickBot="1">
      <c r="A38" s="392">
        <v>24</v>
      </c>
      <c r="B38" s="241" t="s">
        <v>385</v>
      </c>
      <c r="C38" s="451">
        <v>2.6931781433086694</v>
      </c>
      <c r="D38" s="452">
        <v>2.1916761464837973</v>
      </c>
      <c r="E38" s="452">
        <v>2.446853378913568</v>
      </c>
      <c r="F38" s="452">
        <v>2.6505659200936109</v>
      </c>
      <c r="G38" s="453">
        <v>2.807004694790546</v>
      </c>
    </row>
    <row r="39" spans="1:7">
      <c r="A39" s="16"/>
    </row>
    <row r="40" spans="1:7">
      <c r="B40" s="320"/>
    </row>
    <row r="41" spans="1:7" ht="51">
      <c r="B41" s="320" t="s">
        <v>400</v>
      </c>
    </row>
    <row r="43" spans="1:7">
      <c r="B43" s="3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5.14062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5">
        <f>'1. key ratios '!B2</f>
        <v>43738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29" t="s">
        <v>68</v>
      </c>
      <c r="D5" s="530"/>
      <c r="E5" s="531"/>
      <c r="F5" s="529" t="s">
        <v>72</v>
      </c>
      <c r="G5" s="530"/>
      <c r="H5" s="532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11525442</v>
      </c>
      <c r="D7" s="29">
        <v>9826743</v>
      </c>
      <c r="E7" s="30">
        <f>C7+D7</f>
        <v>21352185</v>
      </c>
      <c r="F7" s="31">
        <v>11047579</v>
      </c>
      <c r="G7" s="32">
        <v>13731522</v>
      </c>
      <c r="H7" s="33">
        <f>F7+G7</f>
        <v>24779101</v>
      </c>
    </row>
    <row r="8" spans="1:8">
      <c r="A8" s="24">
        <v>2</v>
      </c>
      <c r="B8" s="28" t="s">
        <v>36</v>
      </c>
      <c r="C8" s="29">
        <v>1755527</v>
      </c>
      <c r="D8" s="29">
        <v>188254762</v>
      </c>
      <c r="E8" s="30">
        <f t="shared" ref="E8:E20" si="0">C8+D8</f>
        <v>190010289</v>
      </c>
      <c r="F8" s="31">
        <v>5164640</v>
      </c>
      <c r="G8" s="32">
        <v>139845478</v>
      </c>
      <c r="H8" s="33">
        <f t="shared" ref="H8:H31" si="1">F8+G8</f>
        <v>145010118</v>
      </c>
    </row>
    <row r="9" spans="1:8">
      <c r="A9" s="24">
        <v>3</v>
      </c>
      <c r="B9" s="28" t="s">
        <v>37</v>
      </c>
      <c r="C9" s="29">
        <v>66419359</v>
      </c>
      <c r="D9" s="29">
        <v>113986641</v>
      </c>
      <c r="E9" s="30">
        <f t="shared" si="0"/>
        <v>180406000</v>
      </c>
      <c r="F9" s="31">
        <v>55683954</v>
      </c>
      <c r="G9" s="32">
        <v>151182971</v>
      </c>
      <c r="H9" s="33">
        <f t="shared" si="1"/>
        <v>206866925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21003803</v>
      </c>
      <c r="D11" s="29">
        <v>14480480</v>
      </c>
      <c r="E11" s="30">
        <f t="shared" si="0"/>
        <v>35484283</v>
      </c>
      <c r="F11" s="31">
        <v>21868631</v>
      </c>
      <c r="G11" s="32">
        <v>0</v>
      </c>
      <c r="H11" s="33">
        <f t="shared" si="1"/>
        <v>21868631</v>
      </c>
    </row>
    <row r="12" spans="1:8">
      <c r="A12" s="24">
        <v>6.1</v>
      </c>
      <c r="B12" s="34" t="s">
        <v>40</v>
      </c>
      <c r="C12" s="29">
        <v>290469289</v>
      </c>
      <c r="D12" s="29">
        <v>572172466</v>
      </c>
      <c r="E12" s="30">
        <f t="shared" si="0"/>
        <v>862641755</v>
      </c>
      <c r="F12" s="31">
        <v>320057669</v>
      </c>
      <c r="G12" s="32">
        <v>495093561</v>
      </c>
      <c r="H12" s="33">
        <f t="shared" si="1"/>
        <v>815151230</v>
      </c>
    </row>
    <row r="13" spans="1:8">
      <c r="A13" s="24">
        <v>6.2</v>
      </c>
      <c r="B13" s="34" t="s">
        <v>41</v>
      </c>
      <c r="C13" s="29">
        <v>-41479521</v>
      </c>
      <c r="D13" s="29">
        <v>-94400951</v>
      </c>
      <c r="E13" s="30">
        <f t="shared" si="0"/>
        <v>-135880472</v>
      </c>
      <c r="F13" s="31">
        <v>-44885961</v>
      </c>
      <c r="G13" s="32">
        <v>-68404612</v>
      </c>
      <c r="H13" s="33">
        <f t="shared" si="1"/>
        <v>-113290573</v>
      </c>
    </row>
    <row r="14" spans="1:8">
      <c r="A14" s="24">
        <v>6</v>
      </c>
      <c r="B14" s="28" t="s">
        <v>42</v>
      </c>
      <c r="C14" s="30">
        <f>C12+C13</f>
        <v>248989768</v>
      </c>
      <c r="D14" s="30">
        <f>D12+D13</f>
        <v>477771515</v>
      </c>
      <c r="E14" s="30">
        <f t="shared" si="0"/>
        <v>726761283</v>
      </c>
      <c r="F14" s="30">
        <f>F12+F13</f>
        <v>275171708</v>
      </c>
      <c r="G14" s="30">
        <f>G12+G13</f>
        <v>426688949</v>
      </c>
      <c r="H14" s="33">
        <f t="shared" si="1"/>
        <v>701860657</v>
      </c>
    </row>
    <row r="15" spans="1:8">
      <c r="A15" s="24">
        <v>7</v>
      </c>
      <c r="B15" s="28" t="s">
        <v>43</v>
      </c>
      <c r="C15" s="29">
        <v>3121219</v>
      </c>
      <c r="D15" s="29">
        <v>4434332</v>
      </c>
      <c r="E15" s="30">
        <f t="shared" si="0"/>
        <v>7555551</v>
      </c>
      <c r="F15" s="31">
        <v>7350641</v>
      </c>
      <c r="G15" s="32">
        <v>2405267</v>
      </c>
      <c r="H15" s="33">
        <f t="shared" si="1"/>
        <v>9755908</v>
      </c>
    </row>
    <row r="16" spans="1:8">
      <c r="A16" s="24">
        <v>8</v>
      </c>
      <c r="B16" s="28" t="s">
        <v>204</v>
      </c>
      <c r="C16" s="29">
        <v>24352452</v>
      </c>
      <c r="D16" s="29" t="s">
        <v>490</v>
      </c>
      <c r="E16" s="30">
        <f>C16</f>
        <v>24352452</v>
      </c>
      <c r="F16" s="31">
        <v>26824055</v>
      </c>
      <c r="G16" s="32" t="s">
        <v>490</v>
      </c>
      <c r="H16" s="33">
        <f>F16</f>
        <v>26824055</v>
      </c>
    </row>
    <row r="17" spans="1:8">
      <c r="A17" s="24">
        <v>9</v>
      </c>
      <c r="B17" s="28" t="s">
        <v>44</v>
      </c>
      <c r="C17" s="29">
        <v>5814321</v>
      </c>
      <c r="D17" s="29">
        <v>0</v>
      </c>
      <c r="E17" s="30">
        <f t="shared" si="0"/>
        <v>5814321</v>
      </c>
      <c r="F17" s="31">
        <v>2883540</v>
      </c>
      <c r="G17" s="32">
        <v>0</v>
      </c>
      <c r="H17" s="33">
        <f t="shared" si="1"/>
        <v>2883540</v>
      </c>
    </row>
    <row r="18" spans="1:8">
      <c r="A18" s="24">
        <v>10</v>
      </c>
      <c r="B18" s="28" t="s">
        <v>45</v>
      </c>
      <c r="C18" s="29">
        <v>17998741</v>
      </c>
      <c r="D18" s="29" t="s">
        <v>490</v>
      </c>
      <c r="E18" s="30">
        <f>C18</f>
        <v>17998741</v>
      </c>
      <c r="F18" s="31">
        <v>19055480</v>
      </c>
      <c r="G18" s="32" t="s">
        <v>490</v>
      </c>
      <c r="H18" s="33">
        <f>F18</f>
        <v>19055480</v>
      </c>
    </row>
    <row r="19" spans="1:8">
      <c r="A19" s="24">
        <v>11</v>
      </c>
      <c r="B19" s="28" t="s">
        <v>46</v>
      </c>
      <c r="C19" s="29">
        <v>22002279</v>
      </c>
      <c r="D19" s="29">
        <v>1133568</v>
      </c>
      <c r="E19" s="30">
        <f t="shared" si="0"/>
        <v>23135847</v>
      </c>
      <c r="F19" s="31">
        <v>18458892</v>
      </c>
      <c r="G19" s="32">
        <v>1547919</v>
      </c>
      <c r="H19" s="33">
        <f t="shared" si="1"/>
        <v>20006811</v>
      </c>
    </row>
    <row r="20" spans="1:8">
      <c r="A20" s="24">
        <v>12</v>
      </c>
      <c r="B20" s="36" t="s">
        <v>47</v>
      </c>
      <c r="C20" s="30">
        <f>SUM(C7:C11)+SUM(C14:C19)</f>
        <v>422982911</v>
      </c>
      <c r="D20" s="30">
        <f>SUM(D7:D11)+SUM(D14:D19)</f>
        <v>809888041</v>
      </c>
      <c r="E20" s="30">
        <f t="shared" si="0"/>
        <v>1232870952</v>
      </c>
      <c r="F20" s="30">
        <f>SUM(F7:F11)+SUM(F14:F19)</f>
        <v>443509120</v>
      </c>
      <c r="G20" s="30">
        <f>SUM(G7:G11)+SUM(G14:G19)</f>
        <v>735402106</v>
      </c>
      <c r="H20" s="33">
        <f t="shared" si="1"/>
        <v>1178911226</v>
      </c>
    </row>
    <row r="21" spans="1:8">
      <c r="A21" s="24"/>
      <c r="B21" s="25" t="s">
        <v>48</v>
      </c>
      <c r="C21" s="37" t="s">
        <v>491</v>
      </c>
      <c r="D21" s="37"/>
      <c r="E21" s="37"/>
      <c r="F21" s="38" t="s">
        <v>491</v>
      </c>
      <c r="G21" s="39"/>
      <c r="H21" s="40"/>
    </row>
    <row r="22" spans="1:8">
      <c r="A22" s="24">
        <v>13</v>
      </c>
      <c r="B22" s="28" t="s">
        <v>49</v>
      </c>
      <c r="C22" s="29">
        <v>51462</v>
      </c>
      <c r="D22" s="29">
        <v>103602</v>
      </c>
      <c r="E22" s="30">
        <f>C22+D22</f>
        <v>155064</v>
      </c>
      <c r="F22" s="31">
        <v>52742</v>
      </c>
      <c r="G22" s="32">
        <v>14486760</v>
      </c>
      <c r="H22" s="33">
        <f t="shared" si="1"/>
        <v>14539502</v>
      </c>
    </row>
    <row r="23" spans="1:8">
      <c r="A23" s="24">
        <v>14</v>
      </c>
      <c r="B23" s="28" t="s">
        <v>50</v>
      </c>
      <c r="C23" s="29">
        <v>81678591</v>
      </c>
      <c r="D23" s="29">
        <v>281252642</v>
      </c>
      <c r="E23" s="30">
        <f t="shared" ref="E23:E30" si="2">C23+D23</f>
        <v>362931233</v>
      </c>
      <c r="F23" s="31">
        <v>57713022</v>
      </c>
      <c r="G23" s="32">
        <v>257860988</v>
      </c>
      <c r="H23" s="33">
        <f t="shared" si="1"/>
        <v>315574010</v>
      </c>
    </row>
    <row r="24" spans="1:8">
      <c r="A24" s="24">
        <v>15</v>
      </c>
      <c r="B24" s="28" t="s">
        <v>51</v>
      </c>
      <c r="C24" s="29">
        <v>38441111</v>
      </c>
      <c r="D24" s="29">
        <v>28177344</v>
      </c>
      <c r="E24" s="30">
        <f t="shared" si="2"/>
        <v>66618455</v>
      </c>
      <c r="F24" s="31">
        <v>39310310</v>
      </c>
      <c r="G24" s="32">
        <v>27643842</v>
      </c>
      <c r="H24" s="33">
        <f t="shared" si="1"/>
        <v>66954152</v>
      </c>
    </row>
    <row r="25" spans="1:8">
      <c r="A25" s="24">
        <v>16</v>
      </c>
      <c r="B25" s="28" t="s">
        <v>52</v>
      </c>
      <c r="C25" s="29">
        <v>17509032</v>
      </c>
      <c r="D25" s="29">
        <v>333664393</v>
      </c>
      <c r="E25" s="30">
        <f t="shared" si="2"/>
        <v>351173425</v>
      </c>
      <c r="F25" s="31">
        <v>41861062</v>
      </c>
      <c r="G25" s="32">
        <v>271871820</v>
      </c>
      <c r="H25" s="33">
        <f t="shared" si="1"/>
        <v>313732882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545069</v>
      </c>
      <c r="D28" s="29">
        <v>8280163</v>
      </c>
      <c r="E28" s="30">
        <f t="shared" si="2"/>
        <v>8825232</v>
      </c>
      <c r="F28" s="31">
        <v>2389675</v>
      </c>
      <c r="G28" s="32">
        <v>7875671</v>
      </c>
      <c r="H28" s="33">
        <f t="shared" si="1"/>
        <v>10265346</v>
      </c>
    </row>
    <row r="29" spans="1:8">
      <c r="A29" s="24">
        <v>20</v>
      </c>
      <c r="B29" s="28" t="s">
        <v>56</v>
      </c>
      <c r="C29" s="29">
        <v>13380795</v>
      </c>
      <c r="D29" s="29">
        <v>5919103</v>
      </c>
      <c r="E29" s="30">
        <f t="shared" si="2"/>
        <v>19299898</v>
      </c>
      <c r="F29" s="31">
        <v>7222865</v>
      </c>
      <c r="G29" s="32">
        <v>3850291</v>
      </c>
      <c r="H29" s="33">
        <f t="shared" si="1"/>
        <v>11073156</v>
      </c>
    </row>
    <row r="30" spans="1:8">
      <c r="A30" s="24">
        <v>21</v>
      </c>
      <c r="B30" s="28" t="s">
        <v>57</v>
      </c>
      <c r="C30" s="29">
        <v>0</v>
      </c>
      <c r="D30" s="29">
        <v>223413120</v>
      </c>
      <c r="E30" s="30">
        <f t="shared" si="2"/>
        <v>223413120</v>
      </c>
      <c r="F30" s="31">
        <v>0</v>
      </c>
      <c r="G30" s="32">
        <v>227121435</v>
      </c>
      <c r="H30" s="33">
        <f t="shared" si="1"/>
        <v>227121435</v>
      </c>
    </row>
    <row r="31" spans="1:8">
      <c r="A31" s="24">
        <v>22</v>
      </c>
      <c r="B31" s="36" t="s">
        <v>58</v>
      </c>
      <c r="C31" s="30">
        <f>SUM(C22:C30)</f>
        <v>151606060</v>
      </c>
      <c r="D31" s="30">
        <f>SUM(D22:D30)</f>
        <v>880810367</v>
      </c>
      <c r="E31" s="30">
        <f>C31+D31</f>
        <v>1032416427</v>
      </c>
      <c r="F31" s="30">
        <f>SUM(F22:F30)</f>
        <v>148549676</v>
      </c>
      <c r="G31" s="30">
        <f>SUM(G22:G30)</f>
        <v>810710807</v>
      </c>
      <c r="H31" s="33">
        <f t="shared" si="1"/>
        <v>959260483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/>
      <c r="E33" s="30">
        <f>C33</f>
        <v>114430000</v>
      </c>
      <c r="F33" s="31">
        <v>114430000</v>
      </c>
      <c r="G33" s="39"/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/>
      <c r="E34" s="30">
        <f t="shared" ref="E34:E40" si="3">C34</f>
        <v>0</v>
      </c>
      <c r="F34" s="31">
        <v>0</v>
      </c>
      <c r="G34" s="39"/>
      <c r="H34" s="33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/>
      <c r="E35" s="30">
        <f t="shared" si="3"/>
        <v>0</v>
      </c>
      <c r="F35" s="31">
        <v>0</v>
      </c>
      <c r="G35" s="39"/>
      <c r="H35" s="33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/>
      <c r="E36" s="30">
        <f t="shared" si="3"/>
        <v>0</v>
      </c>
      <c r="F36" s="31">
        <v>0</v>
      </c>
      <c r="G36" s="39"/>
      <c r="H36" s="33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/>
      <c r="E37" s="30">
        <f t="shared" si="3"/>
        <v>7438034</v>
      </c>
      <c r="F37" s="31">
        <v>7438034</v>
      </c>
      <c r="G37" s="39"/>
      <c r="H37" s="33">
        <f t="shared" si="4"/>
        <v>7438034</v>
      </c>
    </row>
    <row r="38" spans="1:8">
      <c r="A38" s="24">
        <v>28</v>
      </c>
      <c r="B38" s="28" t="s">
        <v>65</v>
      </c>
      <c r="C38" s="29">
        <v>78586491</v>
      </c>
      <c r="D38" s="37"/>
      <c r="E38" s="30">
        <f t="shared" si="3"/>
        <v>78586491</v>
      </c>
      <c r="F38" s="31">
        <v>97782709</v>
      </c>
      <c r="G38" s="39"/>
      <c r="H38" s="33">
        <f t="shared" si="4"/>
        <v>97782709</v>
      </c>
    </row>
    <row r="39" spans="1:8">
      <c r="A39" s="24">
        <v>29</v>
      </c>
      <c r="B39" s="28" t="s">
        <v>66</v>
      </c>
      <c r="C39" s="29">
        <v>0</v>
      </c>
      <c r="D39" s="37"/>
      <c r="E39" s="30">
        <f t="shared" si="3"/>
        <v>0</v>
      </c>
      <c r="F39" s="31">
        <v>0</v>
      </c>
      <c r="G39" s="39"/>
      <c r="H39" s="33">
        <f t="shared" si="4"/>
        <v>0</v>
      </c>
    </row>
    <row r="40" spans="1:8">
      <c r="A40" s="24">
        <v>30</v>
      </c>
      <c r="B40" s="287" t="s">
        <v>272</v>
      </c>
      <c r="C40" s="29">
        <f>SUM(C33:C39)</f>
        <v>200454525</v>
      </c>
      <c r="D40" s="37"/>
      <c r="E40" s="30">
        <f t="shared" si="3"/>
        <v>200454525</v>
      </c>
      <c r="F40" s="31">
        <f>SUM(F33:F39)</f>
        <v>219650743</v>
      </c>
      <c r="G40" s="39"/>
      <c r="H40" s="33">
        <f t="shared" si="4"/>
        <v>219650743</v>
      </c>
    </row>
    <row r="41" spans="1:8" ht="15" thickBot="1">
      <c r="A41" s="41">
        <v>31</v>
      </c>
      <c r="B41" s="42" t="s">
        <v>67</v>
      </c>
      <c r="C41" s="43">
        <f>C31+C40</f>
        <v>352060585</v>
      </c>
      <c r="D41" s="43">
        <f>D31+D40</f>
        <v>880810367</v>
      </c>
      <c r="E41" s="43">
        <f>C41+D41</f>
        <v>1232870952</v>
      </c>
      <c r="F41" s="43">
        <f>F31+F40</f>
        <v>368200419</v>
      </c>
      <c r="G41" s="43">
        <f>G31</f>
        <v>810710807</v>
      </c>
      <c r="H41" s="44">
        <f>F41+G41</f>
        <v>1178911226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52" style="4" bestFit="1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9">
        <f>'1. key ratios '!B2</f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42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29" t="s">
        <v>68</v>
      </c>
      <c r="D5" s="530"/>
      <c r="E5" s="531"/>
      <c r="F5" s="529" t="s">
        <v>72</v>
      </c>
      <c r="G5" s="530"/>
      <c r="H5" s="532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2" t="s">
        <v>198</v>
      </c>
      <c r="C7" s="56"/>
      <c r="D7" s="56"/>
      <c r="E7" s="56"/>
      <c r="F7" s="56"/>
      <c r="G7" s="56"/>
      <c r="H7" s="57"/>
    </row>
    <row r="8" spans="1:8" ht="25.5">
      <c r="A8" s="55">
        <v>1</v>
      </c>
      <c r="B8" s="58" t="s">
        <v>197</v>
      </c>
      <c r="C8" s="461">
        <v>2815914</v>
      </c>
      <c r="D8" s="461">
        <v>1260071</v>
      </c>
      <c r="E8" s="462">
        <v>4075985</v>
      </c>
      <c r="F8" s="461">
        <v>3323401</v>
      </c>
      <c r="G8" s="461">
        <v>1442285</v>
      </c>
      <c r="H8" s="463">
        <f>F8+G8</f>
        <v>4765686</v>
      </c>
    </row>
    <row r="9" spans="1:8">
      <c r="A9" s="55">
        <v>2</v>
      </c>
      <c r="B9" s="58" t="s">
        <v>196</v>
      </c>
      <c r="C9" s="464">
        <v>17868668</v>
      </c>
      <c r="D9" s="464">
        <v>32635655</v>
      </c>
      <c r="E9" s="462">
        <v>50504323</v>
      </c>
      <c r="F9" s="464">
        <v>16306804</v>
      </c>
      <c r="G9" s="464">
        <v>33207993</v>
      </c>
      <c r="H9" s="463">
        <f t="shared" ref="H9:H67" si="0">F9+G9</f>
        <v>49514797</v>
      </c>
    </row>
    <row r="10" spans="1:8">
      <c r="A10" s="55">
        <v>2.1</v>
      </c>
      <c r="B10" s="59" t="s">
        <v>195</v>
      </c>
      <c r="C10" s="461">
        <v>0</v>
      </c>
      <c r="D10" s="461">
        <v>0</v>
      </c>
      <c r="E10" s="462">
        <v>0</v>
      </c>
      <c r="F10" s="461">
        <v>8114</v>
      </c>
      <c r="G10" s="461">
        <v>0</v>
      </c>
      <c r="H10" s="463">
        <f t="shared" si="0"/>
        <v>8114</v>
      </c>
    </row>
    <row r="11" spans="1:8">
      <c r="A11" s="55">
        <v>2.2000000000000002</v>
      </c>
      <c r="B11" s="59" t="s">
        <v>194</v>
      </c>
      <c r="C11" s="461">
        <v>8081335.0999999987</v>
      </c>
      <c r="D11" s="461">
        <v>13088336.359999999</v>
      </c>
      <c r="E11" s="462">
        <v>21169671.459999997</v>
      </c>
      <c r="F11" s="461">
        <v>8753777.6400000006</v>
      </c>
      <c r="G11" s="461">
        <v>16699412.790000001</v>
      </c>
      <c r="H11" s="463">
        <f t="shared" si="0"/>
        <v>25453190.43</v>
      </c>
    </row>
    <row r="12" spans="1:8">
      <c r="A12" s="55">
        <v>2.2999999999999998</v>
      </c>
      <c r="B12" s="59" t="s">
        <v>193</v>
      </c>
      <c r="C12" s="461">
        <v>801.95</v>
      </c>
      <c r="D12" s="461">
        <v>163152.76</v>
      </c>
      <c r="E12" s="462">
        <v>163954.71000000002</v>
      </c>
      <c r="F12" s="461">
        <v>0</v>
      </c>
      <c r="G12" s="461">
        <v>210866.5</v>
      </c>
      <c r="H12" s="463">
        <f t="shared" si="0"/>
        <v>210866.5</v>
      </c>
    </row>
    <row r="13" spans="1:8">
      <c r="A13" s="55">
        <v>2.4</v>
      </c>
      <c r="B13" s="59" t="s">
        <v>192</v>
      </c>
      <c r="C13" s="461">
        <v>1328500.8999999999</v>
      </c>
      <c r="D13" s="461">
        <v>2223598.08</v>
      </c>
      <c r="E13" s="462">
        <v>3552098.98</v>
      </c>
      <c r="F13" s="461">
        <v>1476139.7600000002</v>
      </c>
      <c r="G13" s="461">
        <v>2576815.8600000003</v>
      </c>
      <c r="H13" s="463">
        <f t="shared" si="0"/>
        <v>4052955.6200000006</v>
      </c>
    </row>
    <row r="14" spans="1:8">
      <c r="A14" s="55">
        <v>2.5</v>
      </c>
      <c r="B14" s="59" t="s">
        <v>191</v>
      </c>
      <c r="C14" s="461">
        <v>3095165.25</v>
      </c>
      <c r="D14" s="461">
        <v>3513918.4500000007</v>
      </c>
      <c r="E14" s="462">
        <v>6609083.7000000011</v>
      </c>
      <c r="F14" s="461">
        <v>1959518.42</v>
      </c>
      <c r="G14" s="461">
        <v>1933667.9799999997</v>
      </c>
      <c r="H14" s="463">
        <f t="shared" si="0"/>
        <v>3893186.3999999994</v>
      </c>
    </row>
    <row r="15" spans="1:8">
      <c r="A15" s="55">
        <v>2.6</v>
      </c>
      <c r="B15" s="59" t="s">
        <v>190</v>
      </c>
      <c r="C15" s="461">
        <v>3072219.37</v>
      </c>
      <c r="D15" s="461">
        <v>5202359.41</v>
      </c>
      <c r="E15" s="462">
        <v>8274578.7800000003</v>
      </c>
      <c r="F15" s="461">
        <v>2469701.14</v>
      </c>
      <c r="G15" s="461">
        <v>4059683.34</v>
      </c>
      <c r="H15" s="463">
        <f t="shared" si="0"/>
        <v>6529384.4800000004</v>
      </c>
    </row>
    <row r="16" spans="1:8">
      <c r="A16" s="55">
        <v>2.7</v>
      </c>
      <c r="B16" s="59" t="s">
        <v>189</v>
      </c>
      <c r="C16" s="461">
        <v>7761.8</v>
      </c>
      <c r="D16" s="461">
        <v>687093.41999999993</v>
      </c>
      <c r="E16" s="462">
        <v>694855.22</v>
      </c>
      <c r="F16" s="461">
        <v>7571.34</v>
      </c>
      <c r="G16" s="461">
        <v>1507536.3199999998</v>
      </c>
      <c r="H16" s="463">
        <f t="shared" si="0"/>
        <v>1515107.66</v>
      </c>
    </row>
    <row r="17" spans="1:8">
      <c r="A17" s="55">
        <v>2.8</v>
      </c>
      <c r="B17" s="59" t="s">
        <v>188</v>
      </c>
      <c r="C17" s="461">
        <v>511529</v>
      </c>
      <c r="D17" s="461">
        <v>2452696</v>
      </c>
      <c r="E17" s="462">
        <v>2964225</v>
      </c>
      <c r="F17" s="461">
        <v>610971</v>
      </c>
      <c r="G17" s="461">
        <v>2995771</v>
      </c>
      <c r="H17" s="463">
        <f t="shared" si="0"/>
        <v>3606742</v>
      </c>
    </row>
    <row r="18" spans="1:8">
      <c r="A18" s="55">
        <v>2.9</v>
      </c>
      <c r="B18" s="59" t="s">
        <v>187</v>
      </c>
      <c r="C18" s="461">
        <v>1771354.629999999</v>
      </c>
      <c r="D18" s="461">
        <v>5304500.5200000033</v>
      </c>
      <c r="E18" s="462">
        <v>7075855.1500000022</v>
      </c>
      <c r="F18" s="461">
        <v>1021010.6999999993</v>
      </c>
      <c r="G18" s="461">
        <v>3224239.2100000009</v>
      </c>
      <c r="H18" s="463">
        <f t="shared" si="0"/>
        <v>4245249.91</v>
      </c>
    </row>
    <row r="19" spans="1:8">
      <c r="A19" s="55">
        <v>3</v>
      </c>
      <c r="B19" s="58" t="s">
        <v>186</v>
      </c>
      <c r="C19" s="461">
        <v>1893587</v>
      </c>
      <c r="D19" s="461">
        <v>6866605</v>
      </c>
      <c r="E19" s="462">
        <v>8760192</v>
      </c>
      <c r="F19" s="461">
        <v>209278</v>
      </c>
      <c r="G19" s="461">
        <v>2307076</v>
      </c>
      <c r="H19" s="463">
        <f t="shared" si="0"/>
        <v>2516354</v>
      </c>
    </row>
    <row r="20" spans="1:8">
      <c r="A20" s="55">
        <v>4</v>
      </c>
      <c r="B20" s="58" t="s">
        <v>185</v>
      </c>
      <c r="C20" s="461">
        <v>772965</v>
      </c>
      <c r="D20" s="461">
        <v>0</v>
      </c>
      <c r="E20" s="462">
        <v>772965</v>
      </c>
      <c r="F20" s="461">
        <v>1467407</v>
      </c>
      <c r="G20" s="461">
        <v>0</v>
      </c>
      <c r="H20" s="463">
        <f t="shared" si="0"/>
        <v>1467407</v>
      </c>
    </row>
    <row r="21" spans="1:8">
      <c r="A21" s="55">
        <v>5</v>
      </c>
      <c r="B21" s="58" t="s">
        <v>184</v>
      </c>
      <c r="C21" s="461">
        <v>0</v>
      </c>
      <c r="D21" s="461">
        <v>63365</v>
      </c>
      <c r="E21" s="462">
        <v>63365</v>
      </c>
      <c r="F21" s="461">
        <v>0</v>
      </c>
      <c r="G21" s="461">
        <v>41863</v>
      </c>
      <c r="H21" s="463">
        <f>F21+G21</f>
        <v>41863</v>
      </c>
    </row>
    <row r="22" spans="1:8">
      <c r="A22" s="55">
        <v>6</v>
      </c>
      <c r="B22" s="60" t="s">
        <v>183</v>
      </c>
      <c r="C22" s="464">
        <v>23351134</v>
      </c>
      <c r="D22" s="464">
        <v>40825696</v>
      </c>
      <c r="E22" s="462">
        <v>64176830</v>
      </c>
      <c r="F22" s="464">
        <v>21306890</v>
      </c>
      <c r="G22" s="464">
        <v>36999217</v>
      </c>
      <c r="H22" s="463">
        <f>F22+G22</f>
        <v>58306107</v>
      </c>
    </row>
    <row r="23" spans="1:8">
      <c r="A23" s="55"/>
      <c r="B23" s="242" t="s">
        <v>182</v>
      </c>
      <c r="C23" s="465"/>
      <c r="D23" s="465"/>
      <c r="E23" s="466"/>
      <c r="F23" s="465"/>
      <c r="G23" s="465"/>
      <c r="H23" s="467"/>
    </row>
    <row r="24" spans="1:8">
      <c r="A24" s="55">
        <v>7</v>
      </c>
      <c r="B24" s="58" t="s">
        <v>181</v>
      </c>
      <c r="C24" s="461">
        <v>2171691</v>
      </c>
      <c r="D24" s="461">
        <v>112673</v>
      </c>
      <c r="E24" s="462">
        <v>2284364</v>
      </c>
      <c r="F24" s="461">
        <v>914409</v>
      </c>
      <c r="G24" s="461">
        <v>465949</v>
      </c>
      <c r="H24" s="463">
        <f t="shared" si="0"/>
        <v>1380358</v>
      </c>
    </row>
    <row r="25" spans="1:8">
      <c r="A25" s="55">
        <v>8</v>
      </c>
      <c r="B25" s="58" t="s">
        <v>180</v>
      </c>
      <c r="C25" s="461">
        <v>888321</v>
      </c>
      <c r="D25" s="461">
        <v>10538784</v>
      </c>
      <c r="E25" s="462">
        <v>11427105</v>
      </c>
      <c r="F25" s="461">
        <v>2612789</v>
      </c>
      <c r="G25" s="461">
        <v>9838631</v>
      </c>
      <c r="H25" s="463">
        <f t="shared" si="0"/>
        <v>12451420</v>
      </c>
    </row>
    <row r="26" spans="1:8">
      <c r="A26" s="55">
        <v>9</v>
      </c>
      <c r="B26" s="58" t="s">
        <v>179</v>
      </c>
      <c r="C26" s="461">
        <v>12297</v>
      </c>
      <c r="D26" s="461">
        <v>359589</v>
      </c>
      <c r="E26" s="462">
        <v>371886</v>
      </c>
      <c r="F26" s="461">
        <v>1875</v>
      </c>
      <c r="G26" s="461">
        <v>480346</v>
      </c>
      <c r="H26" s="463">
        <f t="shared" si="0"/>
        <v>482221</v>
      </c>
    </row>
    <row r="27" spans="1:8">
      <c r="A27" s="55">
        <v>10</v>
      </c>
      <c r="B27" s="58" t="s">
        <v>178</v>
      </c>
      <c r="C27" s="461">
        <v>0</v>
      </c>
      <c r="D27" s="461">
        <v>0</v>
      </c>
      <c r="E27" s="462">
        <v>0</v>
      </c>
      <c r="F27" s="461">
        <v>0</v>
      </c>
      <c r="G27" s="461">
        <v>0</v>
      </c>
      <c r="H27" s="463">
        <f t="shared" si="0"/>
        <v>0</v>
      </c>
    </row>
    <row r="28" spans="1:8">
      <c r="A28" s="55">
        <v>11</v>
      </c>
      <c r="B28" s="58" t="s">
        <v>177</v>
      </c>
      <c r="C28" s="461">
        <v>0</v>
      </c>
      <c r="D28" s="461">
        <v>7117367</v>
      </c>
      <c r="E28" s="462">
        <v>7117367</v>
      </c>
      <c r="F28" s="461">
        <v>0</v>
      </c>
      <c r="G28" s="461">
        <v>7812847</v>
      </c>
      <c r="H28" s="463">
        <f t="shared" si="0"/>
        <v>7812847</v>
      </c>
    </row>
    <row r="29" spans="1:8">
      <c r="A29" s="55">
        <v>12</v>
      </c>
      <c r="B29" s="58" t="s">
        <v>176</v>
      </c>
      <c r="C29" s="461"/>
      <c r="D29" s="461"/>
      <c r="E29" s="462">
        <v>0</v>
      </c>
      <c r="F29" s="461"/>
      <c r="G29" s="461"/>
      <c r="H29" s="463">
        <f t="shared" si="0"/>
        <v>0</v>
      </c>
    </row>
    <row r="30" spans="1:8">
      <c r="A30" s="55">
        <v>13</v>
      </c>
      <c r="B30" s="61" t="s">
        <v>175</v>
      </c>
      <c r="C30" s="464">
        <v>3072309</v>
      </c>
      <c r="D30" s="464">
        <v>18128413</v>
      </c>
      <c r="E30" s="462">
        <v>21200722</v>
      </c>
      <c r="F30" s="464">
        <v>3529073</v>
      </c>
      <c r="G30" s="464">
        <v>18597773</v>
      </c>
      <c r="H30" s="463">
        <f t="shared" si="0"/>
        <v>22126846</v>
      </c>
    </row>
    <row r="31" spans="1:8">
      <c r="A31" s="55">
        <v>14</v>
      </c>
      <c r="B31" s="61" t="s">
        <v>174</v>
      </c>
      <c r="C31" s="464">
        <v>20278825</v>
      </c>
      <c r="D31" s="464">
        <v>22697283</v>
      </c>
      <c r="E31" s="462">
        <v>42976108</v>
      </c>
      <c r="F31" s="464">
        <v>17777817</v>
      </c>
      <c r="G31" s="464">
        <v>18401444</v>
      </c>
      <c r="H31" s="463">
        <f t="shared" si="0"/>
        <v>36179261</v>
      </c>
    </row>
    <row r="32" spans="1:8">
      <c r="A32" s="55"/>
      <c r="B32" s="62"/>
      <c r="C32" s="468"/>
      <c r="D32" s="469"/>
      <c r="E32" s="466"/>
      <c r="F32" s="469"/>
      <c r="G32" s="469"/>
      <c r="H32" s="467"/>
    </row>
    <row r="33" spans="1:8">
      <c r="A33" s="55"/>
      <c r="B33" s="62" t="s">
        <v>173</v>
      </c>
      <c r="C33" s="465"/>
      <c r="D33" s="465"/>
      <c r="E33" s="466"/>
      <c r="F33" s="465"/>
      <c r="G33" s="465"/>
      <c r="H33" s="467"/>
    </row>
    <row r="34" spans="1:8">
      <c r="A34" s="55">
        <v>15</v>
      </c>
      <c r="B34" s="63" t="s">
        <v>172</v>
      </c>
      <c r="C34" s="462">
        <v>406590</v>
      </c>
      <c r="D34" s="462">
        <v>-4281094</v>
      </c>
      <c r="E34" s="462">
        <v>-3874504</v>
      </c>
      <c r="F34" s="462">
        <v>697803</v>
      </c>
      <c r="G34" s="462">
        <v>-3600611</v>
      </c>
      <c r="H34" s="462">
        <f t="shared" si="0"/>
        <v>-2902808</v>
      </c>
    </row>
    <row r="35" spans="1:8">
      <c r="A35" s="55">
        <v>15.1</v>
      </c>
      <c r="B35" s="59" t="s">
        <v>171</v>
      </c>
      <c r="C35" s="461">
        <v>2475548</v>
      </c>
      <c r="D35" s="461">
        <v>1414370</v>
      </c>
      <c r="E35" s="462">
        <v>3889918</v>
      </c>
      <c r="F35" s="461">
        <v>2301958</v>
      </c>
      <c r="G35" s="461">
        <v>1291711</v>
      </c>
      <c r="H35" s="462">
        <f t="shared" si="0"/>
        <v>3593669</v>
      </c>
    </row>
    <row r="36" spans="1:8">
      <c r="A36" s="55">
        <v>15.2</v>
      </c>
      <c r="B36" s="59" t="s">
        <v>170</v>
      </c>
      <c r="C36" s="461">
        <v>2068958</v>
      </c>
      <c r="D36" s="461">
        <v>5695464</v>
      </c>
      <c r="E36" s="462">
        <v>7764422</v>
      </c>
      <c r="F36" s="461">
        <v>1604155</v>
      </c>
      <c r="G36" s="461">
        <v>4892322</v>
      </c>
      <c r="H36" s="462">
        <f t="shared" si="0"/>
        <v>6496477</v>
      </c>
    </row>
    <row r="37" spans="1:8">
      <c r="A37" s="55">
        <v>16</v>
      </c>
      <c r="B37" s="58" t="s">
        <v>169</v>
      </c>
      <c r="C37" s="461">
        <v>0</v>
      </c>
      <c r="D37" s="461">
        <v>0</v>
      </c>
      <c r="E37" s="462">
        <v>0</v>
      </c>
      <c r="F37" s="461">
        <v>114228</v>
      </c>
      <c r="G37" s="461">
        <v>0</v>
      </c>
      <c r="H37" s="462">
        <f t="shared" si="0"/>
        <v>114228</v>
      </c>
    </row>
    <row r="38" spans="1:8">
      <c r="A38" s="55">
        <v>17</v>
      </c>
      <c r="B38" s="58" t="s">
        <v>168</v>
      </c>
      <c r="C38" s="461">
        <v>43170</v>
      </c>
      <c r="D38" s="461">
        <v>0</v>
      </c>
      <c r="E38" s="462">
        <v>43170</v>
      </c>
      <c r="F38" s="461">
        <v>0</v>
      </c>
      <c r="G38" s="461">
        <v>0</v>
      </c>
      <c r="H38" s="462">
        <f t="shared" si="0"/>
        <v>0</v>
      </c>
    </row>
    <row r="39" spans="1:8">
      <c r="A39" s="55">
        <v>18</v>
      </c>
      <c r="B39" s="58" t="s">
        <v>167</v>
      </c>
      <c r="C39" s="461">
        <v>22393</v>
      </c>
      <c r="D39" s="461">
        <v>782942</v>
      </c>
      <c r="E39" s="462">
        <v>805335</v>
      </c>
      <c r="F39" s="461">
        <v>0</v>
      </c>
      <c r="G39" s="461">
        <v>0</v>
      </c>
      <c r="H39" s="462">
        <f t="shared" si="0"/>
        <v>0</v>
      </c>
    </row>
    <row r="40" spans="1:8">
      <c r="A40" s="55">
        <v>19</v>
      </c>
      <c r="B40" s="58" t="s">
        <v>166</v>
      </c>
      <c r="C40" s="461">
        <v>4045408</v>
      </c>
      <c r="D40" s="461"/>
      <c r="E40" s="462">
        <v>4045408</v>
      </c>
      <c r="F40" s="461">
        <v>4463159</v>
      </c>
      <c r="G40" s="461"/>
      <c r="H40" s="462">
        <f t="shared" si="0"/>
        <v>4463159</v>
      </c>
    </row>
    <row r="41" spans="1:8">
      <c r="A41" s="55">
        <v>20</v>
      </c>
      <c r="B41" s="58" t="s">
        <v>165</v>
      </c>
      <c r="C41" s="461">
        <v>-4348895</v>
      </c>
      <c r="D41" s="461"/>
      <c r="E41" s="462">
        <v>-4348895</v>
      </c>
      <c r="F41" s="461">
        <v>-10296362</v>
      </c>
      <c r="G41" s="461"/>
      <c r="H41" s="462">
        <f t="shared" si="0"/>
        <v>-10296362</v>
      </c>
    </row>
    <row r="42" spans="1:8">
      <c r="A42" s="55">
        <v>21</v>
      </c>
      <c r="B42" s="58" t="s">
        <v>164</v>
      </c>
      <c r="C42" s="461">
        <v>38608</v>
      </c>
      <c r="D42" s="461">
        <v>0</v>
      </c>
      <c r="E42" s="462">
        <v>38608</v>
      </c>
      <c r="F42" s="461">
        <v>534</v>
      </c>
      <c r="G42" s="461">
        <v>0</v>
      </c>
      <c r="H42" s="462">
        <f t="shared" si="0"/>
        <v>534</v>
      </c>
    </row>
    <row r="43" spans="1:8">
      <c r="A43" s="55">
        <v>22</v>
      </c>
      <c r="B43" s="58" t="s">
        <v>163</v>
      </c>
      <c r="C43" s="461">
        <v>1134775</v>
      </c>
      <c r="D43" s="461">
        <v>735174</v>
      </c>
      <c r="E43" s="462">
        <v>1869949</v>
      </c>
      <c r="F43" s="461">
        <v>1410686</v>
      </c>
      <c r="G43" s="461">
        <v>855126</v>
      </c>
      <c r="H43" s="462">
        <f t="shared" si="0"/>
        <v>2265812</v>
      </c>
    </row>
    <row r="44" spans="1:8">
      <c r="A44" s="55">
        <v>23</v>
      </c>
      <c r="B44" s="58" t="s">
        <v>162</v>
      </c>
      <c r="C44" s="461">
        <v>698663</v>
      </c>
      <c r="D44" s="461">
        <v>6077</v>
      </c>
      <c r="E44" s="462">
        <v>704740</v>
      </c>
      <c r="F44" s="461">
        <v>4391911</v>
      </c>
      <c r="G44" s="461">
        <v>2638</v>
      </c>
      <c r="H44" s="462">
        <f t="shared" si="0"/>
        <v>4394549</v>
      </c>
    </row>
    <row r="45" spans="1:8">
      <c r="A45" s="55">
        <v>24</v>
      </c>
      <c r="B45" s="61" t="s">
        <v>279</v>
      </c>
      <c r="C45" s="464">
        <v>2040712</v>
      </c>
      <c r="D45" s="464">
        <v>-2756901</v>
      </c>
      <c r="E45" s="462">
        <v>-716189</v>
      </c>
      <c r="F45" s="464">
        <v>781959</v>
      </c>
      <c r="G45" s="464">
        <v>-2742847</v>
      </c>
      <c r="H45" s="462">
        <f t="shared" si="0"/>
        <v>-1960888</v>
      </c>
    </row>
    <row r="46" spans="1:8">
      <c r="A46" s="55"/>
      <c r="B46" s="242" t="s">
        <v>161</v>
      </c>
      <c r="C46" s="465"/>
      <c r="D46" s="465"/>
      <c r="E46" s="466"/>
      <c r="F46" s="465"/>
      <c r="G46" s="465"/>
      <c r="H46" s="467"/>
    </row>
    <row r="47" spans="1:8">
      <c r="A47" s="55">
        <v>25</v>
      </c>
      <c r="B47" s="58" t="s">
        <v>160</v>
      </c>
      <c r="C47" s="461">
        <v>670332</v>
      </c>
      <c r="D47" s="461">
        <v>159091</v>
      </c>
      <c r="E47" s="462">
        <v>829423</v>
      </c>
      <c r="F47" s="461">
        <v>1577710</v>
      </c>
      <c r="G47" s="461">
        <v>122948</v>
      </c>
      <c r="H47" s="463">
        <f t="shared" si="0"/>
        <v>1700658</v>
      </c>
    </row>
    <row r="48" spans="1:8">
      <c r="A48" s="55">
        <v>26</v>
      </c>
      <c r="B48" s="58" t="s">
        <v>159</v>
      </c>
      <c r="C48" s="461">
        <v>376009</v>
      </c>
      <c r="D48" s="461">
        <v>85746</v>
      </c>
      <c r="E48" s="462">
        <v>461755</v>
      </c>
      <c r="F48" s="461">
        <v>387387</v>
      </c>
      <c r="G48" s="461">
        <v>100934</v>
      </c>
      <c r="H48" s="463">
        <f t="shared" si="0"/>
        <v>488321</v>
      </c>
    </row>
    <row r="49" spans="1:8">
      <c r="A49" s="55">
        <v>27</v>
      </c>
      <c r="B49" s="58" t="s">
        <v>158</v>
      </c>
      <c r="C49" s="461">
        <v>9288320</v>
      </c>
      <c r="D49" s="461"/>
      <c r="E49" s="462">
        <v>9288320</v>
      </c>
      <c r="F49" s="461">
        <v>7300538</v>
      </c>
      <c r="G49" s="461"/>
      <c r="H49" s="463">
        <f t="shared" si="0"/>
        <v>7300538</v>
      </c>
    </row>
    <row r="50" spans="1:8">
      <c r="A50" s="55">
        <v>28</v>
      </c>
      <c r="B50" s="58" t="s">
        <v>157</v>
      </c>
      <c r="C50" s="461">
        <v>63463</v>
      </c>
      <c r="D50" s="461"/>
      <c r="E50" s="462">
        <v>63463</v>
      </c>
      <c r="F50" s="461">
        <v>51681</v>
      </c>
      <c r="G50" s="461"/>
      <c r="H50" s="463">
        <f t="shared" si="0"/>
        <v>51681</v>
      </c>
    </row>
    <row r="51" spans="1:8">
      <c r="A51" s="55">
        <v>29</v>
      </c>
      <c r="B51" s="58" t="s">
        <v>156</v>
      </c>
      <c r="C51" s="461">
        <v>3053757</v>
      </c>
      <c r="D51" s="461"/>
      <c r="E51" s="462">
        <v>3053757</v>
      </c>
      <c r="F51" s="461">
        <v>2019939</v>
      </c>
      <c r="G51" s="461"/>
      <c r="H51" s="463">
        <f t="shared" si="0"/>
        <v>2019939</v>
      </c>
    </row>
    <row r="52" spans="1:8">
      <c r="A52" s="55">
        <v>30</v>
      </c>
      <c r="B52" s="58" t="s">
        <v>155</v>
      </c>
      <c r="C52" s="461">
        <v>3161955</v>
      </c>
      <c r="D52" s="461">
        <v>445322</v>
      </c>
      <c r="E52" s="462">
        <v>3607277</v>
      </c>
      <c r="F52" s="461">
        <v>3311599</v>
      </c>
      <c r="G52" s="461">
        <v>356749</v>
      </c>
      <c r="H52" s="463">
        <f t="shared" si="0"/>
        <v>3668348</v>
      </c>
    </row>
    <row r="53" spans="1:8">
      <c r="A53" s="55">
        <v>31</v>
      </c>
      <c r="B53" s="61" t="s">
        <v>280</v>
      </c>
      <c r="C53" s="464">
        <v>16613836</v>
      </c>
      <c r="D53" s="464">
        <v>690159</v>
      </c>
      <c r="E53" s="462">
        <v>17303995</v>
      </c>
      <c r="F53" s="464">
        <v>14648854</v>
      </c>
      <c r="G53" s="464">
        <v>580631</v>
      </c>
      <c r="H53" s="462">
        <f t="shared" si="0"/>
        <v>15229485</v>
      </c>
    </row>
    <row r="54" spans="1:8">
      <c r="A54" s="55">
        <v>32</v>
      </c>
      <c r="B54" s="61" t="s">
        <v>281</v>
      </c>
      <c r="C54" s="464">
        <v>-14573124</v>
      </c>
      <c r="D54" s="464">
        <v>-3447060</v>
      </c>
      <c r="E54" s="462">
        <v>-18020184</v>
      </c>
      <c r="F54" s="464">
        <v>-13866895</v>
      </c>
      <c r="G54" s="464">
        <v>-3323478</v>
      </c>
      <c r="H54" s="462">
        <f t="shared" si="0"/>
        <v>-17190373</v>
      </c>
    </row>
    <row r="55" spans="1:8">
      <c r="A55" s="55"/>
      <c r="B55" s="62"/>
      <c r="C55" s="469"/>
      <c r="D55" s="469"/>
      <c r="E55" s="466"/>
      <c r="F55" s="469"/>
      <c r="G55" s="469"/>
      <c r="H55" s="467"/>
    </row>
    <row r="56" spans="1:8">
      <c r="A56" s="55">
        <v>33</v>
      </c>
      <c r="B56" s="61" t="s">
        <v>154</v>
      </c>
      <c r="C56" s="464">
        <v>5705701</v>
      </c>
      <c r="D56" s="464">
        <v>19250223</v>
      </c>
      <c r="E56" s="462">
        <v>24955924</v>
      </c>
      <c r="F56" s="464">
        <v>3910922</v>
      </c>
      <c r="G56" s="464">
        <v>15077966</v>
      </c>
      <c r="H56" s="463">
        <f t="shared" si="0"/>
        <v>18988888</v>
      </c>
    </row>
    <row r="57" spans="1:8">
      <c r="A57" s="55"/>
      <c r="B57" s="62"/>
      <c r="C57" s="469"/>
      <c r="D57" s="469"/>
      <c r="E57" s="466"/>
      <c r="F57" s="469"/>
      <c r="G57" s="469"/>
      <c r="H57" s="467"/>
    </row>
    <row r="58" spans="1:8">
      <c r="A58" s="55">
        <v>34</v>
      </c>
      <c r="B58" s="58" t="s">
        <v>153</v>
      </c>
      <c r="C58" s="461">
        <v>374382</v>
      </c>
      <c r="D58" s="461"/>
      <c r="E58" s="462">
        <v>374382</v>
      </c>
      <c r="F58" s="461">
        <v>212726</v>
      </c>
      <c r="G58" s="461"/>
      <c r="H58" s="463">
        <f>F58</f>
        <v>212726</v>
      </c>
    </row>
    <row r="59" spans="1:8" s="243" customFormat="1" ht="25.5">
      <c r="A59" s="55">
        <v>35</v>
      </c>
      <c r="B59" s="58" t="s">
        <v>152</v>
      </c>
      <c r="C59" s="461">
        <v>-635261</v>
      </c>
      <c r="D59" s="461"/>
      <c r="E59" s="462">
        <v>-635261</v>
      </c>
      <c r="F59" s="461">
        <v>0</v>
      </c>
      <c r="G59" s="461"/>
      <c r="H59" s="463">
        <f>F59</f>
        <v>0</v>
      </c>
    </row>
    <row r="60" spans="1:8">
      <c r="A60" s="55">
        <v>36</v>
      </c>
      <c r="B60" s="58" t="s">
        <v>151</v>
      </c>
      <c r="C60" s="461">
        <v>2852039</v>
      </c>
      <c r="D60" s="461"/>
      <c r="E60" s="462">
        <v>2852039</v>
      </c>
      <c r="F60" s="461">
        <v>5549338</v>
      </c>
      <c r="G60" s="461"/>
      <c r="H60" s="463">
        <f>F60</f>
        <v>5549338</v>
      </c>
    </row>
    <row r="61" spans="1:8">
      <c r="A61" s="55">
        <v>37</v>
      </c>
      <c r="B61" s="61" t="s">
        <v>150</v>
      </c>
      <c r="C61" s="464">
        <v>2591160</v>
      </c>
      <c r="D61" s="464">
        <v>0</v>
      </c>
      <c r="E61" s="462">
        <v>2591160</v>
      </c>
      <c r="F61" s="464">
        <v>5762064</v>
      </c>
      <c r="G61" s="464">
        <v>0</v>
      </c>
      <c r="H61" s="463">
        <f t="shared" si="0"/>
        <v>5762064</v>
      </c>
    </row>
    <row r="62" spans="1:8">
      <c r="A62" s="55"/>
      <c r="B62" s="64"/>
      <c r="C62" s="465"/>
      <c r="D62" s="465"/>
      <c r="E62" s="466"/>
      <c r="F62" s="465"/>
      <c r="G62" s="465"/>
      <c r="H62" s="467"/>
    </row>
    <row r="63" spans="1:8">
      <c r="A63" s="55">
        <v>38</v>
      </c>
      <c r="B63" s="65" t="s">
        <v>149</v>
      </c>
      <c r="C63" s="464">
        <v>3114541</v>
      </c>
      <c r="D63" s="464">
        <v>19250223</v>
      </c>
      <c r="E63" s="462">
        <v>22364764</v>
      </c>
      <c r="F63" s="464">
        <v>-1851142</v>
      </c>
      <c r="G63" s="464">
        <v>15077966</v>
      </c>
      <c r="H63" s="463">
        <f t="shared" si="0"/>
        <v>13226824</v>
      </c>
    </row>
    <row r="64" spans="1:8">
      <c r="A64" s="51">
        <v>39</v>
      </c>
      <c r="B64" s="58" t="s">
        <v>148</v>
      </c>
      <c r="C64" s="470">
        <v>3469702</v>
      </c>
      <c r="D64" s="470"/>
      <c r="E64" s="462">
        <v>3469702</v>
      </c>
      <c r="F64" s="470">
        <v>2654995</v>
      </c>
      <c r="G64" s="470"/>
      <c r="H64" s="463">
        <f t="shared" si="0"/>
        <v>2654995</v>
      </c>
    </row>
    <row r="65" spans="1:8">
      <c r="A65" s="55">
        <v>40</v>
      </c>
      <c r="B65" s="61" t="s">
        <v>147</v>
      </c>
      <c r="C65" s="464">
        <v>-355161</v>
      </c>
      <c r="D65" s="464">
        <v>19250223</v>
      </c>
      <c r="E65" s="462">
        <v>18895062</v>
      </c>
      <c r="F65" s="464">
        <v>-4506137</v>
      </c>
      <c r="G65" s="464">
        <v>15077966</v>
      </c>
      <c r="H65" s="463">
        <f t="shared" si="0"/>
        <v>10571829</v>
      </c>
    </row>
    <row r="66" spans="1:8">
      <c r="A66" s="51">
        <v>41</v>
      </c>
      <c r="B66" s="58" t="s">
        <v>146</v>
      </c>
      <c r="C66" s="470">
        <v>-246</v>
      </c>
      <c r="D66" s="470"/>
      <c r="E66" s="462">
        <v>-246</v>
      </c>
      <c r="F66" s="470">
        <v>0</v>
      </c>
      <c r="G66" s="470"/>
      <c r="H66" s="463">
        <f t="shared" si="0"/>
        <v>0</v>
      </c>
    </row>
    <row r="67" spans="1:8" ht="13.5" thickBot="1">
      <c r="A67" s="66">
        <v>42</v>
      </c>
      <c r="B67" s="67" t="s">
        <v>145</v>
      </c>
      <c r="C67" s="471">
        <f>C65+C66</f>
        <v>-355407</v>
      </c>
      <c r="D67" s="471">
        <f>D65+D66</f>
        <v>19250223</v>
      </c>
      <c r="E67" s="472">
        <f t="shared" ref="E67" si="1">C67+D67</f>
        <v>18894816</v>
      </c>
      <c r="F67" s="471">
        <f>F65+F66</f>
        <v>-4506137</v>
      </c>
      <c r="G67" s="471">
        <f>G65+G66</f>
        <v>15077966</v>
      </c>
      <c r="H67" s="473">
        <f t="shared" si="0"/>
        <v>10571829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zoomScaleNormal="100" workbookViewId="0"/>
  </sheetViews>
  <sheetFormatPr defaultColWidth="9.140625" defaultRowHeight="14.25"/>
  <cols>
    <col min="1" max="1" width="9.5703125" style="5" bestFit="1" customWidth="1"/>
    <col min="2" max="2" width="70.42578125" style="5" customWidth="1"/>
    <col min="3" max="8" width="13.1406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0">
        <f>'1. key ratios '!B2</f>
        <v>43738</v>
      </c>
    </row>
    <row r="3" spans="1:8">
      <c r="A3" s="4"/>
    </row>
    <row r="4" spans="1:8" ht="15" thickBot="1">
      <c r="A4" s="4" t="s">
        <v>74</v>
      </c>
      <c r="B4" s="4"/>
      <c r="C4" s="220"/>
      <c r="D4" s="220"/>
      <c r="E4" s="220"/>
      <c r="F4" s="221"/>
      <c r="G4" s="221"/>
      <c r="H4" s="222" t="s">
        <v>73</v>
      </c>
    </row>
    <row r="5" spans="1:8">
      <c r="A5" s="533" t="s">
        <v>6</v>
      </c>
      <c r="B5" s="535" t="s">
        <v>346</v>
      </c>
      <c r="C5" s="529" t="s">
        <v>68</v>
      </c>
      <c r="D5" s="530"/>
      <c r="E5" s="531"/>
      <c r="F5" s="529" t="s">
        <v>72</v>
      </c>
      <c r="G5" s="530"/>
      <c r="H5" s="532"/>
    </row>
    <row r="6" spans="1:8">
      <c r="A6" s="534"/>
      <c r="B6" s="536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3">
        <v>1</v>
      </c>
      <c r="B7" s="224" t="s">
        <v>380</v>
      </c>
      <c r="C7" s="32"/>
      <c r="D7" s="32"/>
      <c r="E7" s="225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3">
        <v>1.1000000000000001</v>
      </c>
      <c r="B8" s="275" t="s">
        <v>311</v>
      </c>
      <c r="C8" s="32">
        <v>21068886</v>
      </c>
      <c r="D8" s="32">
        <v>28512238</v>
      </c>
      <c r="E8" s="225">
        <f>C8+D8</f>
        <v>49581124</v>
      </c>
      <c r="F8" s="32">
        <v>25122885</v>
      </c>
      <c r="G8" s="32">
        <v>27100243</v>
      </c>
      <c r="H8" s="33">
        <f t="shared" si="0"/>
        <v>52223128</v>
      </c>
    </row>
    <row r="9" spans="1:8" s="15" customFormat="1">
      <c r="A9" s="223">
        <v>1.2</v>
      </c>
      <c r="B9" s="275" t="s">
        <v>312</v>
      </c>
      <c r="C9" s="32"/>
      <c r="D9" s="32">
        <v>733791</v>
      </c>
      <c r="E9" s="225">
        <f t="shared" ref="E9:E53" si="1">C9+D9</f>
        <v>733791</v>
      </c>
      <c r="F9" s="32"/>
      <c r="G9" s="32">
        <v>9692492</v>
      </c>
      <c r="H9" s="33">
        <f t="shared" si="0"/>
        <v>9692492</v>
      </c>
    </row>
    <row r="10" spans="1:8" s="15" customFormat="1">
      <c r="A10" s="223">
        <v>1.3</v>
      </c>
      <c r="B10" s="275" t="s">
        <v>313</v>
      </c>
      <c r="C10" s="32">
        <v>12456564</v>
      </c>
      <c r="D10" s="32">
        <v>18238177</v>
      </c>
      <c r="E10" s="225">
        <f t="shared" si="1"/>
        <v>30694741</v>
      </c>
      <c r="F10" s="32">
        <v>14262659</v>
      </c>
      <c r="G10" s="32">
        <v>29909281</v>
      </c>
      <c r="H10" s="33">
        <f t="shared" si="0"/>
        <v>44171940</v>
      </c>
    </row>
    <row r="11" spans="1:8" s="15" customFormat="1">
      <c r="A11" s="223">
        <v>1.4</v>
      </c>
      <c r="B11" s="275" t="s">
        <v>294</v>
      </c>
      <c r="C11" s="32">
        <v>12464</v>
      </c>
      <c r="D11" s="32">
        <v>0</v>
      </c>
      <c r="E11" s="225">
        <f t="shared" si="1"/>
        <v>12464</v>
      </c>
      <c r="F11" s="32">
        <v>13083</v>
      </c>
      <c r="G11" s="32">
        <v>0</v>
      </c>
      <c r="H11" s="33">
        <f t="shared" si="0"/>
        <v>13083</v>
      </c>
    </row>
    <row r="12" spans="1:8" s="15" customFormat="1" ht="29.25" customHeight="1">
      <c r="A12" s="223">
        <v>2</v>
      </c>
      <c r="B12" s="227" t="s">
        <v>315</v>
      </c>
      <c r="C12" s="32"/>
      <c r="D12" s="32"/>
      <c r="E12" s="225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3">
        <v>3</v>
      </c>
      <c r="B13" s="227" t="s">
        <v>314</v>
      </c>
      <c r="C13" s="32"/>
      <c r="D13" s="32"/>
      <c r="E13" s="225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3">
        <v>3.1</v>
      </c>
      <c r="B14" s="276" t="s">
        <v>295</v>
      </c>
      <c r="C14" s="32"/>
      <c r="D14" s="32"/>
      <c r="E14" s="225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3">
        <v>3.2</v>
      </c>
      <c r="B15" s="276" t="s">
        <v>296</v>
      </c>
      <c r="C15" s="32"/>
      <c r="D15" s="32"/>
      <c r="E15" s="225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3">
        <v>4</v>
      </c>
      <c r="B16" s="279" t="s">
        <v>325</v>
      </c>
      <c r="C16" s="32"/>
      <c r="D16" s="32"/>
      <c r="E16" s="225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3">
        <v>4.0999999999999996</v>
      </c>
      <c r="B17" s="276" t="s">
        <v>316</v>
      </c>
      <c r="C17" s="32">
        <v>8555044.8208025433</v>
      </c>
      <c r="D17" s="32">
        <v>7366303.8588102292</v>
      </c>
      <c r="E17" s="225">
        <f t="shared" si="1"/>
        <v>15921348.679612773</v>
      </c>
      <c r="F17" s="32">
        <v>3956022.348535303</v>
      </c>
      <c r="G17" s="32">
        <v>11369451.258866187</v>
      </c>
      <c r="H17" s="33">
        <f t="shared" si="0"/>
        <v>15325473.60740149</v>
      </c>
    </row>
    <row r="18" spans="1:8" s="15" customFormat="1">
      <c r="A18" s="223">
        <v>4.2</v>
      </c>
      <c r="B18" s="276" t="s">
        <v>310</v>
      </c>
      <c r="C18" s="32">
        <v>145316332.81075639</v>
      </c>
      <c r="D18" s="32">
        <v>295942593.15748608</v>
      </c>
      <c r="E18" s="225">
        <f t="shared" si="1"/>
        <v>441258925.96824247</v>
      </c>
      <c r="F18" s="32">
        <v>175519230.21040082</v>
      </c>
      <c r="G18" s="32">
        <v>289053778.59767038</v>
      </c>
      <c r="H18" s="33">
        <f t="shared" si="0"/>
        <v>464573008.8080712</v>
      </c>
    </row>
    <row r="19" spans="1:8" s="15" customFormat="1">
      <c r="A19" s="223">
        <v>5</v>
      </c>
      <c r="B19" s="227" t="s">
        <v>324</v>
      </c>
      <c r="C19" s="32"/>
      <c r="D19" s="32"/>
      <c r="E19" s="225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3">
        <v>5.0999999999999996</v>
      </c>
      <c r="B20" s="277" t="s">
        <v>299</v>
      </c>
      <c r="C20" s="32">
        <v>271777.77999999997</v>
      </c>
      <c r="D20" s="32">
        <v>11312105.896862</v>
      </c>
      <c r="E20" s="225">
        <f t="shared" si="1"/>
        <v>11583883.676862</v>
      </c>
      <c r="F20" s="32">
        <v>232448.48999999996</v>
      </c>
      <c r="G20" s="32">
        <v>14342615.682993</v>
      </c>
      <c r="H20" s="33">
        <f t="shared" si="0"/>
        <v>14575064.172993001</v>
      </c>
    </row>
    <row r="21" spans="1:8" s="15" customFormat="1">
      <c r="A21" s="223">
        <v>5.2</v>
      </c>
      <c r="B21" s="277" t="s">
        <v>298</v>
      </c>
      <c r="C21" s="32">
        <v>0</v>
      </c>
      <c r="D21" s="32">
        <v>0</v>
      </c>
      <c r="E21" s="225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3">
        <v>5.3</v>
      </c>
      <c r="B22" s="277" t="s">
        <v>297</v>
      </c>
      <c r="C22" s="32">
        <v>26233310.400000002</v>
      </c>
      <c r="D22" s="32">
        <v>1859365654.0265951</v>
      </c>
      <c r="E22" s="225">
        <f t="shared" si="1"/>
        <v>1885598964.4265952</v>
      </c>
      <c r="F22" s="32">
        <v>14623658.550000001</v>
      </c>
      <c r="G22" s="32">
        <v>1888574080.9400737</v>
      </c>
      <c r="H22" s="33">
        <f t="shared" si="0"/>
        <v>1903197739.4900737</v>
      </c>
    </row>
    <row r="23" spans="1:8" s="15" customFormat="1">
      <c r="A23" s="223" t="s">
        <v>15</v>
      </c>
      <c r="B23" s="228" t="s">
        <v>75</v>
      </c>
      <c r="C23" s="32">
        <v>245281.59999999998</v>
      </c>
      <c r="D23" s="32">
        <v>195001411.11838627</v>
      </c>
      <c r="E23" s="225">
        <f t="shared" si="1"/>
        <v>195246692.71838626</v>
      </c>
      <c r="F23" s="32">
        <v>279815.7</v>
      </c>
      <c r="G23" s="32">
        <v>165118721.54999995</v>
      </c>
      <c r="H23" s="33">
        <f t="shared" si="0"/>
        <v>165398537.24999994</v>
      </c>
    </row>
    <row r="24" spans="1:8" s="15" customFormat="1">
      <c r="A24" s="223" t="s">
        <v>16</v>
      </c>
      <c r="B24" s="228" t="s">
        <v>76</v>
      </c>
      <c r="C24" s="32">
        <v>9991531.200000003</v>
      </c>
      <c r="D24" s="32">
        <v>941549766.50789762</v>
      </c>
      <c r="E24" s="225">
        <f t="shared" si="1"/>
        <v>951541297.70789766</v>
      </c>
      <c r="F24" s="32">
        <v>5770234.5</v>
      </c>
      <c r="G24" s="32">
        <v>848592119.61117363</v>
      </c>
      <c r="H24" s="33">
        <f t="shared" si="0"/>
        <v>854362354.11117363</v>
      </c>
    </row>
    <row r="25" spans="1:8" s="15" customFormat="1">
      <c r="A25" s="223" t="s">
        <v>17</v>
      </c>
      <c r="B25" s="228" t="s">
        <v>77</v>
      </c>
      <c r="C25" s="32">
        <v>0</v>
      </c>
      <c r="D25" s="32">
        <v>188464921.8448</v>
      </c>
      <c r="E25" s="225">
        <f t="shared" si="1"/>
        <v>188464921.8448</v>
      </c>
      <c r="F25" s="32">
        <v>3</v>
      </c>
      <c r="G25" s="32">
        <v>320156530.72140002</v>
      </c>
      <c r="H25" s="33">
        <f t="shared" si="0"/>
        <v>320156533.72140002</v>
      </c>
    </row>
    <row r="26" spans="1:8" s="15" customFormat="1">
      <c r="A26" s="223" t="s">
        <v>18</v>
      </c>
      <c r="B26" s="228" t="s">
        <v>78</v>
      </c>
      <c r="C26" s="32">
        <v>15996497.6</v>
      </c>
      <c r="D26" s="32">
        <v>486672130.87551117</v>
      </c>
      <c r="E26" s="225">
        <f t="shared" si="1"/>
        <v>502668628.47551119</v>
      </c>
      <c r="F26" s="32">
        <v>8573605.3499999996</v>
      </c>
      <c r="G26" s="32">
        <v>487354808.55750006</v>
      </c>
      <c r="H26" s="33">
        <f t="shared" si="0"/>
        <v>495928413.90750009</v>
      </c>
    </row>
    <row r="27" spans="1:8" s="15" customFormat="1">
      <c r="A27" s="223" t="s">
        <v>19</v>
      </c>
      <c r="B27" s="228" t="s">
        <v>79</v>
      </c>
      <c r="C27" s="32">
        <v>0</v>
      </c>
      <c r="D27" s="32">
        <v>47677423.68</v>
      </c>
      <c r="E27" s="225">
        <f t="shared" si="1"/>
        <v>47677423.68</v>
      </c>
      <c r="F27" s="32">
        <v>0</v>
      </c>
      <c r="G27" s="32">
        <v>67351900.5</v>
      </c>
      <c r="H27" s="33">
        <f t="shared" si="0"/>
        <v>67351900.5</v>
      </c>
    </row>
    <row r="28" spans="1:8" s="15" customFormat="1">
      <c r="A28" s="223">
        <v>5.4</v>
      </c>
      <c r="B28" s="277" t="s">
        <v>300</v>
      </c>
      <c r="C28" s="32">
        <v>165430346.88313597</v>
      </c>
      <c r="D28" s="32">
        <v>232604044.13439563</v>
      </c>
      <c r="E28" s="225">
        <f t="shared" si="1"/>
        <v>398034391.01753163</v>
      </c>
      <c r="F28" s="32">
        <v>228829612.62799305</v>
      </c>
      <c r="G28" s="32">
        <v>309330973.45810795</v>
      </c>
      <c r="H28" s="33">
        <f t="shared" si="0"/>
        <v>538160586.08610106</v>
      </c>
    </row>
    <row r="29" spans="1:8" s="15" customFormat="1">
      <c r="A29" s="223">
        <v>5.5</v>
      </c>
      <c r="B29" s="277" t="s">
        <v>301</v>
      </c>
      <c r="C29" s="32">
        <v>12681043</v>
      </c>
      <c r="D29" s="32">
        <v>149991181.9104</v>
      </c>
      <c r="E29" s="225">
        <f t="shared" si="1"/>
        <v>162672224.9104</v>
      </c>
      <c r="F29" s="32">
        <v>17358201</v>
      </c>
      <c r="G29" s="32">
        <v>125407120.5</v>
      </c>
      <c r="H29" s="33">
        <f t="shared" si="0"/>
        <v>142765321.5</v>
      </c>
    </row>
    <row r="30" spans="1:8" s="15" customFormat="1">
      <c r="A30" s="223">
        <v>5.6</v>
      </c>
      <c r="B30" s="277" t="s">
        <v>302</v>
      </c>
      <c r="C30" s="32">
        <v>0</v>
      </c>
      <c r="D30" s="32">
        <v>4580560</v>
      </c>
      <c r="E30" s="225">
        <f t="shared" si="1"/>
        <v>4580560</v>
      </c>
      <c r="F30" s="32">
        <v>3500000</v>
      </c>
      <c r="G30" s="32">
        <v>5988045.5196000002</v>
      </c>
      <c r="H30" s="33">
        <f t="shared" si="0"/>
        <v>9488045.5196000002</v>
      </c>
    </row>
    <row r="31" spans="1:8" s="15" customFormat="1">
      <c r="A31" s="223">
        <v>5.7</v>
      </c>
      <c r="B31" s="277" t="s">
        <v>79</v>
      </c>
      <c r="C31" s="32">
        <v>6176201</v>
      </c>
      <c r="D31" s="32">
        <v>91728692.841600001</v>
      </c>
      <c r="E31" s="225">
        <f t="shared" si="1"/>
        <v>97904893.841600001</v>
      </c>
      <c r="F31" s="32">
        <v>10965561</v>
      </c>
      <c r="G31" s="32">
        <v>137530797.32280001</v>
      </c>
      <c r="H31" s="33">
        <f t="shared" si="0"/>
        <v>148496358.32280001</v>
      </c>
    </row>
    <row r="32" spans="1:8" s="15" customFormat="1">
      <c r="A32" s="223">
        <v>6</v>
      </c>
      <c r="B32" s="227" t="s">
        <v>330</v>
      </c>
      <c r="C32" s="32"/>
      <c r="D32" s="32"/>
      <c r="E32" s="225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3">
        <v>6.1</v>
      </c>
      <c r="B33" s="278" t="s">
        <v>320</v>
      </c>
      <c r="C33" s="32"/>
      <c r="D33" s="32"/>
      <c r="E33" s="225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3">
        <v>6.2</v>
      </c>
      <c r="B34" s="278" t="s">
        <v>321</v>
      </c>
      <c r="C34" s="32"/>
      <c r="D34" s="32"/>
      <c r="E34" s="225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3">
        <v>6.3</v>
      </c>
      <c r="B35" s="278" t="s">
        <v>317</v>
      </c>
      <c r="C35" s="32"/>
      <c r="D35" s="32"/>
      <c r="E35" s="225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3">
        <v>6.4</v>
      </c>
      <c r="B36" s="278" t="s">
        <v>318</v>
      </c>
      <c r="C36" s="32"/>
      <c r="D36" s="32"/>
      <c r="E36" s="225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3">
        <v>6.5</v>
      </c>
      <c r="B37" s="278" t="s">
        <v>319</v>
      </c>
      <c r="C37" s="32"/>
      <c r="D37" s="32"/>
      <c r="E37" s="225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3">
        <v>6.6</v>
      </c>
      <c r="B38" s="278" t="s">
        <v>322</v>
      </c>
      <c r="C38" s="32"/>
      <c r="D38" s="32"/>
      <c r="E38" s="225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3">
        <v>6.7</v>
      </c>
      <c r="B39" s="278" t="s">
        <v>323</v>
      </c>
      <c r="C39" s="32"/>
      <c r="D39" s="32"/>
      <c r="E39" s="225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3">
        <v>7</v>
      </c>
      <c r="B40" s="227" t="s">
        <v>326</v>
      </c>
      <c r="C40" s="32"/>
      <c r="D40" s="32"/>
      <c r="E40" s="225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3">
        <v>7.1</v>
      </c>
      <c r="B41" s="226" t="s">
        <v>327</v>
      </c>
      <c r="C41" s="32">
        <v>271164.48</v>
      </c>
      <c r="D41" s="32">
        <v>1370423.43</v>
      </c>
      <c r="E41" s="225">
        <f t="shared" si="1"/>
        <v>1641587.91</v>
      </c>
      <c r="F41" s="32">
        <v>5997.13</v>
      </c>
      <c r="G41" s="32">
        <v>0</v>
      </c>
      <c r="H41" s="33">
        <f t="shared" si="0"/>
        <v>5997.13</v>
      </c>
    </row>
    <row r="42" spans="1:8" s="15" customFormat="1" ht="25.5">
      <c r="A42" s="223">
        <v>7.2</v>
      </c>
      <c r="B42" s="226" t="s">
        <v>328</v>
      </c>
      <c r="C42" s="32">
        <v>3530405.779999957</v>
      </c>
      <c r="D42" s="32">
        <v>7900169.8099999754</v>
      </c>
      <c r="E42" s="225">
        <f t="shared" si="1"/>
        <v>11430575.589999933</v>
      </c>
      <c r="F42" s="32">
        <v>3315885.4800000335</v>
      </c>
      <c r="G42" s="32">
        <v>6749211.8799999999</v>
      </c>
      <c r="H42" s="33">
        <f t="shared" si="0"/>
        <v>10065097.360000033</v>
      </c>
    </row>
    <row r="43" spans="1:8" s="15" customFormat="1" ht="25.5">
      <c r="A43" s="223">
        <v>7.3</v>
      </c>
      <c r="B43" s="226" t="s">
        <v>331</v>
      </c>
      <c r="C43" s="32">
        <v>3274453.9299999992</v>
      </c>
      <c r="D43" s="32">
        <v>8134136.629999999</v>
      </c>
      <c r="E43" s="225">
        <f t="shared" si="1"/>
        <v>11408590.559999999</v>
      </c>
      <c r="F43" s="32">
        <v>10351804.920000004</v>
      </c>
      <c r="G43" s="32">
        <v>7303547.9013499999</v>
      </c>
      <c r="H43" s="33">
        <f t="shared" si="0"/>
        <v>17655352.821350005</v>
      </c>
    </row>
    <row r="44" spans="1:8" s="15" customFormat="1" ht="25.5">
      <c r="A44" s="223">
        <v>7.4</v>
      </c>
      <c r="B44" s="226" t="s">
        <v>332</v>
      </c>
      <c r="C44" s="32">
        <v>59069748.469995819</v>
      </c>
      <c r="D44" s="32">
        <v>126919890.95999922</v>
      </c>
      <c r="E44" s="225">
        <f t="shared" si="1"/>
        <v>185989639.42999503</v>
      </c>
      <c r="F44" s="32">
        <v>52457443.579996079</v>
      </c>
      <c r="G44" s="32">
        <v>117668458.1899998</v>
      </c>
      <c r="H44" s="33">
        <f t="shared" si="0"/>
        <v>170125901.76999587</v>
      </c>
    </row>
    <row r="45" spans="1:8" s="15" customFormat="1">
      <c r="A45" s="223">
        <v>8</v>
      </c>
      <c r="B45" s="227" t="s">
        <v>309</v>
      </c>
      <c r="C45" s="32">
        <v>3095533.4775680001</v>
      </c>
      <c r="D45" s="32">
        <v>0</v>
      </c>
      <c r="E45" s="225">
        <f>SUM(E46:E52)</f>
        <v>3095533.4775680001</v>
      </c>
      <c r="F45" s="32">
        <v>4310344.3105999995</v>
      </c>
      <c r="G45" s="32">
        <v>0</v>
      </c>
      <c r="H45" s="33">
        <f t="shared" si="0"/>
        <v>4310344.3105999995</v>
      </c>
    </row>
    <row r="46" spans="1:8" s="15" customFormat="1">
      <c r="A46" s="223">
        <v>8.1</v>
      </c>
      <c r="B46" s="276" t="s">
        <v>333</v>
      </c>
      <c r="C46" s="32">
        <v>59807.290368000002</v>
      </c>
      <c r="D46" s="32">
        <v>0</v>
      </c>
      <c r="E46" s="225">
        <f t="shared" si="1"/>
        <v>59807.290368000002</v>
      </c>
      <c r="F46" s="32">
        <v>39665.366399999999</v>
      </c>
      <c r="G46" s="32">
        <v>0</v>
      </c>
      <c r="H46" s="33">
        <f t="shared" si="0"/>
        <v>39665.366399999999</v>
      </c>
    </row>
    <row r="47" spans="1:8" s="15" customFormat="1">
      <c r="A47" s="223">
        <v>8.1999999999999993</v>
      </c>
      <c r="B47" s="276" t="s">
        <v>334</v>
      </c>
      <c r="C47" s="32">
        <v>1970990.3344000001</v>
      </c>
      <c r="D47" s="32">
        <v>0</v>
      </c>
      <c r="E47" s="225">
        <f t="shared" si="1"/>
        <v>1970990.3344000001</v>
      </c>
      <c r="F47" s="32">
        <v>1897728.9441999998</v>
      </c>
      <c r="G47" s="32">
        <v>0</v>
      </c>
      <c r="H47" s="33">
        <f t="shared" si="0"/>
        <v>1897728.9441999998</v>
      </c>
    </row>
    <row r="48" spans="1:8" s="15" customFormat="1">
      <c r="A48" s="223">
        <v>8.3000000000000007</v>
      </c>
      <c r="B48" s="276" t="s">
        <v>335</v>
      </c>
      <c r="C48" s="32">
        <v>1064735.8528</v>
      </c>
      <c r="D48" s="32">
        <v>0</v>
      </c>
      <c r="E48" s="225">
        <f t="shared" si="1"/>
        <v>1064735.8528</v>
      </c>
      <c r="F48" s="32">
        <v>1780200</v>
      </c>
      <c r="G48" s="32">
        <v>0</v>
      </c>
      <c r="H48" s="33">
        <f t="shared" si="0"/>
        <v>1780200</v>
      </c>
    </row>
    <row r="49" spans="1:8" s="15" customFormat="1">
      <c r="A49" s="223">
        <v>8.4</v>
      </c>
      <c r="B49" s="276" t="s">
        <v>336</v>
      </c>
      <c r="C49" s="32">
        <v>0</v>
      </c>
      <c r="D49" s="32">
        <v>0</v>
      </c>
      <c r="E49" s="225">
        <f t="shared" si="1"/>
        <v>0</v>
      </c>
      <c r="F49" s="32">
        <v>592750</v>
      </c>
      <c r="G49" s="32">
        <v>0</v>
      </c>
      <c r="H49" s="33">
        <f t="shared" si="0"/>
        <v>592750</v>
      </c>
    </row>
    <row r="50" spans="1:8" s="15" customFormat="1">
      <c r="A50" s="223">
        <v>8.5</v>
      </c>
      <c r="B50" s="276" t="s">
        <v>337</v>
      </c>
      <c r="C50" s="32">
        <v>0</v>
      </c>
      <c r="D50" s="32">
        <v>0</v>
      </c>
      <c r="E50" s="225">
        <f t="shared" si="1"/>
        <v>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3">
        <v>8.6</v>
      </c>
      <c r="B51" s="276" t="s">
        <v>338</v>
      </c>
      <c r="C51" s="32">
        <v>0</v>
      </c>
      <c r="D51" s="32">
        <v>0</v>
      </c>
      <c r="E51" s="225">
        <f t="shared" si="1"/>
        <v>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3">
        <v>8.6999999999999993</v>
      </c>
      <c r="B52" s="276" t="s">
        <v>339</v>
      </c>
      <c r="C52" s="32">
        <v>0</v>
      </c>
      <c r="D52" s="32">
        <v>0</v>
      </c>
      <c r="E52" s="225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9">
        <v>9</v>
      </c>
      <c r="B53" s="230" t="s">
        <v>329</v>
      </c>
      <c r="C53" s="231"/>
      <c r="D53" s="231"/>
      <c r="E53" s="232">
        <f t="shared" si="1"/>
        <v>0</v>
      </c>
      <c r="F53" s="231"/>
      <c r="G53" s="231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9">
        <f>'1. key ratios '!B2</f>
        <v>43738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6" t="s">
        <v>303</v>
      </c>
      <c r="D4" s="69" t="s">
        <v>73</v>
      </c>
    </row>
    <row r="5" spans="1:8" ht="15" customHeight="1">
      <c r="A5" s="261" t="s">
        <v>6</v>
      </c>
      <c r="B5" s="262"/>
      <c r="C5" s="379" t="s">
        <v>519</v>
      </c>
      <c r="D5" s="380" t="s">
        <v>517</v>
      </c>
    </row>
    <row r="6" spans="1:8" ht="15" customHeight="1">
      <c r="A6" s="70">
        <v>1</v>
      </c>
      <c r="B6" s="370" t="s">
        <v>307</v>
      </c>
      <c r="C6" s="372">
        <f>C7+C9+C10</f>
        <v>1224255205.6907213</v>
      </c>
      <c r="D6" s="373">
        <f>D7+D9+D10</f>
        <v>1198471591.6341867</v>
      </c>
    </row>
    <row r="7" spans="1:8" ht="15" customHeight="1">
      <c r="A7" s="70">
        <v>1.1000000000000001</v>
      </c>
      <c r="B7" s="370" t="s">
        <v>202</v>
      </c>
      <c r="C7" s="374">
        <v>1167575804.5043139</v>
      </c>
      <c r="D7" s="375">
        <v>1141487350.2416704</v>
      </c>
    </row>
    <row r="8" spans="1:8">
      <c r="A8" s="70" t="s">
        <v>14</v>
      </c>
      <c r="B8" s="370" t="s">
        <v>201</v>
      </c>
      <c r="C8" s="374">
        <v>27799665</v>
      </c>
      <c r="D8" s="375">
        <v>25472712.5</v>
      </c>
    </row>
    <row r="9" spans="1:8" ht="15" customHeight="1">
      <c r="A9" s="70">
        <v>1.2</v>
      </c>
      <c r="B9" s="371" t="s">
        <v>200</v>
      </c>
      <c r="C9" s="374">
        <v>56679401.186407432</v>
      </c>
      <c r="D9" s="375">
        <v>56984241.392516315</v>
      </c>
    </row>
    <row r="10" spans="1:8" ht="15" customHeight="1">
      <c r="A10" s="70">
        <v>1.3</v>
      </c>
      <c r="B10" s="370" t="s">
        <v>28</v>
      </c>
      <c r="C10" s="376">
        <v>0</v>
      </c>
      <c r="D10" s="375">
        <v>0</v>
      </c>
    </row>
    <row r="11" spans="1:8" ht="15" customHeight="1">
      <c r="A11" s="70">
        <v>2</v>
      </c>
      <c r="B11" s="370" t="s">
        <v>304</v>
      </c>
      <c r="C11" s="374">
        <v>52229870.97625041</v>
      </c>
      <c r="D11" s="375">
        <v>39801154.099861532</v>
      </c>
    </row>
    <row r="12" spans="1:8" ht="15" customHeight="1">
      <c r="A12" s="70">
        <v>3</v>
      </c>
      <c r="B12" s="370" t="s">
        <v>305</v>
      </c>
      <c r="C12" s="376">
        <v>154224196.875</v>
      </c>
      <c r="D12" s="375">
        <v>154224196.875</v>
      </c>
    </row>
    <row r="13" spans="1:8" ht="15" customHeight="1" thickBot="1">
      <c r="A13" s="72">
        <v>4</v>
      </c>
      <c r="B13" s="73" t="s">
        <v>306</v>
      </c>
      <c r="C13" s="377">
        <f>C6+C11+C12</f>
        <v>1430709273.5419717</v>
      </c>
      <c r="D13" s="378">
        <f>D6+D11+D12</f>
        <v>1392496942.6090484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:C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5">
        <f>'1. key ratios '!B2</f>
        <v>43738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537" t="s">
        <v>81</v>
      </c>
      <c r="C5" s="538"/>
    </row>
    <row r="6" spans="1:8">
      <c r="A6" s="82">
        <v>1</v>
      </c>
      <c r="B6" s="474" t="s">
        <v>492</v>
      </c>
      <c r="C6" s="475"/>
    </row>
    <row r="7" spans="1:8">
      <c r="A7" s="82">
        <v>2</v>
      </c>
      <c r="B7" s="474" t="s">
        <v>495</v>
      </c>
      <c r="C7" s="475"/>
    </row>
    <row r="8" spans="1:8">
      <c r="A8" s="82">
        <v>3</v>
      </c>
      <c r="B8" s="474" t="s">
        <v>496</v>
      </c>
      <c r="C8" s="475"/>
    </row>
    <row r="9" spans="1:8">
      <c r="A9" s="82">
        <v>4</v>
      </c>
      <c r="B9" s="474" t="s">
        <v>520</v>
      </c>
      <c r="C9" s="475"/>
    </row>
    <row r="10" spans="1:8">
      <c r="A10" s="82">
        <v>5</v>
      </c>
      <c r="B10" s="474" t="s">
        <v>521</v>
      </c>
      <c r="C10" s="475"/>
    </row>
    <row r="11" spans="1:8">
      <c r="A11" s="82">
        <v>6</v>
      </c>
      <c r="B11" s="474"/>
      <c r="C11" s="475"/>
    </row>
    <row r="12" spans="1:8">
      <c r="A12" s="82">
        <v>7</v>
      </c>
      <c r="B12" s="474"/>
      <c r="C12" s="475"/>
      <c r="H12" s="84"/>
    </row>
    <row r="13" spans="1:8">
      <c r="A13" s="82">
        <v>8</v>
      </c>
      <c r="B13" s="474"/>
      <c r="C13" s="475"/>
    </row>
    <row r="14" spans="1:8">
      <c r="A14" s="82">
        <v>9</v>
      </c>
      <c r="B14" s="474"/>
      <c r="C14" s="475"/>
    </row>
    <row r="15" spans="1:8">
      <c r="A15" s="82">
        <v>10</v>
      </c>
      <c r="B15" s="474"/>
      <c r="C15" s="475"/>
    </row>
    <row r="16" spans="1:8">
      <c r="A16" s="82"/>
      <c r="B16" s="539"/>
      <c r="C16" s="540"/>
    </row>
    <row r="17" spans="1:3">
      <c r="A17" s="82"/>
      <c r="B17" s="541" t="s">
        <v>82</v>
      </c>
      <c r="C17" s="542"/>
    </row>
    <row r="18" spans="1:3">
      <c r="A18" s="82">
        <v>1</v>
      </c>
      <c r="B18" s="474" t="s">
        <v>493</v>
      </c>
      <c r="C18" s="476"/>
    </row>
    <row r="19" spans="1:3">
      <c r="A19" s="82">
        <v>2</v>
      </c>
      <c r="B19" s="474" t="s">
        <v>497</v>
      </c>
      <c r="C19" s="476"/>
    </row>
    <row r="20" spans="1:3">
      <c r="A20" s="82">
        <v>3</v>
      </c>
      <c r="B20" s="474" t="s">
        <v>498</v>
      </c>
      <c r="C20" s="476"/>
    </row>
    <row r="21" spans="1:3">
      <c r="A21" s="82">
        <v>4</v>
      </c>
      <c r="B21" s="474" t="s">
        <v>499</v>
      </c>
      <c r="C21" s="476"/>
    </row>
    <row r="22" spans="1:3">
      <c r="A22" s="82">
        <v>5</v>
      </c>
      <c r="B22" s="474" t="s">
        <v>500</v>
      </c>
      <c r="C22" s="476"/>
    </row>
    <row r="23" spans="1:3">
      <c r="A23" s="82">
        <v>6</v>
      </c>
      <c r="B23" s="83"/>
      <c r="C23" s="85"/>
    </row>
    <row r="24" spans="1:3">
      <c r="A24" s="82">
        <v>7</v>
      </c>
      <c r="B24" s="83"/>
      <c r="C24" s="85"/>
    </row>
    <row r="25" spans="1:3">
      <c r="A25" s="82">
        <v>8</v>
      </c>
      <c r="B25" s="83"/>
      <c r="C25" s="85"/>
    </row>
    <row r="26" spans="1:3">
      <c r="A26" s="82">
        <v>9</v>
      </c>
      <c r="B26" s="83"/>
      <c r="C26" s="85"/>
    </row>
    <row r="27" spans="1:3" ht="15.75" customHeight="1">
      <c r="A27" s="82">
        <v>10</v>
      </c>
      <c r="B27" s="83"/>
      <c r="C27" s="86"/>
    </row>
    <row r="28" spans="1:3" ht="15.75" customHeight="1">
      <c r="A28" s="82"/>
      <c r="B28" s="83"/>
      <c r="C28" s="86"/>
    </row>
    <row r="29" spans="1:3" ht="30" customHeight="1">
      <c r="A29" s="82"/>
      <c r="B29" s="543" t="s">
        <v>83</v>
      </c>
      <c r="C29" s="544"/>
    </row>
    <row r="30" spans="1:3">
      <c r="A30" s="82">
        <v>1</v>
      </c>
      <c r="B30" s="474" t="s">
        <v>515</v>
      </c>
      <c r="C30" s="520">
        <v>1</v>
      </c>
    </row>
    <row r="31" spans="1:3" ht="15.75" customHeight="1">
      <c r="A31" s="82"/>
      <c r="B31" s="474"/>
      <c r="C31" s="475"/>
    </row>
    <row r="32" spans="1:3" ht="29.25" customHeight="1">
      <c r="A32" s="82"/>
      <c r="B32" s="541" t="s">
        <v>84</v>
      </c>
      <c r="C32" s="542"/>
    </row>
    <row r="33" spans="1:3">
      <c r="A33" s="82">
        <v>1</v>
      </c>
      <c r="B33" s="474" t="s">
        <v>516</v>
      </c>
      <c r="C33" s="520">
        <v>1</v>
      </c>
    </row>
    <row r="34" spans="1:3" ht="15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:B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0" t="s">
        <v>30</v>
      </c>
      <c r="B1" s="311" t="str">
        <f>'Info '!C2</f>
        <v>JSC CARTU BANK</v>
      </c>
      <c r="C1" s="102"/>
      <c r="D1" s="102"/>
      <c r="E1" s="102"/>
      <c r="F1" s="15"/>
    </row>
    <row r="2" spans="1:7" s="90" customFormat="1" ht="15.75" customHeight="1">
      <c r="A2" s="310" t="s">
        <v>31</v>
      </c>
      <c r="B2" s="458">
        <f>'1. key ratios '!B2</f>
        <v>43738</v>
      </c>
    </row>
    <row r="3" spans="1:7" s="90" customFormat="1" ht="15.75" customHeight="1">
      <c r="A3" s="310"/>
    </row>
    <row r="4" spans="1:7" s="90" customFormat="1" ht="15.75" customHeight="1" thickBot="1">
      <c r="A4" s="312" t="s">
        <v>207</v>
      </c>
      <c r="B4" s="549" t="s">
        <v>353</v>
      </c>
      <c r="C4" s="550"/>
      <c r="D4" s="550"/>
      <c r="E4" s="550"/>
    </row>
    <row r="5" spans="1:7" s="94" customFormat="1" ht="17.45" customHeight="1">
      <c r="A5" s="244"/>
      <c r="B5" s="245"/>
      <c r="C5" s="92" t="s">
        <v>0</v>
      </c>
      <c r="D5" s="92" t="s">
        <v>1</v>
      </c>
      <c r="E5" s="93" t="s">
        <v>2</v>
      </c>
    </row>
    <row r="6" spans="1:7" s="15" customFormat="1" ht="14.45" customHeight="1">
      <c r="A6" s="313"/>
      <c r="B6" s="545" t="s">
        <v>360</v>
      </c>
      <c r="C6" s="545" t="s">
        <v>93</v>
      </c>
      <c r="D6" s="547" t="s">
        <v>206</v>
      </c>
      <c r="E6" s="548"/>
      <c r="G6" s="5"/>
    </row>
    <row r="7" spans="1:7" s="15" customFormat="1" ht="99.6" customHeight="1">
      <c r="A7" s="313"/>
      <c r="B7" s="546"/>
      <c r="C7" s="545"/>
      <c r="D7" s="349" t="s">
        <v>205</v>
      </c>
      <c r="E7" s="350" t="s">
        <v>361</v>
      </c>
      <c r="G7" s="5"/>
    </row>
    <row r="8" spans="1:7">
      <c r="A8" s="314">
        <v>1</v>
      </c>
      <c r="B8" s="351" t="s">
        <v>35</v>
      </c>
      <c r="C8" s="521">
        <v>21352185</v>
      </c>
      <c r="D8" s="521"/>
      <c r="E8" s="522">
        <v>21352185</v>
      </c>
      <c r="F8" s="15"/>
    </row>
    <row r="9" spans="1:7">
      <c r="A9" s="314">
        <v>2</v>
      </c>
      <c r="B9" s="351" t="s">
        <v>36</v>
      </c>
      <c r="C9" s="521">
        <v>190010289</v>
      </c>
      <c r="D9" s="521"/>
      <c r="E9" s="522">
        <v>190010289</v>
      </c>
      <c r="F9" s="15"/>
    </row>
    <row r="10" spans="1:7">
      <c r="A10" s="314">
        <v>3</v>
      </c>
      <c r="B10" s="351" t="s">
        <v>37</v>
      </c>
      <c r="C10" s="521">
        <v>180406000</v>
      </c>
      <c r="D10" s="521"/>
      <c r="E10" s="522">
        <v>180406000</v>
      </c>
      <c r="F10" s="15"/>
    </row>
    <row r="11" spans="1:7">
      <c r="A11" s="314">
        <v>4</v>
      </c>
      <c r="B11" s="351" t="s">
        <v>38</v>
      </c>
      <c r="C11" s="521">
        <v>0</v>
      </c>
      <c r="D11" s="521"/>
      <c r="E11" s="522">
        <v>0</v>
      </c>
      <c r="F11" s="15"/>
    </row>
    <row r="12" spans="1:7">
      <c r="A12" s="314">
        <v>5</v>
      </c>
      <c r="B12" s="351" t="s">
        <v>39</v>
      </c>
      <c r="C12" s="521">
        <v>35484283</v>
      </c>
      <c r="D12" s="521"/>
      <c r="E12" s="522">
        <v>35484283</v>
      </c>
      <c r="F12" s="15"/>
    </row>
    <row r="13" spans="1:7">
      <c r="A13" s="314">
        <v>6.1</v>
      </c>
      <c r="B13" s="352" t="s">
        <v>40</v>
      </c>
      <c r="C13" s="523">
        <v>862641755</v>
      </c>
      <c r="D13" s="521"/>
      <c r="E13" s="522">
        <v>862641755</v>
      </c>
      <c r="F13" s="15"/>
    </row>
    <row r="14" spans="1:7">
      <c r="A14" s="314">
        <v>6.2</v>
      </c>
      <c r="B14" s="353" t="s">
        <v>41</v>
      </c>
      <c r="C14" s="523">
        <v>-135880472</v>
      </c>
      <c r="D14" s="521"/>
      <c r="E14" s="522">
        <v>-135880472</v>
      </c>
      <c r="F14" s="15"/>
    </row>
    <row r="15" spans="1:7">
      <c r="A15" s="314">
        <v>6</v>
      </c>
      <c r="B15" s="351" t="s">
        <v>42</v>
      </c>
      <c r="C15" s="521">
        <v>726761283</v>
      </c>
      <c r="D15" s="521"/>
      <c r="E15" s="522">
        <v>726761283</v>
      </c>
      <c r="F15" s="15"/>
    </row>
    <row r="16" spans="1:7">
      <c r="A16" s="314">
        <v>7</v>
      </c>
      <c r="B16" s="351" t="s">
        <v>43</v>
      </c>
      <c r="C16" s="521">
        <v>7555551</v>
      </c>
      <c r="D16" s="521"/>
      <c r="E16" s="522">
        <v>7555551</v>
      </c>
      <c r="F16" s="15"/>
    </row>
    <row r="17" spans="1:7">
      <c r="A17" s="314">
        <v>8</v>
      </c>
      <c r="B17" s="351" t="s">
        <v>204</v>
      </c>
      <c r="C17" s="521">
        <v>24352452</v>
      </c>
      <c r="D17" s="521"/>
      <c r="E17" s="522">
        <v>24352452</v>
      </c>
      <c r="F17" s="315"/>
      <c r="G17" s="96"/>
    </row>
    <row r="18" spans="1:7">
      <c r="A18" s="314">
        <v>9</v>
      </c>
      <c r="B18" s="351" t="s">
        <v>44</v>
      </c>
      <c r="C18" s="521">
        <v>5814321</v>
      </c>
      <c r="D18" s="521"/>
      <c r="E18" s="522">
        <v>5814321</v>
      </c>
      <c r="F18" s="15"/>
      <c r="G18" s="96"/>
    </row>
    <row r="19" spans="1:7">
      <c r="A19" s="314">
        <v>10</v>
      </c>
      <c r="B19" s="351" t="s">
        <v>45</v>
      </c>
      <c r="C19" s="521">
        <v>17998741</v>
      </c>
      <c r="D19" s="521">
        <v>4611880</v>
      </c>
      <c r="E19" s="522">
        <v>13386861</v>
      </c>
      <c r="F19" s="15"/>
      <c r="G19" s="96"/>
    </row>
    <row r="20" spans="1:7">
      <c r="A20" s="314">
        <v>11</v>
      </c>
      <c r="B20" s="351" t="s">
        <v>46</v>
      </c>
      <c r="C20" s="521">
        <v>23135847</v>
      </c>
      <c r="D20" s="521"/>
      <c r="E20" s="522">
        <v>23135847</v>
      </c>
      <c r="F20" s="15"/>
    </row>
    <row r="21" spans="1:7" ht="26.25" thickBot="1">
      <c r="A21" s="187"/>
      <c r="B21" s="316" t="s">
        <v>363</v>
      </c>
      <c r="C21" s="246">
        <f>SUM(C8:C12, C15:C20)</f>
        <v>1232870952</v>
      </c>
      <c r="D21" s="246">
        <f>SUM(D8:D12, D15:D20)</f>
        <v>4611880</v>
      </c>
      <c r="E21" s="354">
        <f>SUM(E8:E12, E15:E20)</f>
        <v>1228259072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90" customFormat="1" ht="15.75" customHeight="1">
      <c r="A2" s="2" t="s">
        <v>31</v>
      </c>
      <c r="B2" s="455">
        <f>'1. key ratios '!B2</f>
        <v>43738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85</v>
      </c>
      <c r="B4" s="317" t="s">
        <v>340</v>
      </c>
      <c r="C4" s="91" t="s">
        <v>73</v>
      </c>
      <c r="D4" s="4"/>
      <c r="E4" s="4"/>
      <c r="F4" s="4"/>
    </row>
    <row r="5" spans="1:6">
      <c r="A5" s="251">
        <v>1</v>
      </c>
      <c r="B5" s="318" t="s">
        <v>362</v>
      </c>
      <c r="C5" s="477">
        <f>'7. LI1 '!E21</f>
        <v>1228259072</v>
      </c>
    </row>
    <row r="6" spans="1:6" s="252" customFormat="1">
      <c r="A6" s="98">
        <v>2.1</v>
      </c>
      <c r="B6" s="248" t="s">
        <v>341</v>
      </c>
      <c r="C6" s="175">
        <v>78472384.536048099</v>
      </c>
    </row>
    <row r="7" spans="1:6" s="76" customFormat="1" outlineLevel="1">
      <c r="A7" s="70">
        <v>2.2000000000000002</v>
      </c>
      <c r="B7" s="71" t="s">
        <v>342</v>
      </c>
      <c r="C7" s="253">
        <v>0</v>
      </c>
    </row>
    <row r="8" spans="1:6" s="76" customFormat="1" ht="25.5">
      <c r="A8" s="70">
        <v>3</v>
      </c>
      <c r="B8" s="249" t="s">
        <v>343</v>
      </c>
      <c r="C8" s="478">
        <f>SUM(C5:C7)</f>
        <v>1306731456.5360482</v>
      </c>
    </row>
    <row r="9" spans="1:6" s="252" customFormat="1">
      <c r="A9" s="98">
        <v>4</v>
      </c>
      <c r="B9" s="100" t="s">
        <v>88</v>
      </c>
      <c r="C9" s="175">
        <v>8315713</v>
      </c>
    </row>
    <row r="10" spans="1:6" s="76" customFormat="1" outlineLevel="1">
      <c r="A10" s="70">
        <v>5.0999999999999996</v>
      </c>
      <c r="B10" s="71" t="s">
        <v>344</v>
      </c>
      <c r="C10" s="253">
        <v>-15347370.455250055</v>
      </c>
    </row>
    <row r="11" spans="1:6" s="76" customFormat="1" outlineLevel="1">
      <c r="A11" s="70">
        <v>5.2</v>
      </c>
      <c r="B11" s="71" t="s">
        <v>345</v>
      </c>
      <c r="C11" s="253">
        <v>0</v>
      </c>
    </row>
    <row r="12" spans="1:6" s="76" customFormat="1">
      <c r="A12" s="70">
        <v>6</v>
      </c>
      <c r="B12" s="247" t="s">
        <v>87</v>
      </c>
      <c r="C12" s="253"/>
    </row>
    <row r="13" spans="1:6" s="76" customFormat="1" ht="13.5" thickBot="1">
      <c r="A13" s="72">
        <v>7</v>
      </c>
      <c r="B13" s="250" t="s">
        <v>291</v>
      </c>
      <c r="C13" s="479">
        <f>SUM(C8:C12)</f>
        <v>1299699799.0807981</v>
      </c>
    </row>
    <row r="15" spans="1:6">
      <c r="A15" s="268"/>
      <c r="B15" s="268"/>
    </row>
    <row r="16" spans="1:6">
      <c r="A16" s="268"/>
      <c r="B16" s="268"/>
    </row>
    <row r="17" spans="1:5" ht="15">
      <c r="A17" s="263"/>
      <c r="B17" s="264"/>
      <c r="C17" s="268"/>
      <c r="D17" s="268"/>
      <c r="E17" s="268"/>
    </row>
    <row r="18" spans="1:5" ht="15">
      <c r="A18" s="269"/>
      <c r="B18" s="270"/>
      <c r="C18" s="268"/>
      <c r="D18" s="268"/>
      <c r="E18" s="268"/>
    </row>
    <row r="19" spans="1:5">
      <c r="A19" s="271"/>
      <c r="B19" s="265"/>
      <c r="C19" s="268"/>
      <c r="D19" s="268"/>
      <c r="E19" s="268"/>
    </row>
    <row r="20" spans="1:5">
      <c r="A20" s="272"/>
      <c r="B20" s="266"/>
      <c r="C20" s="268"/>
      <c r="D20" s="268"/>
      <c r="E20" s="268"/>
    </row>
    <row r="21" spans="1:5">
      <c r="A21" s="272"/>
      <c r="B21" s="270"/>
      <c r="C21" s="268"/>
      <c r="D21" s="268"/>
      <c r="E21" s="268"/>
    </row>
    <row r="22" spans="1:5">
      <c r="A22" s="271"/>
      <c r="B22" s="267"/>
      <c r="C22" s="268"/>
      <c r="D22" s="268"/>
      <c r="E22" s="268"/>
    </row>
    <row r="23" spans="1:5">
      <c r="A23" s="272"/>
      <c r="B23" s="266"/>
      <c r="C23" s="268"/>
      <c r="D23" s="268"/>
      <c r="E23" s="268"/>
    </row>
    <row r="24" spans="1:5">
      <c r="A24" s="272"/>
      <c r="B24" s="266"/>
      <c r="C24" s="268"/>
      <c r="D24" s="268"/>
      <c r="E24" s="268"/>
    </row>
    <row r="25" spans="1:5">
      <c r="A25" s="272"/>
      <c r="B25" s="273"/>
      <c r="C25" s="268"/>
      <c r="D25" s="268"/>
      <c r="E25" s="268"/>
    </row>
    <row r="26" spans="1:5">
      <c r="A26" s="272"/>
      <c r="B26" s="270"/>
      <c r="C26" s="268"/>
      <c r="D26" s="268"/>
      <c r="E26" s="268"/>
    </row>
    <row r="27" spans="1:5">
      <c r="A27" s="268"/>
      <c r="B27" s="274"/>
      <c r="C27" s="268"/>
      <c r="D27" s="268"/>
      <c r="E27" s="268"/>
    </row>
    <row r="28" spans="1:5">
      <c r="A28" s="268"/>
      <c r="B28" s="274"/>
      <c r="C28" s="268"/>
      <c r="D28" s="268"/>
      <c r="E28" s="268"/>
    </row>
    <row r="29" spans="1:5">
      <c r="A29" s="268"/>
      <c r="B29" s="274"/>
      <c r="C29" s="268"/>
      <c r="D29" s="268"/>
      <c r="E29" s="268"/>
    </row>
    <row r="30" spans="1:5">
      <c r="A30" s="268"/>
      <c r="B30" s="274"/>
      <c r="C30" s="268"/>
      <c r="D30" s="268"/>
      <c r="E30" s="268"/>
    </row>
    <row r="31" spans="1:5">
      <c r="A31" s="268"/>
      <c r="B31" s="274"/>
      <c r="C31" s="268"/>
      <c r="D31" s="268"/>
      <c r="E31" s="268"/>
    </row>
    <row r="32" spans="1:5">
      <c r="A32" s="268"/>
      <c r="B32" s="274"/>
      <c r="C32" s="268"/>
      <c r="D32" s="268"/>
      <c r="E32" s="268"/>
    </row>
    <row r="33" spans="1:5">
      <c r="A33" s="268"/>
      <c r="B33" s="274"/>
      <c r="C33" s="268"/>
      <c r="D33" s="268"/>
      <c r="E33" s="26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WveoiF6LvyCmyR7gp1J9G5kzSBFgsStvhawon1qwtFU=</DigestValue>
    </Reference>
    <Reference Type="http://www.w3.org/2000/09/xmldsig#Object" URI="#idOfficeObject">
      <DigestMethod Algorithm="http://www.w3.org/2001/04/xmlenc#sha256"/>
      <DigestValue>subR5AnNp2UDmgOewApKmjLkIaMCLoy/xgnJp9g3SBw=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uocrTlY3WaLMkKdqqpDo8KpN/Ra2aT8OWKvZ+IVPLd0=</DigestValue>
    </Reference>
  </SignedInfo>
  <SignatureValue>iYDLWmdJZUWRfBhm/zVRbvmwL69R76OXxnMVe9pteYabFlevEP3kYjr/jW7x8hEl2jMQ3yFKnZCC
tzUZHQvpgg0SjqR/2A/c3Lx9DoN3WvQuHqup2lWJuI8UmkLVN/I2lEWg9rbfMBhCFe4RlVmsisPK
aHN/KcmJFUVuHoIv4WnCQzv8Dag3luLtrg69uaH8EFc6EQcKQUt/6y/R5fsqaYTawRX8ZPP0OL3u
Z593t5aoZ/2ZLLtIFiTIkReUPWRPL7JblwzDKMXkCUmrKc2X7vd2Iueo66eNTKsbLFOmQ7XXHbWy
IRnM4016KZ6xFJynTdFSRa+DcuLqHPHOsdYY0Q==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SWK545zCm/a4qwZDDp/JLO1/SkkerOHzJu4nOAmCnSc=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UBijMq4aFOyc4q4NNdFJmaEnuHWW43If7Ktp30Y4gy8=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aDE2w4Kxuj7dJXS4Pv0/8cB6vn90IU9C2FSWTzlIpiI=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wYE9NkCZIkT9nKjTMUFBGLc2qIXXq7UmHKPcDL6FM+8=</DigestValue>
      </Reference>
      <Reference URI="/xl/styles.xml?ContentType=application/vnd.openxmlformats-officedocument.spreadsheetml.styles+xml">
        <DigestMethod Algorithm="http://www.w3.org/2001/04/xmlenc#sha256"/>
        <DigestValue>VQmnJAFi4rpqpsbZy2scG4kI1uUYtVYoIDKO0oS6mOA=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rSXbKG8uZZc6XJb355jKGY9v1qO/7bVBeyOuJqC79ag=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EagcfkRFWlRbRlsHUovZUEB3lQvEsX9K54424EZTa0o=</DigestValue>
      </Reference>
      <Reference URI="/xl/worksheets/sheet10.xml?ContentType=application/vnd.openxmlformats-officedocument.spreadsheetml.worksheet+xml">
        <DigestMethod Algorithm="http://www.w3.org/2001/04/xmlenc#sha256"/>
        <DigestValue>SdYS8xvpBoFsE+yxBdfj93vPOEh+peln8ab2O5LZQlA=</DigestValue>
      </Reference>
      <Reference URI="/xl/worksheets/sheet11.xml?ContentType=application/vnd.openxmlformats-officedocument.spreadsheetml.worksheet+xml">
        <DigestMethod Algorithm="http://www.w3.org/2001/04/xmlenc#sha256"/>
        <DigestValue>18I0UTjHduyKXnsSuSPQ+LcnMOy7CtxZdtKVVoUYljg=</DigestValue>
      </Reference>
      <Reference URI="/xl/worksheets/sheet12.xml?ContentType=application/vnd.openxmlformats-officedocument.spreadsheetml.worksheet+xml">
        <DigestMethod Algorithm="http://www.w3.org/2001/04/xmlenc#sha256"/>
        <DigestValue>JqQ7/kx6/iuIIaS2LXST5tawEGQLgY3TlCGrGtViWiQ=</DigestValue>
      </Reference>
      <Reference URI="/xl/worksheets/sheet13.xml?ContentType=application/vnd.openxmlformats-officedocument.spreadsheetml.worksheet+xml">
        <DigestMethod Algorithm="http://www.w3.org/2001/04/xmlenc#sha256"/>
        <DigestValue>Lrb7pm6p3SiCd2ZG6zV56ZiTT0m/rgONa+idavVVZWU=</DigestValue>
      </Reference>
      <Reference URI="/xl/worksheets/sheet14.xml?ContentType=application/vnd.openxmlformats-officedocument.spreadsheetml.worksheet+xml">
        <DigestMethod Algorithm="http://www.w3.org/2001/04/xmlenc#sha256"/>
        <DigestValue>ZMKKU/7JQWD4B6xH9JNCHzsdBncSSYpq6w5cqbPfH1I=</DigestValue>
      </Reference>
      <Reference URI="/xl/worksheets/sheet15.xml?ContentType=application/vnd.openxmlformats-officedocument.spreadsheetml.worksheet+xml">
        <DigestMethod Algorithm="http://www.w3.org/2001/04/xmlenc#sha256"/>
        <DigestValue>q8kbSCzbB6IeMR0/6wsY1rJT/u+qEvG0hxkepHJyoWk=</DigestValue>
      </Reference>
      <Reference URI="/xl/worksheets/sheet16.xml?ContentType=application/vnd.openxmlformats-officedocument.spreadsheetml.worksheet+xml">
        <DigestMethod Algorithm="http://www.w3.org/2001/04/xmlenc#sha256"/>
        <DigestValue>safHhyeHdEzOz3nh0NNiHTPY2eFjGnyCAK8xPAY6GP4=</DigestValue>
      </Reference>
      <Reference URI="/xl/worksheets/sheet17.xml?ContentType=application/vnd.openxmlformats-officedocument.spreadsheetml.worksheet+xml">
        <DigestMethod Algorithm="http://www.w3.org/2001/04/xmlenc#sha256"/>
        <DigestValue>jkAzFuf38B+WTqTk8vTwzi2OZRQgUmNFLMHOk6V1jyU=</DigestValue>
      </Reference>
      <Reference URI="/xl/worksheets/sheet18.xml?ContentType=application/vnd.openxmlformats-officedocument.spreadsheetml.worksheet+xml">
        <DigestMethod Algorithm="http://www.w3.org/2001/04/xmlenc#sha256"/>
        <DigestValue>R6Qg437tz8qC4pSNWe96rzUUsxHWrBfHk3KrCYVFcu8=</DigestValue>
      </Reference>
      <Reference URI="/xl/worksheets/sheet2.xml?ContentType=application/vnd.openxmlformats-officedocument.spreadsheetml.worksheet+xml">
        <DigestMethod Algorithm="http://www.w3.org/2001/04/xmlenc#sha256"/>
        <DigestValue>D8TDbPp1q0kjt68m5sgybffYJevY3cjay2samc90y1Q=</DigestValue>
      </Reference>
      <Reference URI="/xl/worksheets/sheet3.xml?ContentType=application/vnd.openxmlformats-officedocument.spreadsheetml.worksheet+xml">
        <DigestMethod Algorithm="http://www.w3.org/2001/04/xmlenc#sha256"/>
        <DigestValue>ZAJ/ArOh0NCNEO98D8aHQ7I+AT2sZe6CQhnQNrJ+nrs=</DigestValue>
      </Reference>
      <Reference URI="/xl/worksheets/sheet4.xml?ContentType=application/vnd.openxmlformats-officedocument.spreadsheetml.worksheet+xml">
        <DigestMethod Algorithm="http://www.w3.org/2001/04/xmlenc#sha256"/>
        <DigestValue>ZJzaPOTnJB6ziCC8Uy3NVkNyTn6gkmurMmDy6jJuADw=</DigestValue>
      </Reference>
      <Reference URI="/xl/worksheets/sheet5.xml?ContentType=application/vnd.openxmlformats-officedocument.spreadsheetml.worksheet+xml">
        <DigestMethod Algorithm="http://www.w3.org/2001/04/xmlenc#sha256"/>
        <DigestValue>ApOVAd+tlye7v+X8zV6tFrDhTb8uA8/rAQq4uCLBOnQ=</DigestValue>
      </Reference>
      <Reference URI="/xl/worksheets/sheet6.xml?ContentType=application/vnd.openxmlformats-officedocument.spreadsheetml.worksheet+xml">
        <DigestMethod Algorithm="http://www.w3.org/2001/04/xmlenc#sha256"/>
        <DigestValue>7XyeO0KfHWzbyCLvRySxkZxm/h2S9/ReMv7NLNCNKPc=</DigestValue>
      </Reference>
      <Reference URI="/xl/worksheets/sheet7.xml?ContentType=application/vnd.openxmlformats-officedocument.spreadsheetml.worksheet+xml">
        <DigestMethod Algorithm="http://www.w3.org/2001/04/xmlenc#sha256"/>
        <DigestValue>J8YR69mWexWpq5oZE1vBEOcfu5jX2IY+VkylD+J/wQk=</DigestValue>
      </Reference>
      <Reference URI="/xl/worksheets/sheet8.xml?ContentType=application/vnd.openxmlformats-officedocument.spreadsheetml.worksheet+xml">
        <DigestMethod Algorithm="http://www.w3.org/2001/04/xmlenc#sha256"/>
        <DigestValue>KLZ9z8G1P+5YE11YJYKMHRL/QB90rQBXNBMfKAqcGQg=</DigestValue>
      </Reference>
      <Reference URI="/xl/worksheets/sheet9.xml?ContentType=application/vnd.openxmlformats-officedocument.spreadsheetml.worksheet+xml">
        <DigestMethod Algorithm="http://www.w3.org/2001/04/xmlenc#sha256"/>
        <DigestValue>zNWxlxHCZu2vkC8b3Pp4W3xbwQ6g2svaNB6ROm1ykPc=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2019-10-30T09:16:56Z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16.0.11929/19</OfficeVersion>
          <ApplicationVersion>16.0.11929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2019-10-30T09:16:56Z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fBPKlhACIOca/G3CkG9fGC0AVqcNMDedWqJCePVF3+A=</DigestValue>
    </Reference>
    <Reference Type="http://www.w3.org/2000/09/xmldsig#Object" URI="#idOfficeObject">
      <DigestMethod Algorithm="http://www.w3.org/2001/04/xmlenc#sha256"/>
      <DigestValue>kezOej4nGoh+VCA8QqgT6FedjV7VKczp3kNpUnOwYfI=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g4pK0m7gDqeJPvLroeLWy4c9OQw9KJ5tHJyguNKyk2Q=</DigestValue>
    </Reference>
  </SignedInfo>
  <SignatureValue>1xx7bNn+F0t3QF6iJYm3cMy9DJDO1Cg0TCCcgKd9XVCReWTAbb6TKGxlc/PiHwL7iLMAMDk863tk
flSya8yZNn2xhUTVpdj/CMr30onKlLK7gXaerf+DW4lKeUiEXPJqkiwJ530GzLbM7fsKtBbFHhsc
f6BJJ2HxKywQI95LkX7rpQEjEL1Zb5ORikC0R9dXw1mDyf7Z3pHWd/60OPQxQss6r0KOyhfpkae+
JZ2+RSqpNlhRs5B5G881R7P7KvxclxfkUEt/apCDA+aw5Z90fdfmhf2xs2hZrtStOZjDRFzS4T5X
APFYLiyWt5pTg0Y0X0ddSv32/w6uLL327bD92g==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SWK545zCm/a4qwZDDp/JLO1/SkkerOHzJu4nOAmCnSc=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UBijMq4aFOyc4q4NNdFJmaEnuHWW43If7Ktp30Y4gy8=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aDE2w4Kxuj7dJXS4Pv0/8cB6vn90IU9C2FSWTzlIpiI=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wYE9NkCZIkT9nKjTMUFBGLc2qIXXq7UmHKPcDL6FM+8=</DigestValue>
      </Reference>
      <Reference URI="/xl/styles.xml?ContentType=application/vnd.openxmlformats-officedocument.spreadsheetml.styles+xml">
        <DigestMethod Algorithm="http://www.w3.org/2001/04/xmlenc#sha256"/>
        <DigestValue>VQmnJAFi4rpqpsbZy2scG4kI1uUYtVYoIDKO0oS6mOA=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rSXbKG8uZZc6XJb355jKGY9v1qO/7bVBeyOuJqC79ag=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EagcfkRFWlRbRlsHUovZUEB3lQvEsX9K54424EZTa0o=</DigestValue>
      </Reference>
      <Reference URI="/xl/worksheets/sheet10.xml?ContentType=application/vnd.openxmlformats-officedocument.spreadsheetml.worksheet+xml">
        <DigestMethod Algorithm="http://www.w3.org/2001/04/xmlenc#sha256"/>
        <DigestValue>SdYS8xvpBoFsE+yxBdfj93vPOEh+peln8ab2O5LZQlA=</DigestValue>
      </Reference>
      <Reference URI="/xl/worksheets/sheet11.xml?ContentType=application/vnd.openxmlformats-officedocument.spreadsheetml.worksheet+xml">
        <DigestMethod Algorithm="http://www.w3.org/2001/04/xmlenc#sha256"/>
        <DigestValue>18I0UTjHduyKXnsSuSPQ+LcnMOy7CtxZdtKVVoUYljg=</DigestValue>
      </Reference>
      <Reference URI="/xl/worksheets/sheet12.xml?ContentType=application/vnd.openxmlformats-officedocument.spreadsheetml.worksheet+xml">
        <DigestMethod Algorithm="http://www.w3.org/2001/04/xmlenc#sha256"/>
        <DigestValue>JqQ7/kx6/iuIIaS2LXST5tawEGQLgY3TlCGrGtViWiQ=</DigestValue>
      </Reference>
      <Reference URI="/xl/worksheets/sheet13.xml?ContentType=application/vnd.openxmlformats-officedocument.spreadsheetml.worksheet+xml">
        <DigestMethod Algorithm="http://www.w3.org/2001/04/xmlenc#sha256"/>
        <DigestValue>Lrb7pm6p3SiCd2ZG6zV56ZiTT0m/rgONa+idavVVZWU=</DigestValue>
      </Reference>
      <Reference URI="/xl/worksheets/sheet14.xml?ContentType=application/vnd.openxmlformats-officedocument.spreadsheetml.worksheet+xml">
        <DigestMethod Algorithm="http://www.w3.org/2001/04/xmlenc#sha256"/>
        <DigestValue>ZMKKU/7JQWD4B6xH9JNCHzsdBncSSYpq6w5cqbPfH1I=</DigestValue>
      </Reference>
      <Reference URI="/xl/worksheets/sheet15.xml?ContentType=application/vnd.openxmlformats-officedocument.spreadsheetml.worksheet+xml">
        <DigestMethod Algorithm="http://www.w3.org/2001/04/xmlenc#sha256"/>
        <DigestValue>q8kbSCzbB6IeMR0/6wsY1rJT/u+qEvG0hxkepHJyoWk=</DigestValue>
      </Reference>
      <Reference URI="/xl/worksheets/sheet16.xml?ContentType=application/vnd.openxmlformats-officedocument.spreadsheetml.worksheet+xml">
        <DigestMethod Algorithm="http://www.w3.org/2001/04/xmlenc#sha256"/>
        <DigestValue>safHhyeHdEzOz3nh0NNiHTPY2eFjGnyCAK8xPAY6GP4=</DigestValue>
      </Reference>
      <Reference URI="/xl/worksheets/sheet17.xml?ContentType=application/vnd.openxmlformats-officedocument.spreadsheetml.worksheet+xml">
        <DigestMethod Algorithm="http://www.w3.org/2001/04/xmlenc#sha256"/>
        <DigestValue>jkAzFuf38B+WTqTk8vTwzi2OZRQgUmNFLMHOk6V1jyU=</DigestValue>
      </Reference>
      <Reference URI="/xl/worksheets/sheet18.xml?ContentType=application/vnd.openxmlformats-officedocument.spreadsheetml.worksheet+xml">
        <DigestMethod Algorithm="http://www.w3.org/2001/04/xmlenc#sha256"/>
        <DigestValue>R6Qg437tz8qC4pSNWe96rzUUsxHWrBfHk3KrCYVFcu8=</DigestValue>
      </Reference>
      <Reference URI="/xl/worksheets/sheet2.xml?ContentType=application/vnd.openxmlformats-officedocument.spreadsheetml.worksheet+xml">
        <DigestMethod Algorithm="http://www.w3.org/2001/04/xmlenc#sha256"/>
        <DigestValue>D8TDbPp1q0kjt68m5sgybffYJevY3cjay2samc90y1Q=</DigestValue>
      </Reference>
      <Reference URI="/xl/worksheets/sheet3.xml?ContentType=application/vnd.openxmlformats-officedocument.spreadsheetml.worksheet+xml">
        <DigestMethod Algorithm="http://www.w3.org/2001/04/xmlenc#sha256"/>
        <DigestValue>ZAJ/ArOh0NCNEO98D8aHQ7I+AT2sZe6CQhnQNrJ+nrs=</DigestValue>
      </Reference>
      <Reference URI="/xl/worksheets/sheet4.xml?ContentType=application/vnd.openxmlformats-officedocument.spreadsheetml.worksheet+xml">
        <DigestMethod Algorithm="http://www.w3.org/2001/04/xmlenc#sha256"/>
        <DigestValue>ZJzaPOTnJB6ziCC8Uy3NVkNyTn6gkmurMmDy6jJuADw=</DigestValue>
      </Reference>
      <Reference URI="/xl/worksheets/sheet5.xml?ContentType=application/vnd.openxmlformats-officedocument.spreadsheetml.worksheet+xml">
        <DigestMethod Algorithm="http://www.w3.org/2001/04/xmlenc#sha256"/>
        <DigestValue>ApOVAd+tlye7v+X8zV6tFrDhTb8uA8/rAQq4uCLBOnQ=</DigestValue>
      </Reference>
      <Reference URI="/xl/worksheets/sheet6.xml?ContentType=application/vnd.openxmlformats-officedocument.spreadsheetml.worksheet+xml">
        <DigestMethod Algorithm="http://www.w3.org/2001/04/xmlenc#sha256"/>
        <DigestValue>7XyeO0KfHWzbyCLvRySxkZxm/h2S9/ReMv7NLNCNKPc=</DigestValue>
      </Reference>
      <Reference URI="/xl/worksheets/sheet7.xml?ContentType=application/vnd.openxmlformats-officedocument.spreadsheetml.worksheet+xml">
        <DigestMethod Algorithm="http://www.w3.org/2001/04/xmlenc#sha256"/>
        <DigestValue>J8YR69mWexWpq5oZE1vBEOcfu5jX2IY+VkylD+J/wQk=</DigestValue>
      </Reference>
      <Reference URI="/xl/worksheets/sheet8.xml?ContentType=application/vnd.openxmlformats-officedocument.spreadsheetml.worksheet+xml">
        <DigestMethod Algorithm="http://www.w3.org/2001/04/xmlenc#sha256"/>
        <DigestValue>KLZ9z8G1P+5YE11YJYKMHRL/QB90rQBXNBMfKAqcGQg=</DigestValue>
      </Reference>
      <Reference URI="/xl/worksheets/sheet9.xml?ContentType=application/vnd.openxmlformats-officedocument.spreadsheetml.worksheet+xml">
        <DigestMethod Algorithm="http://www.w3.org/2001/04/xmlenc#sha256"/>
        <DigestValue>zNWxlxHCZu2vkC8b3Pp4W3xbwQ6g2svaNB6ROm1ykPc=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2019-10-30T10:48:37Z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2019-10-30T10:48:37Z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2019-10-30T06:27:07Z</dcterms:modified>
</cp:coreProperties>
</file>