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30720" windowHeight="1290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K16" i="93" l="1"/>
  <c r="J16" i="93"/>
  <c r="I16" i="93"/>
  <c r="H16" i="93"/>
  <c r="G16" i="93"/>
  <c r="F16" i="93"/>
  <c r="E16" i="93"/>
  <c r="D16" i="93"/>
  <c r="C16" i="93"/>
  <c r="C42" i="69"/>
  <c r="C30" i="69"/>
  <c r="C19" i="69"/>
  <c r="C16" i="69"/>
  <c r="C47" i="89"/>
  <c r="C43" i="89"/>
  <c r="C35" i="89"/>
  <c r="C31" i="89"/>
  <c r="C30" i="89"/>
  <c r="C41" i="89" s="1"/>
  <c r="C12" i="89"/>
  <c r="C11" i="73"/>
  <c r="C10" i="73"/>
  <c r="C7" i="73"/>
  <c r="C6" i="73"/>
  <c r="C8" i="73" s="1"/>
  <c r="D6" i="86" l="1"/>
  <c r="C6" i="86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E45" i="75" s="1"/>
  <c r="H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G11" i="75"/>
  <c r="H11" i="75" s="1"/>
  <c r="E11" i="75"/>
  <c r="D11" i="75"/>
  <c r="H10" i="75"/>
  <c r="E10" i="75"/>
  <c r="H9" i="75"/>
  <c r="E9" i="75"/>
  <c r="H8" i="75"/>
  <c r="E8" i="75"/>
  <c r="H7" i="75"/>
  <c r="E7" i="75"/>
  <c r="H66" i="85"/>
  <c r="E66" i="85"/>
  <c r="H64" i="85"/>
  <c r="E64" i="85"/>
  <c r="H61" i="85"/>
  <c r="G61" i="85"/>
  <c r="F61" i="85"/>
  <c r="E61" i="85"/>
  <c r="D61" i="85"/>
  <c r="C61" i="85"/>
  <c r="H60" i="85"/>
  <c r="E60" i="85"/>
  <c r="H59" i="85"/>
  <c r="E59" i="85"/>
  <c r="H58" i="85"/>
  <c r="E58" i="85"/>
  <c r="H53" i="85"/>
  <c r="G53" i="85"/>
  <c r="F53" i="85"/>
  <c r="E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C45" i="85"/>
  <c r="C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H34" i="85"/>
  <c r="G34" i="85"/>
  <c r="F34" i="85"/>
  <c r="F45" i="85" s="1"/>
  <c r="D34" i="85"/>
  <c r="D45" i="85" s="1"/>
  <c r="D54" i="85" s="1"/>
  <c r="C34" i="85"/>
  <c r="H30" i="85"/>
  <c r="G30" i="85"/>
  <c r="F30" i="85"/>
  <c r="E30" i="85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G22" i="85"/>
  <c r="G31" i="85" s="1"/>
  <c r="G56" i="85" s="1"/>
  <c r="G63" i="85" s="1"/>
  <c r="G65" i="85" s="1"/>
  <c r="G67" i="85" s="1"/>
  <c r="C22" i="85"/>
  <c r="E22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H9" i="85"/>
  <c r="G9" i="85"/>
  <c r="F9" i="85"/>
  <c r="F22" i="85" s="1"/>
  <c r="E9" i="85"/>
  <c r="D9" i="85"/>
  <c r="D22" i="85" s="1"/>
  <c r="D31" i="85" s="1"/>
  <c r="C9" i="85"/>
  <c r="H8" i="85"/>
  <c r="E8" i="85"/>
  <c r="G41" i="83"/>
  <c r="D41" i="83"/>
  <c r="G40" i="83"/>
  <c r="F40" i="83"/>
  <c r="F41" i="83" s="1"/>
  <c r="H41" i="83" s="1"/>
  <c r="C40" i="83"/>
  <c r="E40" i="83" s="1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H31" i="83"/>
  <c r="D31" i="83"/>
  <c r="C31" i="83"/>
  <c r="E3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20" i="83"/>
  <c r="H19" i="83"/>
  <c r="E19" i="83"/>
  <c r="H18" i="83"/>
  <c r="E18" i="83"/>
  <c r="H17" i="83"/>
  <c r="E17" i="83"/>
  <c r="H16" i="83"/>
  <c r="E16" i="83"/>
  <c r="H15" i="83"/>
  <c r="E15" i="83"/>
  <c r="H14" i="83"/>
  <c r="D14" i="83"/>
  <c r="D20" i="83" s="1"/>
  <c r="C14" i="83"/>
  <c r="C20" i="83" s="1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D56" i="85" l="1"/>
  <c r="D63" i="85" s="1"/>
  <c r="D65" i="85" s="1"/>
  <c r="D67" i="85" s="1"/>
  <c r="E54" i="85"/>
  <c r="H22" i="85"/>
  <c r="F31" i="85"/>
  <c r="H45" i="85"/>
  <c r="F54" i="85"/>
  <c r="H54" i="85" s="1"/>
  <c r="E34" i="85"/>
  <c r="C31" i="85"/>
  <c r="E45" i="85"/>
  <c r="E14" i="83"/>
  <c r="H40" i="83"/>
  <c r="C41" i="83"/>
  <c r="E41" i="83" s="1"/>
  <c r="E31" i="85" l="1"/>
  <c r="C56" i="85"/>
  <c r="H31" i="85"/>
  <c r="F56" i="85"/>
  <c r="C38" i="95"/>
  <c r="I24" i="93"/>
  <c r="H24" i="93"/>
  <c r="G24" i="93"/>
  <c r="F24" i="93"/>
  <c r="K23" i="93"/>
  <c r="J23" i="93"/>
  <c r="I23" i="93"/>
  <c r="H23" i="93"/>
  <c r="G23" i="93"/>
  <c r="G25" i="93" s="1"/>
  <c r="F23" i="93"/>
  <c r="K21" i="93"/>
  <c r="K24" i="93" s="1"/>
  <c r="J21" i="93"/>
  <c r="J24" i="93" s="1"/>
  <c r="I21" i="93"/>
  <c r="H21" i="93"/>
  <c r="G21" i="93"/>
  <c r="F21" i="93"/>
  <c r="E21" i="93"/>
  <c r="D21" i="93"/>
  <c r="C21" i="93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C52" i="69"/>
  <c r="D13" i="86"/>
  <c r="C13" i="86"/>
  <c r="J25" i="93" l="1"/>
  <c r="F25" i="93"/>
  <c r="H25" i="93"/>
  <c r="I25" i="93"/>
  <c r="K25" i="93"/>
  <c r="F63" i="85"/>
  <c r="H56" i="85"/>
  <c r="C63" i="85"/>
  <c r="E56" i="85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H63" i="85" l="1"/>
  <c r="F65" i="85"/>
  <c r="E63" i="85"/>
  <c r="C65" i="85"/>
  <c r="C21" i="94"/>
  <c r="B17" i="84" s="1"/>
  <c r="C20" i="94"/>
  <c r="B16" i="84" s="1"/>
  <c r="C19" i="94"/>
  <c r="B15" i="84" s="1"/>
  <c r="H65" i="85" l="1"/>
  <c r="F67" i="85"/>
  <c r="H67" i="85" s="1"/>
  <c r="E65" i="85"/>
  <c r="C67" i="85"/>
  <c r="E67" i="85" s="1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6" i="89"/>
  <c r="C28" i="89" s="1"/>
  <c r="D22" i="90" l="1"/>
  <c r="E22" i="90"/>
  <c r="F22" i="90"/>
  <c r="G22" i="90"/>
  <c r="H22" i="90"/>
  <c r="I22" i="90"/>
  <c r="J22" i="90"/>
  <c r="C13" i="73" l="1"/>
  <c r="C52" i="89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<sst xmlns="http://schemas.openxmlformats.org/spreadsheetml/2006/main" count="759" uniqueCount="521">
  <si>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</si>
  <si>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</si>
  <si>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</si>
  <si>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</si>
  <si>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</si>
  <si>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</si>
  <si>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</si>
  <si>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</si>
  <si>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</si>
  <si>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</si>
  <si>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</si>
  <si>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</si>
  <si>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</si>
  <si>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</si>
  <si>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</si>
  <si>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</si>
  <si>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</si>
  <si>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</si>
  <si>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</si>
  <si>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</si>
  <si>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</si>
  <si>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</si>
  <si>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</si>
  <si>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</si>
  <si>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</si>
  <si>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</si>
  <si>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</si>
  <si>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</si>
  <si>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</si>
  <si>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</si>
  <si>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</si>
  <si>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</si>
  <si>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</si>
  <si>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</si>
  <si>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</si>
  <si>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</si>
  <si>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</si>
  <si>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</si>
  <si>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</si>
  <si>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</si>
  <si>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</si>
  <si>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</si>
  <si>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</si>
  <si>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</si>
  <si>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</si>
  <si>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</si>
  <si>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</si>
  <si>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</si>
  <si>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</si>
  <si>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</si>
  <si>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</si>
  <si>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</si>
  <si>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</si>
  <si>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</si>
  <si>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</si>
  <si>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</si>
  <si>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</si>
  <si>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</si>
  <si>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</si>
  <si>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</si>
  <si>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</si>
  <si>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</si>
  <si>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</si>
  <si>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</si>
  <si>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</si>
  <si>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</si>
  <si>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</si>
  <si>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</si>
  <si>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</si>
  <si>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</si>
  <si>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</si>
  <si>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</si>
  <si>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</si>
  <si>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</si>
  <si>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</si>
  <si>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</si>
  <si>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</si>
  <si>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</si>
  <si>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</si>
  <si>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</si>
  <si>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</si>
  <si>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</si>
  <si>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</si>
  <si>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</si>
  <si>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</si>
  <si>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</si>
  <si>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</si>
  <si>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</si>
  <si>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</si>
  <si>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</si>
  <si>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</si>
  <si>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</si>
  <si>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</si>
  <si>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</si>
  <si>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</si>
  <si>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</si>
  <si>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</si>
  <si>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</si>
  <si>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</si>
  <si>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</si>
  <si>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</si>
  <si>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</si>
  <si>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</si>
  <si>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</si>
  <si>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</si>
  <si>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</si>
  <si>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</si>
  <si>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</si>
  <si>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</si>
  <si>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</si>
  <si>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</si>
  <si>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</si>
  <si>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</si>
  <si>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</si>
  <si>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</si>
  <si>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</si>
  <si>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</si>
  <si>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</si>
  <si>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</si>
  <si>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</si>
  <si>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</si>
  <si>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</si>
  <si>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</si>
  <si>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</si>
  <si>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</si>
  <si>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</si>
  <si>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</si>
  <si>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</si>
  <si>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</si>
  <si>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</si>
  <si>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</si>
  <si>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</si>
  <si>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</si>
  <si>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</si>
  <si>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</si>
  <si>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</si>
  <si>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</si>
  <si>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</si>
  <si>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</si>
  <si>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</si>
  <si>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</si>
  <si>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</si>
  <si>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</si>
  <si>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</si>
  <si>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</si>
  <si>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</si>
  <si>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</si>
  <si>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</si>
  <si>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</si>
  <si>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</si>
  <si>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</si>
  <si>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</si>
  <si>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</si>
  <si>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</si>
  <si>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</si>
  <si>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</si>
  <si>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</si>
  <si>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</si>
  <si>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</si>
  <si>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</si>
  <si>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</si>
  <si>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</si>
  <si>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</si>
  <si>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</si>
  <si>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</si>
  <si>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</si>
  <si>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</si>
  <si>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</si>
  <si>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</si>
  <si>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</si>
  <si>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</si>
  <si>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</si>
  <si>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</si>
  <si>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</si>
  <si>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</si>
  <si>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</si>
  <si>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</si>
  <si>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</si>
  <si>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</si>
  <si>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</si>
  <si>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</si>
  <si>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</si>
  <si>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</si>
  <si>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</si>
  <si>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</si>
  <si>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</si>
  <si>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</si>
  <si>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</si>
  <si>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</si>
  <si>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</si>
  <si>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</si>
  <si>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</si>
  <si>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</si>
  <si>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</si>
  <si>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</si>
  <si>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</si>
  <si>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</si>
  <si>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</si>
  <si>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</si>
  <si>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</si>
  <si>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</si>
  <si>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</si>
  <si>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</si>
  <si>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</si>
  <si>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</si>
  <si>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</si>
  <si>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</si>
  <si>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</si>
  <si>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</si>
  <si>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</si>
  <si>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</si>
  <si>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</si>
  <si>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</si>
  <si>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</si>
  <si>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</si>
  <si>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</si>
  <si>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</si>
  <si>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</si>
  <si>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</si>
  <si>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</si>
  <si>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</si>
  <si>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</si>
  <si>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</si>
  <si>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</si>
  <si>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</si>
  <si>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</si>
  <si>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</si>
  <si>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</si>
  <si>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</si>
  <si>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</si>
  <si>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</si>
  <si>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</si>
  <si>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</si>
  <si>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</si>
  <si>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</si>
  <si>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</si>
  <si>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</si>
  <si>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</si>
  <si>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</si>
  <si>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</si>
  <si>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</si>
  <si>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</si>
  <si>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</si>
  <si>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</si>
  <si>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</si>
  <si>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</si>
  <si>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</si>
  <si>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</si>
  <si>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</si>
  <si>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</si>
  <si>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</si>
  <si>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</si>
  <si>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</si>
  <si>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</si>
  <si>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</si>
  <si>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</si>
  <si>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</si>
  <si>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</si>
  <si>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</si>
  <si>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</si>
  <si>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</si>
  <si>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</si>
  <si>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</si>
  <si>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</si>
  <si>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</si>
  <si>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</si>
  <si>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</si>
  <si>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</si>
  <si>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</si>
  <si>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</si>
  <si>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</si>
  <si>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</si>
  <si>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</si>
  <si>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</si>
  <si>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</si>
  <si>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</si>
  <si>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</si>
  <si>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</si>
  <si>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</si>
  <si>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</si>
  <si>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</si>
  <si>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</si>
  <si>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</si>
  <si>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</si>
  <si>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</si>
  <si>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</si>
  <si>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</si>
  <si>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</si>
  <si>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</si>
  <si>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</si>
  <si>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</si>
  <si>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</si>
  <si>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</si>
  <si>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</si>
  <si>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</si>
  <si>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</si>
  <si>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</si>
  <si>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</si>
  <si>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</si>
  <si>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</si>
  <si>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</si>
  <si>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</si>
  <si>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</si>
  <si>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</si>
  <si>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</si>
  <si>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</si>
  <si>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</si>
  <si>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</si>
  <si>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</si>
  <si>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</si>
  <si>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</si>
  <si>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</si>
  <si>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</si>
  <si>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</si>
  <si>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</si>
  <si>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</si>
  <si>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</si>
  <si>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</si>
  <si>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</si>
  <si>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</si>
  <si>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</si>
  <si>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</si>
  <si>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</si>
  <si>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</si>
  <si>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</si>
  <si>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</si>
  <si>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</si>
  <si>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</si>
  <si>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</si>
  <si>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</si>
  <si>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</si>
  <si>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</si>
  <si>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</si>
  <si>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</si>
  <si>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</si>
  <si>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</si>
  <si>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</si>
  <si>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</si>
  <si>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</si>
  <si>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</si>
  <si>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</si>
  <si>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</si>
  <si>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</si>
  <si>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</si>
  <si>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</si>
  <si>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</si>
  <si>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</si>
  <si>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</si>
  <si>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</si>
  <si>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</si>
  <si>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</si>
  <si>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</si>
  <si>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</si>
  <si>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</si>
  <si>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</si>
  <si>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</si>
  <si>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</si>
  <si>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</si>
  <si>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</si>
  <si>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</si>
  <si>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</si>
  <si>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</si>
  <si>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</si>
  <si>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</si>
  <si>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</si>
  <si>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</si>
  <si>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</si>
  <si>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</si>
  <si>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</si>
  <si>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</si>
  <si>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</si>
  <si>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</si>
  <si>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</si>
  <si>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</si>
  <si>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</si>
  <si>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</si>
  <si>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</si>
  <si>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</si>
  <si>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</si>
  <si>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</si>
  <si>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</si>
  <si>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</si>
  <si>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</si>
  <si>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</si>
  <si>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</si>
  <si>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</si>
  <si>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</si>
  <si>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</si>
  <si>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</si>
  <si>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</si>
  <si>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</si>
  <si>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</si>
  <si>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</si>
  <si>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</si>
  <si>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</si>
  <si>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</si>
  <si>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</si>
  <si>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</si>
  <si>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</si>
  <si>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</si>
  <si>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</si>
  <si>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</si>
  <si>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</si>
  <si>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</si>
  <si>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</si>
  <si>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</si>
  <si>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</si>
  <si>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</si>
  <si>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</si>
  <si>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</si>
  <si>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</si>
  <si>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</si>
  <si>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</si>
  <si>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</si>
  <si>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</si>
  <si>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</si>
  <si>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</si>
  <si>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</si>
  <si>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</si>
  <si>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</si>
  <si>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</si>
  <si>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</si>
  <si>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</si>
  <si>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</si>
  <si>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</si>
  <si>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</si>
  <si>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</si>
  <si>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</si>
  <si>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</si>
  <si>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</si>
  <si>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</si>
  <si>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</si>
  <si>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</si>
  <si>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</si>
  <si>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</si>
  <si>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</si>
  <si>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</si>
  <si>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</si>
  <si>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</si>
  <si>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</si>
  <si>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</si>
  <si>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</si>
  <si>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</si>
  <si>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</si>
  <si>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</si>
  <si>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</si>
  <si>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</si>
  <si>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</si>
  <si>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</si>
  <si>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</si>
  <si>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</si>
  <si>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</si>
  <si>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</si>
  <si>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</si>
  <si>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</si>
  <si>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</si>
  <si>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</si>
  <si>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</si>
  <si>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</si>
  <si>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</si>
  <si>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</si>
  <si>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</si>
  <si>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</si>
  <si>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</si>
  <si>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</si>
  <si>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</si>
  <si>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</si>
  <si>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</si>
  <si>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</si>
  <si>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</si>
  <si>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</si>
  <si>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</si>
  <si>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</si>
  <si>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</si>
  <si>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</si>
  <si>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</si>
  <si>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</si>
  <si>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</si>
  <si>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</si>
  <si>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</si>
  <si>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</si>
  <si>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</si>
  <si>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</si>
  <si>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</si>
  <si>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</si>
  <si>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</si>
  <si>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CARTU BANK</t>
  </si>
  <si>
    <t>1Q 2019</t>
  </si>
  <si>
    <t>4Q 2018</t>
  </si>
  <si>
    <t>3Q 2018</t>
  </si>
  <si>
    <t>2Q 2018</t>
  </si>
  <si>
    <t>X</t>
  </si>
  <si>
    <t xml:space="preserve">  </t>
  </si>
  <si>
    <t>Nikoloz Chkhetiani</t>
  </si>
  <si>
    <t>Nato Khaindrava</t>
  </si>
  <si>
    <t>www.cartubank.ge</t>
  </si>
  <si>
    <t>Eter Deminashvili</t>
  </si>
  <si>
    <t>Besik Demetrashvili</t>
  </si>
  <si>
    <t>Temur Kobakhidze</t>
  </si>
  <si>
    <t>Givi Lebanidze</t>
  </si>
  <si>
    <t>David Galuashvili</t>
  </si>
  <si>
    <t xml:space="preserve">Zurab Gogua </t>
  </si>
  <si>
    <t>Beka Kvaratskhelia</t>
  </si>
  <si>
    <t>6.2.1</t>
  </si>
  <si>
    <t>Of which common reserves</t>
  </si>
  <si>
    <t>Table 9 (Capital), N39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</si>
  <si>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</si>
  <si>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</si>
  <si>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</si>
  <si>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</si>
  <si>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</si>
  <si>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</si>
  <si>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</si>
  <si>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</si>
  <si>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</si>
  <si>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</si>
  <si>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</si>
  <si>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 xml:space="preserve">Jsc "Cartu Group" </t>
  </si>
  <si>
    <t xml:space="preserve">Uta Ivanishvili </t>
  </si>
  <si>
    <t>2Q 2019</t>
  </si>
  <si>
    <t>Net Investment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</si>
</sst>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i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14" fontId="2" fillId="0" borderId="0" xfId="0" applyNumberFormat="1" applyFont="1" applyAlignment="1">
      <alignment horizontal="left"/>
    </xf>
    <xf numFmtId="0" fontId="96" fillId="0" borderId="7" xfId="0" applyFont="1" applyFill="1" applyBorder="1" applyAlignment="1">
      <alignment horizontal="center" vertical="center" wrapText="1"/>
    </xf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0" fontId="96" fillId="0" borderId="70" xfId="0" applyFont="1" applyFill="1" applyBorder="1" applyAlignment="1">
      <alignment horizontal="center" vertical="center" wrapText="1"/>
    </xf>
    <xf numFmtId="169" fontId="9" fillId="37" borderId="0" xfId="20" applyFont="1" applyBorder="1"/>
    <xf numFmtId="169" fontId="9" fillId="37" borderId="101" xfId="20" applyFont="1" applyBorder="1"/>
    <xf numFmtId="193" fontId="96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104" xfId="20962" applyNumberFormat="1" applyFont="1" applyBorder="1" applyAlignment="1" applyProtection="1">
      <alignment vertical="center" wrapText="1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9" fontId="94" fillId="2" borderId="25" xfId="20962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94" fillId="2" borderId="26" xfId="20962" applyFont="1" applyFill="1" applyBorder="1" applyAlignment="1" applyProtection="1">
      <alignment vertical="center"/>
      <protection locked="0"/>
    </xf>
    <xf numFmtId="0" fontId="85" fillId="0" borderId="104" xfId="0" applyFont="1" applyBorder="1"/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0" fontId="96" fillId="0" borderId="104" xfId="20962" applyNumberFormat="1" applyFont="1" applyFill="1" applyBorder="1" applyAlignment="1">
      <alignment horizontal="center" vertical="center" wrapText="1"/>
    </xf>
    <xf numFmtId="10" fontId="3" fillId="0" borderId="104" xfId="20962" applyNumberFormat="1" applyFont="1" applyFill="1" applyBorder="1" applyAlignment="1">
      <alignment horizontal="center" vertical="center" wrapText="1"/>
    </xf>
    <xf numFmtId="10" fontId="100" fillId="0" borderId="104" xfId="20962" applyNumberFormat="1" applyFont="1" applyFill="1" applyBorder="1" applyAlignment="1">
      <alignment horizontal="center" vertical="center" wrapText="1"/>
    </xf>
    <xf numFmtId="10" fontId="4" fillId="36" borderId="104" xfId="20962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center" vertical="center"/>
    </xf>
    <xf numFmtId="193" fontId="112" fillId="36" borderId="13" xfId="0" applyNumberFormat="1" applyFont="1" applyFill="1" applyBorder="1" applyAlignment="1">
      <alignment vertical="center"/>
    </xf>
    <xf numFmtId="193" fontId="112" fillId="0" borderId="13" xfId="0" applyNumberFormat="1" applyFont="1" applyBorder="1" applyAlignment="1">
      <alignment vertical="center"/>
    </xf>
    <xf numFmtId="193" fontId="112" fillId="0" borderId="17" xfId="0" applyNumberFormat="1" applyFont="1" applyBorder="1" applyAlignment="1">
      <alignment vertical="center"/>
    </xf>
    <xf numFmtId="193" fontId="113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3"/>
    </xf>
    <xf numFmtId="167" fontId="114" fillId="76" borderId="65" xfId="0" applyNumberFormat="1" applyFont="1" applyFill="1" applyBorder="1" applyAlignment="1">
      <alignment horizontal="center"/>
    </xf>
    <xf numFmtId="167" fontId="112" fillId="0" borderId="65" xfId="0" applyNumberFormat="1" applyFont="1" applyBorder="1" applyAlignment="1">
      <alignment horizont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9" fontId="84" fillId="0" borderId="91" xfId="20962" applyFont="1" applyBorder="1" applyAlignmen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93" fontId="84" fillId="0" borderId="87" xfId="0" applyNumberFormat="1" applyFont="1" applyFill="1" applyBorder="1" applyAlignment="1">
      <alignment vertical="center"/>
    </xf>
    <xf numFmtId="193" fontId="84" fillId="0" borderId="88" xfId="0" applyNumberFormat="1" applyFont="1" applyFill="1" applyBorder="1" applyAlignment="1">
      <alignment vertical="center"/>
    </xf>
    <xf numFmtId="193" fontId="87" fillId="0" borderId="87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 indent="2"/>
    </xf>
    <xf numFmtId="193" fontId="2" fillId="0" borderId="13" xfId="0" applyNumberFormat="1" applyFont="1" applyBorder="1" applyAlignment="1">
      <alignment vertical="center"/>
    </xf>
    <xf numFmtId="193" fontId="94" fillId="0" borderId="13" xfId="0" applyNumberFormat="1" applyFont="1" applyBorder="1" applyAlignment="1">
      <alignment vertical="center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G1-BCR-QQ-2019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key ratios"/>
      <sheetName val="2. RC"/>
      <sheetName val="3. PL"/>
      <sheetName val="4. Off-Balance"/>
      <sheetName val="5. RWA"/>
      <sheetName val="6. Administrators-shareholders"/>
      <sheetName val="7. LI1"/>
      <sheetName val="8. LI2"/>
      <sheetName val="9. Capital"/>
      <sheetName val="9.1. Capital Requirements"/>
      <sheetName val="10. CC2"/>
      <sheetName val="11. CRWA"/>
      <sheetName val="12. CRM"/>
      <sheetName val="13. CRME"/>
      <sheetName val="14. LCR"/>
      <sheetName val="15. CCR"/>
      <sheetName val="15.1. LR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D22">
            <v>85923998.884100899</v>
          </cell>
          <cell r="E22">
            <v>65710073.706960075</v>
          </cell>
        </row>
      </sheetData>
      <sheetData sheetId="15"/>
      <sheetData sheetId="16">
        <row r="21">
          <cell r="C21">
            <v>0</v>
          </cell>
          <cell r="E21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5" sqref="C5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185"/>
      <c r="B1" s="233" t="s">
        <v>350</v>
      </c>
      <c r="C1" s="185"/>
    </row>
    <row r="2" spans="1:3">
      <c r="A2" s="234">
        <v>1</v>
      </c>
      <c r="B2" s="383" t="s">
        <v>351</v>
      </c>
      <c r="C2" s="454" t="s">
        <v>486</v>
      </c>
    </row>
    <row r="3" spans="1:3">
      <c r="A3" s="234">
        <v>2</v>
      </c>
      <c r="B3" s="384" t="s">
        <v>347</v>
      </c>
      <c r="C3" s="454" t="s">
        <v>493</v>
      </c>
    </row>
    <row r="4" spans="1:3">
      <c r="A4" s="234">
        <v>3</v>
      </c>
      <c r="B4" s="385" t="s">
        <v>352</v>
      </c>
      <c r="C4" s="454" t="s">
        <v>494</v>
      </c>
    </row>
    <row r="5" spans="1:3">
      <c r="A5" s="235">
        <v>4</v>
      </c>
      <c r="B5" s="386" t="s">
        <v>348</v>
      </c>
      <c r="C5" s="454" t="s">
        <v>495</v>
      </c>
    </row>
    <row r="6" spans="1:3" s="236" customFormat="1" ht="45.75" customHeight="1">
      <c r="A6" s="521" t="s">
        <v>427</v>
      </c>
      <c r="B6" s="522"/>
      <c r="C6" s="522"/>
    </row>
    <row r="7" spans="1:3">
      <c r="A7" s="237" t="s">
        <v>29</v>
      </c>
      <c r="B7" s="233" t="s">
        <v>349</v>
      </c>
    </row>
    <row r="8" spans="1:3">
      <c r="A8" s="185">
        <v>1</v>
      </c>
      <c r="B8" s="280" t="s">
        <v>20</v>
      </c>
    </row>
    <row r="9" spans="1:3">
      <c r="A9" s="185">
        <v>2</v>
      </c>
      <c r="B9" s="281" t="s">
        <v>21</v>
      </c>
    </row>
    <row r="10" spans="1:3">
      <c r="A10" s="185">
        <v>3</v>
      </c>
      <c r="B10" s="281" t="s">
        <v>22</v>
      </c>
    </row>
    <row r="11" spans="1:3">
      <c r="A11" s="185">
        <v>4</v>
      </c>
      <c r="B11" s="281" t="s">
        <v>23</v>
      </c>
      <c r="C11" s="99"/>
    </row>
    <row r="12" spans="1:3">
      <c r="A12" s="185">
        <v>5</v>
      </c>
      <c r="B12" s="281" t="s">
        <v>24</v>
      </c>
    </row>
    <row r="13" spans="1:3">
      <c r="A13" s="185">
        <v>6</v>
      </c>
      <c r="B13" s="282" t="s">
        <v>359</v>
      </c>
    </row>
    <row r="14" spans="1:3">
      <c r="A14" s="185">
        <v>7</v>
      </c>
      <c r="B14" s="281" t="s">
        <v>353</v>
      </c>
    </row>
    <row r="15" spans="1:3">
      <c r="A15" s="185">
        <v>8</v>
      </c>
      <c r="B15" s="281" t="s">
        <v>354</v>
      </c>
    </row>
    <row r="16" spans="1:3">
      <c r="A16" s="185">
        <v>9</v>
      </c>
      <c r="B16" s="281" t="s">
        <v>25</v>
      </c>
    </row>
    <row r="17" spans="1:2">
      <c r="A17" s="382" t="s">
        <v>426</v>
      </c>
      <c r="B17" s="381" t="s">
        <v>412</v>
      </c>
    </row>
    <row r="18" spans="1:2">
      <c r="A18" s="185">
        <v>10</v>
      </c>
      <c r="B18" s="281" t="s">
        <v>26</v>
      </c>
    </row>
    <row r="19" spans="1:2">
      <c r="A19" s="185">
        <v>11</v>
      </c>
      <c r="B19" s="282" t="s">
        <v>355</v>
      </c>
    </row>
    <row r="20" spans="1:2">
      <c r="A20" s="185">
        <v>12</v>
      </c>
      <c r="B20" s="282" t="s">
        <v>27</v>
      </c>
    </row>
    <row r="21" spans="1:2">
      <c r="A21" s="433">
        <v>13</v>
      </c>
      <c r="B21" s="434" t="s">
        <v>356</v>
      </c>
    </row>
    <row r="22" spans="1:2">
      <c r="A22" s="433">
        <v>14</v>
      </c>
      <c r="B22" s="435" t="s">
        <v>383</v>
      </c>
    </row>
    <row r="23" spans="1:2">
      <c r="A23" s="436">
        <v>15</v>
      </c>
      <c r="B23" s="437" t="s">
        <v>28</v>
      </c>
    </row>
    <row r="24" spans="1:2">
      <c r="A24" s="436">
        <v>15.1</v>
      </c>
      <c r="B24" s="438" t="s">
        <v>440</v>
      </c>
    </row>
    <row r="25" spans="1:2">
      <c r="A25" s="102"/>
      <c r="B25" s="15"/>
    </row>
    <row r="26" spans="1:2">
      <c r="A26" s="10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2"/>
  <cols>
    <col min="1" max="1" width="9.5546875" style="102" bestFit="1" customWidth="1"/>
    <col min="2" max="2" width="132.44140625" style="4" customWidth="1"/>
    <col min="3" max="3" width="18.44140625" style="4" customWidth="1"/>
    <col min="4" max="16384" width="9.109375" style="4"/>
  </cols>
  <sheetData>
    <row r="1" spans="1:3">
      <c r="A1" s="2" t="s">
        <v>30</v>
      </c>
      <c r="B1" s="3" t="str">
        <f>'Info '!C2</f>
        <v>JSC CARTU BANK</v>
      </c>
    </row>
    <row r="2" spans="1:3" s="90" customFormat="1" ht="15.75" customHeight="1">
      <c r="A2" s="90" t="s">
        <v>31</v>
      </c>
      <c r="B2" s="458">
        <f>'1. key ratios '!B2</f>
        <v>43646</v>
      </c>
    </row>
    <row r="3" spans="1:3" s="90" customFormat="1" ht="15.75" customHeight="1"/>
    <row r="4" spans="1:3" ht="13.8" thickBot="1">
      <c r="A4" s="102" t="s">
        <v>251</v>
      </c>
      <c r="B4" s="166" t="s">
        <v>250</v>
      </c>
    </row>
    <row r="5" spans="1:3">
      <c r="A5" s="103" t="s">
        <v>6</v>
      </c>
      <c r="B5" s="104"/>
      <c r="C5" s="105" t="s">
        <v>73</v>
      </c>
    </row>
    <row r="6" spans="1:3">
      <c r="A6" s="106">
        <v>1</v>
      </c>
      <c r="B6" s="107" t="s">
        <v>249</v>
      </c>
      <c r="C6" s="108">
        <f>SUM(C7:C11)</f>
        <v>192876977</v>
      </c>
    </row>
    <row r="7" spans="1:3">
      <c r="A7" s="106">
        <v>2</v>
      </c>
      <c r="B7" s="109" t="s">
        <v>248</v>
      </c>
      <c r="C7" s="110">
        <v>114430000</v>
      </c>
    </row>
    <row r="8" spans="1:3">
      <c r="A8" s="106">
        <v>3</v>
      </c>
      <c r="B8" s="111" t="s">
        <v>247</v>
      </c>
      <c r="C8" s="110"/>
    </row>
    <row r="9" spans="1:3">
      <c r="A9" s="106">
        <v>4</v>
      </c>
      <c r="B9" s="111" t="s">
        <v>246</v>
      </c>
      <c r="C9" s="110"/>
    </row>
    <row r="10" spans="1:3">
      <c r="A10" s="106">
        <v>5</v>
      </c>
      <c r="B10" s="111" t="s">
        <v>245</v>
      </c>
      <c r="C10" s="110">
        <v>6838034</v>
      </c>
    </row>
    <row r="11" spans="1:3">
      <c r="A11" s="106">
        <v>6</v>
      </c>
      <c r="B11" s="112" t="s">
        <v>244</v>
      </c>
      <c r="C11" s="110">
        <v>71608943</v>
      </c>
    </row>
    <row r="12" spans="1:3" s="76" customFormat="1">
      <c r="A12" s="106">
        <v>7</v>
      </c>
      <c r="B12" s="107" t="s">
        <v>243</v>
      </c>
      <c r="C12" s="113">
        <f>SUM(C13:C27)</f>
        <v>4905563</v>
      </c>
    </row>
    <row r="13" spans="1:3" s="76" customFormat="1">
      <c r="A13" s="106">
        <v>8</v>
      </c>
      <c r="B13" s="114" t="s">
        <v>242</v>
      </c>
      <c r="C13" s="115"/>
    </row>
    <row r="14" spans="1:3" s="76" customFormat="1" ht="26.4">
      <c r="A14" s="106">
        <v>9</v>
      </c>
      <c r="B14" s="116" t="s">
        <v>241</v>
      </c>
      <c r="C14" s="115"/>
    </row>
    <row r="15" spans="1:3" s="76" customFormat="1">
      <c r="A15" s="106">
        <v>10</v>
      </c>
      <c r="B15" s="117" t="s">
        <v>240</v>
      </c>
      <c r="C15" s="115">
        <v>4905563</v>
      </c>
    </row>
    <row r="16" spans="1:3" s="76" customFormat="1">
      <c r="A16" s="106">
        <v>11</v>
      </c>
      <c r="B16" s="118" t="s">
        <v>239</v>
      </c>
      <c r="C16" s="115"/>
    </row>
    <row r="17" spans="1:3" s="76" customFormat="1">
      <c r="A17" s="106">
        <v>12</v>
      </c>
      <c r="B17" s="117" t="s">
        <v>238</v>
      </c>
      <c r="C17" s="115"/>
    </row>
    <row r="18" spans="1:3" s="76" customFormat="1">
      <c r="A18" s="106">
        <v>13</v>
      </c>
      <c r="B18" s="117" t="s">
        <v>237</v>
      </c>
      <c r="C18" s="115"/>
    </row>
    <row r="19" spans="1:3" s="76" customFormat="1">
      <c r="A19" s="106">
        <v>14</v>
      </c>
      <c r="B19" s="117" t="s">
        <v>236</v>
      </c>
      <c r="C19" s="115"/>
    </row>
    <row r="20" spans="1:3" s="76" customFormat="1">
      <c r="A20" s="106">
        <v>15</v>
      </c>
      <c r="B20" s="117" t="s">
        <v>235</v>
      </c>
      <c r="C20" s="115"/>
    </row>
    <row r="21" spans="1:3" s="76" customFormat="1" ht="26.4">
      <c r="A21" s="106">
        <v>16</v>
      </c>
      <c r="B21" s="116" t="s">
        <v>234</v>
      </c>
      <c r="C21" s="115"/>
    </row>
    <row r="22" spans="1:3" s="76" customFormat="1">
      <c r="A22" s="106">
        <v>17</v>
      </c>
      <c r="B22" s="119" t="s">
        <v>233</v>
      </c>
      <c r="C22" s="115"/>
    </row>
    <row r="23" spans="1:3" s="76" customFormat="1">
      <c r="A23" s="106">
        <v>18</v>
      </c>
      <c r="B23" s="116" t="s">
        <v>232</v>
      </c>
      <c r="C23" s="115"/>
    </row>
    <row r="24" spans="1:3" s="76" customFormat="1" ht="26.4">
      <c r="A24" s="106">
        <v>19</v>
      </c>
      <c r="B24" s="116" t="s">
        <v>209</v>
      </c>
      <c r="C24" s="115"/>
    </row>
    <row r="25" spans="1:3" s="76" customFormat="1">
      <c r="A25" s="106">
        <v>20</v>
      </c>
      <c r="B25" s="120" t="s">
        <v>231</v>
      </c>
      <c r="C25" s="115"/>
    </row>
    <row r="26" spans="1:3" s="76" customFormat="1">
      <c r="A26" s="106">
        <v>21</v>
      </c>
      <c r="B26" s="120" t="s">
        <v>230</v>
      </c>
      <c r="C26" s="115"/>
    </row>
    <row r="27" spans="1:3" s="76" customFormat="1">
      <c r="A27" s="106">
        <v>22</v>
      </c>
      <c r="B27" s="120" t="s">
        <v>229</v>
      </c>
      <c r="C27" s="115"/>
    </row>
    <row r="28" spans="1:3" s="76" customFormat="1">
      <c r="A28" s="106">
        <v>23</v>
      </c>
      <c r="B28" s="121" t="s">
        <v>228</v>
      </c>
      <c r="C28" s="113">
        <f>C6-C12</f>
        <v>187971414</v>
      </c>
    </row>
    <row r="29" spans="1:3" s="76" customFormat="1">
      <c r="A29" s="122"/>
      <c r="B29" s="123"/>
      <c r="C29" s="115"/>
    </row>
    <row r="30" spans="1:3" s="76" customFormat="1">
      <c r="A30" s="122">
        <v>24</v>
      </c>
      <c r="B30" s="121" t="s">
        <v>227</v>
      </c>
      <c r="C30" s="113">
        <f>C31+C34</f>
        <v>20080900</v>
      </c>
    </row>
    <row r="31" spans="1:3" s="76" customFormat="1">
      <c r="A31" s="122">
        <v>25</v>
      </c>
      <c r="B31" s="111" t="s">
        <v>226</v>
      </c>
      <c r="C31" s="124">
        <f>C32+C33</f>
        <v>20080900</v>
      </c>
    </row>
    <row r="32" spans="1:3" s="76" customFormat="1">
      <c r="A32" s="122">
        <v>26</v>
      </c>
      <c r="B32" s="125" t="s">
        <v>308</v>
      </c>
      <c r="C32" s="115"/>
    </row>
    <row r="33" spans="1:3" s="76" customFormat="1">
      <c r="A33" s="122">
        <v>27</v>
      </c>
      <c r="B33" s="125" t="s">
        <v>225</v>
      </c>
      <c r="C33" s="115">
        <v>20080900</v>
      </c>
    </row>
    <row r="34" spans="1:3" s="76" customFormat="1">
      <c r="A34" s="122">
        <v>28</v>
      </c>
      <c r="B34" s="111" t="s">
        <v>224</v>
      </c>
      <c r="C34" s="115"/>
    </row>
    <row r="35" spans="1:3" s="76" customFormat="1">
      <c r="A35" s="122">
        <v>29</v>
      </c>
      <c r="B35" s="121" t="s">
        <v>223</v>
      </c>
      <c r="C35" s="113">
        <f>SUM(C36:C40)</f>
        <v>0</v>
      </c>
    </row>
    <row r="36" spans="1:3" s="76" customFormat="1">
      <c r="A36" s="122">
        <v>30</v>
      </c>
      <c r="B36" s="116" t="s">
        <v>222</v>
      </c>
      <c r="C36" s="115"/>
    </row>
    <row r="37" spans="1:3" s="76" customFormat="1">
      <c r="A37" s="122">
        <v>31</v>
      </c>
      <c r="B37" s="117" t="s">
        <v>221</v>
      </c>
      <c r="C37" s="115"/>
    </row>
    <row r="38" spans="1:3" s="76" customFormat="1">
      <c r="A38" s="122">
        <v>32</v>
      </c>
      <c r="B38" s="116" t="s">
        <v>220</v>
      </c>
      <c r="C38" s="115"/>
    </row>
    <row r="39" spans="1:3" s="76" customFormat="1" ht="26.4">
      <c r="A39" s="122">
        <v>33</v>
      </c>
      <c r="B39" s="116" t="s">
        <v>209</v>
      </c>
      <c r="C39" s="115"/>
    </row>
    <row r="40" spans="1:3" s="76" customFormat="1">
      <c r="A40" s="122">
        <v>34</v>
      </c>
      <c r="B40" s="120" t="s">
        <v>219</v>
      </c>
      <c r="C40" s="115"/>
    </row>
    <row r="41" spans="1:3" s="76" customFormat="1">
      <c r="A41" s="122">
        <v>35</v>
      </c>
      <c r="B41" s="121" t="s">
        <v>218</v>
      </c>
      <c r="C41" s="113">
        <f>C30-C35</f>
        <v>20080900</v>
      </c>
    </row>
    <row r="42" spans="1:3" s="76" customFormat="1">
      <c r="A42" s="122"/>
      <c r="B42" s="123"/>
      <c r="C42" s="115"/>
    </row>
    <row r="43" spans="1:3" s="76" customFormat="1">
      <c r="A43" s="122">
        <v>36</v>
      </c>
      <c r="B43" s="126" t="s">
        <v>217</v>
      </c>
      <c r="C43" s="113">
        <f>SUM(C44:C46)</f>
        <v>205682249</v>
      </c>
    </row>
    <row r="44" spans="1:3" s="76" customFormat="1">
      <c r="A44" s="122">
        <v>37</v>
      </c>
      <c r="B44" s="111" t="s">
        <v>216</v>
      </c>
      <c r="C44" s="115">
        <v>197392820</v>
      </c>
    </row>
    <row r="45" spans="1:3" s="76" customFormat="1">
      <c r="A45" s="122">
        <v>38</v>
      </c>
      <c r="B45" s="111" t="s">
        <v>215</v>
      </c>
      <c r="C45" s="115"/>
    </row>
    <row r="46" spans="1:3" s="76" customFormat="1">
      <c r="A46" s="122">
        <v>39</v>
      </c>
      <c r="B46" s="111" t="s">
        <v>214</v>
      </c>
      <c r="C46" s="115">
        <v>8289429</v>
      </c>
    </row>
    <row r="47" spans="1:3" s="76" customFormat="1">
      <c r="A47" s="122">
        <v>40</v>
      </c>
      <c r="B47" s="126" t="s">
        <v>213</v>
      </c>
      <c r="C47" s="113">
        <f>SUM(C48:C51)</f>
        <v>0</v>
      </c>
    </row>
    <row r="48" spans="1:3" s="76" customFormat="1">
      <c r="A48" s="122">
        <v>41</v>
      </c>
      <c r="B48" s="116" t="s">
        <v>212</v>
      </c>
      <c r="C48" s="115"/>
    </row>
    <row r="49" spans="1:3" s="76" customFormat="1">
      <c r="A49" s="122">
        <v>42</v>
      </c>
      <c r="B49" s="117" t="s">
        <v>211</v>
      </c>
      <c r="C49" s="115"/>
    </row>
    <row r="50" spans="1:3" s="76" customFormat="1">
      <c r="A50" s="122">
        <v>43</v>
      </c>
      <c r="B50" s="116" t="s">
        <v>210</v>
      </c>
      <c r="C50" s="115"/>
    </row>
    <row r="51" spans="1:3" s="76" customFormat="1" ht="26.4">
      <c r="A51" s="122">
        <v>44</v>
      </c>
      <c r="B51" s="116" t="s">
        <v>209</v>
      </c>
      <c r="C51" s="115"/>
    </row>
    <row r="52" spans="1:3" s="76" customFormat="1" ht="13.8" thickBot="1">
      <c r="A52" s="127">
        <v>45</v>
      </c>
      <c r="B52" s="128" t="s">
        <v>208</v>
      </c>
      <c r="C52" s="129">
        <f>C43-C47</f>
        <v>205682249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" sqref="B2"/>
    </sheetView>
  </sheetViews>
  <sheetFormatPr defaultColWidth="9.109375" defaultRowHeight="13.8"/>
  <cols>
    <col min="1" max="1" width="9.44140625" style="296" bestFit="1" customWidth="1"/>
    <col min="2" max="2" width="59" style="296" customWidth="1"/>
    <col min="3" max="3" width="16.6640625" style="296" bestFit="1" customWidth="1"/>
    <col min="4" max="4" width="14.33203125" style="296" bestFit="1" customWidth="1"/>
    <col min="5" max="16384" width="9.109375" style="296"/>
  </cols>
  <sheetData>
    <row r="1" spans="1:4">
      <c r="A1" s="355" t="s">
        <v>30</v>
      </c>
      <c r="B1" s="356" t="str">
        <f>'Info '!C2</f>
        <v>JSC CARTU BANK</v>
      </c>
    </row>
    <row r="2" spans="1:4" s="263" customFormat="1" ht="15.75" customHeight="1">
      <c r="A2" s="263" t="s">
        <v>31</v>
      </c>
      <c r="B2" s="459">
        <f>'1. key ratios '!B2</f>
        <v>43646</v>
      </c>
    </row>
    <row r="3" spans="1:4" s="263" customFormat="1" ht="15.75" customHeight="1"/>
    <row r="4" spans="1:4" ht="14.4" thickBot="1">
      <c r="A4" s="321" t="s">
        <v>411</v>
      </c>
      <c r="B4" s="364" t="s">
        <v>412</v>
      </c>
    </row>
    <row r="5" spans="1:4" s="365" customFormat="1" ht="12.75" customHeight="1">
      <c r="A5" s="431"/>
      <c r="B5" s="432" t="s">
        <v>415</v>
      </c>
      <c r="C5" s="357" t="s">
        <v>413</v>
      </c>
      <c r="D5" s="358" t="s">
        <v>414</v>
      </c>
    </row>
    <row r="6" spans="1:4" s="366" customFormat="1">
      <c r="A6" s="359">
        <v>1</v>
      </c>
      <c r="B6" s="427" t="s">
        <v>416</v>
      </c>
      <c r="C6" s="427"/>
      <c r="D6" s="360"/>
    </row>
    <row r="7" spans="1:4" s="366" customFormat="1">
      <c r="A7" s="361" t="s">
        <v>402</v>
      </c>
      <c r="B7" s="428" t="s">
        <v>417</v>
      </c>
      <c r="C7" s="484">
        <v>4.4999999999999998E-2</v>
      </c>
      <c r="D7" s="480">
        <f>C7*'5. RWA '!$C$13</f>
        <v>62662362.417407177</v>
      </c>
    </row>
    <row r="8" spans="1:4" s="366" customFormat="1">
      <c r="A8" s="361" t="s">
        <v>403</v>
      </c>
      <c r="B8" s="428" t="s">
        <v>418</v>
      </c>
      <c r="C8" s="485">
        <v>0.06</v>
      </c>
      <c r="D8" s="480">
        <f>C8*'5. RWA '!$C$13</f>
        <v>83549816.556542903</v>
      </c>
    </row>
    <row r="9" spans="1:4" s="366" customFormat="1">
      <c r="A9" s="361" t="s">
        <v>404</v>
      </c>
      <c r="B9" s="428" t="s">
        <v>419</v>
      </c>
      <c r="C9" s="485">
        <v>0.08</v>
      </c>
      <c r="D9" s="480">
        <f>C9*'5. RWA '!$C$13</f>
        <v>111399755.40872388</v>
      </c>
    </row>
    <row r="10" spans="1:4" s="366" customFormat="1">
      <c r="A10" s="359" t="s">
        <v>405</v>
      </c>
      <c r="B10" s="427" t="s">
        <v>420</v>
      </c>
      <c r="C10" s="426"/>
      <c r="D10" s="481"/>
    </row>
    <row r="11" spans="1:4" s="367" customFormat="1">
      <c r="A11" s="362" t="s">
        <v>406</v>
      </c>
      <c r="B11" s="425" t="s">
        <v>421</v>
      </c>
      <c r="C11" s="486">
        <v>2.5000000000000001E-2</v>
      </c>
      <c r="D11" s="480">
        <f>C11*'5. RWA '!$C$13</f>
        <v>34812423.565226212</v>
      </c>
    </row>
    <row r="12" spans="1:4" s="367" customFormat="1">
      <c r="A12" s="362" t="s">
        <v>407</v>
      </c>
      <c r="B12" s="425" t="s">
        <v>422</v>
      </c>
      <c r="C12" s="486">
        <v>0</v>
      </c>
      <c r="D12" s="480">
        <f>C12*'5. RWA '!$C$13</f>
        <v>0</v>
      </c>
    </row>
    <row r="13" spans="1:4" s="367" customFormat="1">
      <c r="A13" s="362" t="s">
        <v>408</v>
      </c>
      <c r="B13" s="425" t="s">
        <v>423</v>
      </c>
      <c r="C13" s="486"/>
      <c r="D13" s="480">
        <f>C13*'5. RWA '!$C$13</f>
        <v>0</v>
      </c>
    </row>
    <row r="14" spans="1:4" s="367" customFormat="1">
      <c r="A14" s="359" t="s">
        <v>409</v>
      </c>
      <c r="B14" s="427" t="s">
        <v>485</v>
      </c>
      <c r="C14" s="487"/>
      <c r="D14" s="481"/>
    </row>
    <row r="15" spans="1:4" s="367" customFormat="1">
      <c r="A15" s="362">
        <v>3.1</v>
      </c>
      <c r="B15" s="425" t="s">
        <v>428</v>
      </c>
      <c r="C15" s="486">
        <v>2.1642808150014153E-2</v>
      </c>
      <c r="D15" s="480">
        <f>C15*'5. RWA '!$C$13</f>
        <v>30137544.178368904</v>
      </c>
    </row>
    <row r="16" spans="1:4" s="367" customFormat="1">
      <c r="A16" s="362">
        <v>3.2</v>
      </c>
      <c r="B16" s="425" t="s">
        <v>429</v>
      </c>
      <c r="C16" s="486">
        <v>2.8925046342073244E-2</v>
      </c>
      <c r="D16" s="480">
        <f>C16*'5. RWA '!$C$13</f>
        <v>40278038.596162029</v>
      </c>
    </row>
    <row r="17" spans="1:6" s="366" customFormat="1">
      <c r="A17" s="362">
        <v>3.3</v>
      </c>
      <c r="B17" s="425" t="s">
        <v>430</v>
      </c>
      <c r="C17" s="486">
        <v>8.8550964515506259E-2</v>
      </c>
      <c r="D17" s="480">
        <f>C17*'5. RWA '!$C$13</f>
        <v>123306947.35292479</v>
      </c>
    </row>
    <row r="18" spans="1:6" s="365" customFormat="1" ht="12.75" customHeight="1">
      <c r="A18" s="429"/>
      <c r="B18" s="430" t="s">
        <v>484</v>
      </c>
      <c r="C18" s="426" t="s">
        <v>413</v>
      </c>
      <c r="D18" s="482" t="s">
        <v>414</v>
      </c>
    </row>
    <row r="19" spans="1:6" s="366" customFormat="1">
      <c r="A19" s="363">
        <v>4</v>
      </c>
      <c r="B19" s="425" t="s">
        <v>424</v>
      </c>
      <c r="C19" s="486">
        <f>C7+C11+C12+C13+C15</f>
        <v>9.164280815001416E-2</v>
      </c>
      <c r="D19" s="480">
        <f>C19*'5. RWA '!$C$13</f>
        <v>127612330.16100229</v>
      </c>
    </row>
    <row r="20" spans="1:6" s="366" customFormat="1">
      <c r="A20" s="363">
        <v>5</v>
      </c>
      <c r="B20" s="425" t="s">
        <v>140</v>
      </c>
      <c r="C20" s="486">
        <f>C8+C11+C12+C13+C16</f>
        <v>0.11392504634207323</v>
      </c>
      <c r="D20" s="480">
        <f>C20*'5. RWA '!$C$13</f>
        <v>158640278.71793112</v>
      </c>
    </row>
    <row r="21" spans="1:6" s="366" customFormat="1" ht="14.4" thickBot="1">
      <c r="A21" s="368" t="s">
        <v>410</v>
      </c>
      <c r="B21" s="369" t="s">
        <v>425</v>
      </c>
      <c r="C21" s="488">
        <f>C9+C11+C12+C13+C17</f>
        <v>0.19355096451550627</v>
      </c>
      <c r="D21" s="483">
        <f>C21*'5. RWA '!$C$13</f>
        <v>269519126.32687491</v>
      </c>
    </row>
    <row r="22" spans="1:6">
      <c r="F22" s="321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ColWidth="9.109375" defaultRowHeight="13.8"/>
  <cols>
    <col min="1" max="1" width="10.6640625" style="4" customWidth="1"/>
    <col min="2" max="2" width="85.21875" style="4" customWidth="1"/>
    <col min="3" max="3" width="36.77734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90" customFormat="1" ht="15.75" customHeight="1">
      <c r="A2" s="2" t="s">
        <v>31</v>
      </c>
      <c r="B2" s="458">
        <f>'1. key ratios '!B2</f>
        <v>43646</v>
      </c>
    </row>
    <row r="3" spans="1:6" s="90" customFormat="1" ht="15.75" customHeight="1">
      <c r="A3" s="130"/>
    </row>
    <row r="4" spans="1:6" s="90" customFormat="1" ht="15.75" customHeight="1" thickBot="1">
      <c r="A4" s="90" t="s">
        <v>86</v>
      </c>
      <c r="B4" s="254" t="s">
        <v>292</v>
      </c>
      <c r="D4" s="48" t="s">
        <v>73</v>
      </c>
    </row>
    <row r="5" spans="1:6" ht="39.6">
      <c r="A5" s="131" t="s">
        <v>6</v>
      </c>
      <c r="B5" s="285" t="s">
        <v>346</v>
      </c>
      <c r="C5" s="132" t="s">
        <v>93</v>
      </c>
      <c r="D5" s="133" t="s">
        <v>94</v>
      </c>
    </row>
    <row r="6" spans="1:6">
      <c r="A6" s="95">
        <v>1</v>
      </c>
      <c r="B6" s="134" t="s">
        <v>35</v>
      </c>
      <c r="C6" s="135">
        <v>32227284</v>
      </c>
      <c r="D6" s="136"/>
      <c r="E6" s="137"/>
    </row>
    <row r="7" spans="1:6">
      <c r="A7" s="95">
        <v>2</v>
      </c>
      <c r="B7" s="138" t="s">
        <v>36</v>
      </c>
      <c r="C7" s="139">
        <v>201785342</v>
      </c>
      <c r="D7" s="140"/>
      <c r="E7" s="137"/>
    </row>
    <row r="8" spans="1:6">
      <c r="A8" s="95">
        <v>3</v>
      </c>
      <c r="B8" s="138" t="s">
        <v>37</v>
      </c>
      <c r="C8" s="139">
        <v>115867115</v>
      </c>
      <c r="D8" s="140"/>
      <c r="E8" s="137"/>
    </row>
    <row r="9" spans="1:6">
      <c r="A9" s="95">
        <v>4</v>
      </c>
      <c r="B9" s="138" t="s">
        <v>38</v>
      </c>
      <c r="C9" s="139">
        <v>0</v>
      </c>
      <c r="D9" s="140"/>
      <c r="E9" s="137"/>
    </row>
    <row r="10" spans="1:6">
      <c r="A10" s="95">
        <v>5</v>
      </c>
      <c r="B10" s="138" t="s">
        <v>39</v>
      </c>
      <c r="C10" s="139">
        <v>28660043</v>
      </c>
      <c r="D10" s="140"/>
      <c r="E10" s="137"/>
    </row>
    <row r="11" spans="1:6" ht="14.4">
      <c r="A11" s="95">
        <v>5.0999999999999996</v>
      </c>
      <c r="B11" s="577" t="s">
        <v>504</v>
      </c>
      <c r="C11" s="139">
        <v>-287910</v>
      </c>
      <c r="D11" s="494" t="s">
        <v>505</v>
      </c>
      <c r="E11" s="137"/>
    </row>
    <row r="12" spans="1:6">
      <c r="A12" s="95">
        <v>5.2</v>
      </c>
      <c r="B12" s="138" t="s">
        <v>520</v>
      </c>
      <c r="C12" s="139">
        <v>28372133</v>
      </c>
      <c r="D12" s="140"/>
      <c r="E12" s="137"/>
    </row>
    <row r="13" spans="1:6" ht="14.4">
      <c r="A13" s="95">
        <v>6.1</v>
      </c>
      <c r="B13" s="255" t="s">
        <v>40</v>
      </c>
      <c r="C13" s="141">
        <v>826831972</v>
      </c>
      <c r="D13" s="142"/>
      <c r="E13" s="143"/>
    </row>
    <row r="14" spans="1:6" ht="14.4">
      <c r="A14" s="95">
        <v>6.2</v>
      </c>
      <c r="B14" s="256" t="s">
        <v>41</v>
      </c>
      <c r="C14" s="578">
        <v>-134204378</v>
      </c>
      <c r="D14" s="142"/>
      <c r="E14" s="143"/>
    </row>
    <row r="15" spans="1:6" ht="14.4">
      <c r="A15" s="95" t="s">
        <v>503</v>
      </c>
      <c r="B15" s="493" t="s">
        <v>504</v>
      </c>
      <c r="C15" s="491">
        <v>-7299504</v>
      </c>
      <c r="D15" s="494" t="s">
        <v>505</v>
      </c>
      <c r="E15" s="143"/>
    </row>
    <row r="16" spans="1:6">
      <c r="A16" s="95">
        <v>6</v>
      </c>
      <c r="B16" s="138" t="s">
        <v>42</v>
      </c>
      <c r="C16" s="144">
        <f>C13+C14</f>
        <v>692627594</v>
      </c>
      <c r="D16" s="142"/>
      <c r="E16" s="137"/>
    </row>
    <row r="17" spans="1:5">
      <c r="A17" s="95">
        <v>7</v>
      </c>
      <c r="B17" s="138" t="s">
        <v>43</v>
      </c>
      <c r="C17" s="139">
        <v>6219125</v>
      </c>
      <c r="D17" s="140"/>
      <c r="E17" s="137"/>
    </row>
    <row r="18" spans="1:5">
      <c r="A18" s="95">
        <v>8</v>
      </c>
      <c r="B18" s="283" t="s">
        <v>204</v>
      </c>
      <c r="C18" s="139">
        <v>24630937</v>
      </c>
      <c r="D18" s="140"/>
      <c r="E18" s="137"/>
    </row>
    <row r="19" spans="1:5">
      <c r="A19" s="95">
        <v>9</v>
      </c>
      <c r="B19" s="138" t="s">
        <v>44</v>
      </c>
      <c r="C19" s="489">
        <f>SUM(C20:C23)</f>
        <v>4883540</v>
      </c>
      <c r="D19" s="140"/>
      <c r="E19" s="137"/>
    </row>
    <row r="20" spans="1:5" ht="14.4">
      <c r="A20" s="95">
        <v>9.1</v>
      </c>
      <c r="B20" s="145" t="s">
        <v>89</v>
      </c>
      <c r="C20" s="579">
        <v>9372300</v>
      </c>
      <c r="D20" s="495"/>
      <c r="E20" s="137"/>
    </row>
    <row r="21" spans="1:5" ht="14.4">
      <c r="A21" s="95">
        <v>9.1999999999999993</v>
      </c>
      <c r="B21" s="145" t="s">
        <v>506</v>
      </c>
      <c r="C21" s="492">
        <v>-4544620</v>
      </c>
      <c r="D21" s="495"/>
      <c r="E21" s="137"/>
    </row>
    <row r="22" spans="1:5" ht="14.4">
      <c r="A22" s="95">
        <v>9.3000000000000007</v>
      </c>
      <c r="B22" s="145" t="s">
        <v>274</v>
      </c>
      <c r="C22" s="579">
        <v>57000</v>
      </c>
      <c r="D22" s="495"/>
      <c r="E22" s="137"/>
    </row>
    <row r="23" spans="1:5" ht="14.4">
      <c r="A23" s="95">
        <v>9.4</v>
      </c>
      <c r="B23" s="257" t="s">
        <v>507</v>
      </c>
      <c r="C23" s="490">
        <v>-1140</v>
      </c>
      <c r="D23" s="494" t="s">
        <v>505</v>
      </c>
      <c r="E23" s="137"/>
    </row>
    <row r="24" spans="1:5">
      <c r="A24" s="95">
        <v>10</v>
      </c>
      <c r="B24" s="138" t="s">
        <v>45</v>
      </c>
      <c r="C24" s="139">
        <v>17593376</v>
      </c>
      <c r="D24" s="140"/>
      <c r="E24" s="137"/>
    </row>
    <row r="25" spans="1:5">
      <c r="A25" s="496">
        <v>10.1</v>
      </c>
      <c r="B25" s="154" t="s">
        <v>90</v>
      </c>
      <c r="C25" s="147">
        <v>4905563</v>
      </c>
      <c r="D25" s="497" t="s">
        <v>92</v>
      </c>
      <c r="E25" s="137"/>
    </row>
    <row r="26" spans="1:5">
      <c r="A26" s="498">
        <v>11</v>
      </c>
      <c r="B26" s="499" t="s">
        <v>46</v>
      </c>
      <c r="C26" s="500">
        <v>26728922</v>
      </c>
      <c r="D26" s="501"/>
      <c r="E26" s="151"/>
    </row>
    <row r="27" spans="1:5" ht="14.4">
      <c r="A27" s="498"/>
      <c r="B27" s="502" t="s">
        <v>504</v>
      </c>
      <c r="C27" s="500">
        <v>0</v>
      </c>
      <c r="D27" s="494" t="s">
        <v>505</v>
      </c>
      <c r="E27" s="137"/>
    </row>
    <row r="28" spans="1:5">
      <c r="A28" s="498"/>
      <c r="B28" s="502" t="s">
        <v>508</v>
      </c>
      <c r="C28" s="500">
        <v>-627855</v>
      </c>
      <c r="D28" s="501"/>
      <c r="E28" s="137"/>
    </row>
    <row r="29" spans="1:5">
      <c r="A29" s="498"/>
      <c r="B29" s="499" t="s">
        <v>509</v>
      </c>
      <c r="C29" s="500">
        <v>26101067</v>
      </c>
      <c r="D29" s="501"/>
      <c r="E29" s="137"/>
    </row>
    <row r="30" spans="1:5">
      <c r="A30" s="95">
        <v>12</v>
      </c>
      <c r="B30" s="148" t="s">
        <v>47</v>
      </c>
      <c r="C30" s="149">
        <f>SUM(C6:C9,C12,C16:C19,C24,C29)</f>
        <v>1150307513</v>
      </c>
      <c r="D30" s="150"/>
      <c r="E30" s="137"/>
    </row>
    <row r="31" spans="1:5">
      <c r="A31" s="95">
        <v>13</v>
      </c>
      <c r="B31" s="138" t="s">
        <v>49</v>
      </c>
      <c r="C31" s="152">
        <v>7327065</v>
      </c>
      <c r="D31" s="153"/>
      <c r="E31" s="137"/>
    </row>
    <row r="32" spans="1:5">
      <c r="A32" s="95">
        <v>14</v>
      </c>
      <c r="B32" s="138" t="s">
        <v>50</v>
      </c>
      <c r="C32" s="139">
        <v>312766075</v>
      </c>
      <c r="D32" s="140"/>
      <c r="E32" s="137"/>
    </row>
    <row r="33" spans="1:5">
      <c r="A33" s="95">
        <v>15</v>
      </c>
      <c r="B33" s="138" t="s">
        <v>51</v>
      </c>
      <c r="C33" s="139">
        <v>48840356</v>
      </c>
      <c r="D33" s="140"/>
      <c r="E33" s="137"/>
    </row>
    <row r="34" spans="1:5">
      <c r="A34" s="95">
        <v>16</v>
      </c>
      <c r="B34" s="138" t="s">
        <v>52</v>
      </c>
      <c r="C34" s="139">
        <v>339324044</v>
      </c>
      <c r="D34" s="140"/>
      <c r="E34" s="137"/>
    </row>
    <row r="35" spans="1:5">
      <c r="A35" s="95">
        <v>17</v>
      </c>
      <c r="B35" s="138" t="s">
        <v>53</v>
      </c>
      <c r="C35" s="139">
        <v>0</v>
      </c>
      <c r="D35" s="140"/>
      <c r="E35" s="137"/>
    </row>
    <row r="36" spans="1:5">
      <c r="A36" s="95">
        <v>18</v>
      </c>
      <c r="B36" s="138" t="s">
        <v>54</v>
      </c>
      <c r="C36" s="139">
        <v>0</v>
      </c>
      <c r="D36" s="140"/>
      <c r="E36" s="137"/>
    </row>
    <row r="37" spans="1:5">
      <c r="A37" s="95">
        <v>19</v>
      </c>
      <c r="B37" s="138" t="s">
        <v>55</v>
      </c>
      <c r="C37" s="139">
        <v>13379481</v>
      </c>
      <c r="D37" s="140"/>
      <c r="E37" s="151"/>
    </row>
    <row r="38" spans="1:5">
      <c r="A38" s="95">
        <v>20</v>
      </c>
      <c r="B38" s="138" t="s">
        <v>56</v>
      </c>
      <c r="C38" s="139">
        <v>18319795</v>
      </c>
      <c r="D38" s="140"/>
      <c r="E38" s="137"/>
    </row>
    <row r="39" spans="1:5" ht="14.4">
      <c r="A39" s="95">
        <v>20.100000000000001</v>
      </c>
      <c r="B39" s="503" t="s">
        <v>510</v>
      </c>
      <c r="C39" s="491">
        <v>700875</v>
      </c>
      <c r="D39" s="494" t="s">
        <v>505</v>
      </c>
      <c r="E39" s="137"/>
    </row>
    <row r="40" spans="1:5" ht="14.4">
      <c r="A40" s="95">
        <v>21</v>
      </c>
      <c r="B40" s="146" t="s">
        <v>57</v>
      </c>
      <c r="C40" s="147">
        <v>216873720</v>
      </c>
      <c r="D40" s="495"/>
      <c r="E40" s="137"/>
    </row>
    <row r="41" spans="1:5" ht="14.4">
      <c r="A41" s="95">
        <v>21.1</v>
      </c>
      <c r="B41" s="154" t="s">
        <v>91</v>
      </c>
      <c r="C41" s="155">
        <v>216873720</v>
      </c>
      <c r="D41" s="494" t="s">
        <v>511</v>
      </c>
      <c r="E41" s="137"/>
    </row>
    <row r="42" spans="1:5">
      <c r="A42" s="95">
        <v>22</v>
      </c>
      <c r="B42" s="148" t="s">
        <v>58</v>
      </c>
      <c r="C42" s="149">
        <f>SUM(C31:C38,C40)</f>
        <v>956830536</v>
      </c>
      <c r="D42" s="150"/>
      <c r="E42" s="137"/>
    </row>
    <row r="43" spans="1:5" ht="14.4">
      <c r="A43" s="95">
        <v>23</v>
      </c>
      <c r="B43" s="146" t="s">
        <v>60</v>
      </c>
      <c r="C43" s="139">
        <v>114430000</v>
      </c>
      <c r="D43" s="494" t="s">
        <v>512</v>
      </c>
      <c r="E43" s="137"/>
    </row>
    <row r="44" spans="1:5">
      <c r="A44" s="95">
        <v>24</v>
      </c>
      <c r="B44" s="146" t="s">
        <v>61</v>
      </c>
      <c r="C44" s="139">
        <v>0</v>
      </c>
      <c r="D44" s="140"/>
      <c r="E44" s="137"/>
    </row>
    <row r="45" spans="1:5">
      <c r="A45" s="95">
        <v>25</v>
      </c>
      <c r="B45" s="146" t="s">
        <v>62</v>
      </c>
      <c r="C45" s="139">
        <v>0</v>
      </c>
      <c r="D45" s="140"/>
      <c r="E45" s="151"/>
    </row>
    <row r="46" spans="1:5">
      <c r="A46" s="95">
        <v>26</v>
      </c>
      <c r="B46" s="146" t="s">
        <v>63</v>
      </c>
      <c r="C46" s="139">
        <v>0</v>
      </c>
      <c r="D46" s="140"/>
    </row>
    <row r="47" spans="1:5">
      <c r="A47" s="95">
        <v>27</v>
      </c>
      <c r="B47" s="146" t="s">
        <v>64</v>
      </c>
      <c r="C47" s="139">
        <v>7438034</v>
      </c>
      <c r="D47" s="140"/>
    </row>
    <row r="48" spans="1:5" ht="14.4">
      <c r="A48" s="95">
        <v>27.1</v>
      </c>
      <c r="B48" s="504" t="s">
        <v>513</v>
      </c>
      <c r="C48" s="490">
        <v>6838034</v>
      </c>
      <c r="D48" s="494" t="s">
        <v>514</v>
      </c>
    </row>
    <row r="49" spans="1:4" ht="14.4">
      <c r="A49" s="95">
        <v>27.2</v>
      </c>
      <c r="B49" s="504" t="s">
        <v>515</v>
      </c>
      <c r="C49" s="490">
        <v>600000</v>
      </c>
      <c r="D49" s="494" t="s">
        <v>511</v>
      </c>
    </row>
    <row r="50" spans="1:4" ht="14.4">
      <c r="A50" s="95">
        <v>28</v>
      </c>
      <c r="B50" s="146" t="s">
        <v>65</v>
      </c>
      <c r="C50" s="139">
        <v>71608943</v>
      </c>
      <c r="D50" s="494" t="s">
        <v>516</v>
      </c>
    </row>
    <row r="51" spans="1:4">
      <c r="A51" s="95">
        <v>29</v>
      </c>
      <c r="B51" s="146" t="s">
        <v>66</v>
      </c>
      <c r="C51" s="139">
        <v>0</v>
      </c>
      <c r="D51" s="140"/>
    </row>
    <row r="52" spans="1:4" ht="14.4" thickBot="1">
      <c r="A52" s="156">
        <v>30</v>
      </c>
      <c r="B52" s="157" t="s">
        <v>272</v>
      </c>
      <c r="C52" s="158">
        <f>SUM(C43:C47,C50:C51)</f>
        <v>193476977</v>
      </c>
      <c r="D52" s="15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2"/>
  <cols>
    <col min="1" max="1" width="10.5546875" style="4" bestFit="1" customWidth="1"/>
    <col min="2" max="2" width="71.3320312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46" bestFit="1" customWidth="1"/>
    <col min="17" max="17" width="14.6640625" style="46" customWidth="1"/>
    <col min="18" max="18" width="13" style="46" bestFit="1" customWidth="1"/>
    <col min="19" max="19" width="26.88671875" style="46" customWidth="1"/>
    <col min="20" max="16384" width="9.109375" style="46"/>
  </cols>
  <sheetData>
    <row r="1" spans="1:19">
      <c r="A1" s="2" t="s">
        <v>30</v>
      </c>
      <c r="B1" s="4" t="str">
        <f>'Info '!C2</f>
        <v>JSC CARTU BANK</v>
      </c>
    </row>
    <row r="2" spans="1:19">
      <c r="A2" s="2" t="s">
        <v>31</v>
      </c>
      <c r="B2" s="455">
        <f>'1. key ratios '!B2</f>
        <v>43646</v>
      </c>
    </row>
    <row r="4" spans="1:19" ht="27" thickBot="1">
      <c r="A4" s="4" t="s">
        <v>254</v>
      </c>
      <c r="B4" s="307" t="s">
        <v>381</v>
      </c>
    </row>
    <row r="5" spans="1:19" s="293" customFormat="1" ht="13.8">
      <c r="A5" s="288"/>
      <c r="B5" s="289"/>
      <c r="C5" s="290" t="s">
        <v>0</v>
      </c>
      <c r="D5" s="290" t="s">
        <v>1</v>
      </c>
      <c r="E5" s="290" t="s">
        <v>2</v>
      </c>
      <c r="F5" s="290" t="s">
        <v>3</v>
      </c>
      <c r="G5" s="290" t="s">
        <v>4</v>
      </c>
      <c r="H5" s="290" t="s">
        <v>5</v>
      </c>
      <c r="I5" s="290" t="s">
        <v>8</v>
      </c>
      <c r="J5" s="290" t="s">
        <v>9</v>
      </c>
      <c r="K5" s="290" t="s">
        <v>10</v>
      </c>
      <c r="L5" s="290" t="s">
        <v>11</v>
      </c>
      <c r="M5" s="290" t="s">
        <v>12</v>
      </c>
      <c r="N5" s="290" t="s">
        <v>13</v>
      </c>
      <c r="O5" s="290" t="s">
        <v>364</v>
      </c>
      <c r="P5" s="290" t="s">
        <v>365</v>
      </c>
      <c r="Q5" s="290" t="s">
        <v>366</v>
      </c>
      <c r="R5" s="291" t="s">
        <v>367</v>
      </c>
      <c r="S5" s="292" t="s">
        <v>368</v>
      </c>
    </row>
    <row r="6" spans="1:19" s="293" customFormat="1" ht="99" customHeight="1">
      <c r="A6" s="294"/>
      <c r="B6" s="549" t="s">
        <v>369</v>
      </c>
      <c r="C6" s="545">
        <v>0</v>
      </c>
      <c r="D6" s="546"/>
      <c r="E6" s="545">
        <v>0.2</v>
      </c>
      <c r="F6" s="546"/>
      <c r="G6" s="545">
        <v>0.35</v>
      </c>
      <c r="H6" s="546"/>
      <c r="I6" s="545">
        <v>0.5</v>
      </c>
      <c r="J6" s="546"/>
      <c r="K6" s="545">
        <v>0.75</v>
      </c>
      <c r="L6" s="546"/>
      <c r="M6" s="545">
        <v>1</v>
      </c>
      <c r="N6" s="546"/>
      <c r="O6" s="545">
        <v>1.5</v>
      </c>
      <c r="P6" s="546"/>
      <c r="Q6" s="545">
        <v>2.5</v>
      </c>
      <c r="R6" s="546"/>
      <c r="S6" s="547" t="s">
        <v>253</v>
      </c>
    </row>
    <row r="7" spans="1:19" s="293" customFormat="1" ht="30.75" customHeight="1">
      <c r="A7" s="294"/>
      <c r="B7" s="550"/>
      <c r="C7" s="284" t="s">
        <v>256</v>
      </c>
      <c r="D7" s="284" t="s">
        <v>255</v>
      </c>
      <c r="E7" s="284" t="s">
        <v>256</v>
      </c>
      <c r="F7" s="284" t="s">
        <v>255</v>
      </c>
      <c r="G7" s="284" t="s">
        <v>256</v>
      </c>
      <c r="H7" s="284" t="s">
        <v>255</v>
      </c>
      <c r="I7" s="284" t="s">
        <v>256</v>
      </c>
      <c r="J7" s="284" t="s">
        <v>255</v>
      </c>
      <c r="K7" s="284" t="s">
        <v>256</v>
      </c>
      <c r="L7" s="284" t="s">
        <v>255</v>
      </c>
      <c r="M7" s="284" t="s">
        <v>256</v>
      </c>
      <c r="N7" s="284" t="s">
        <v>255</v>
      </c>
      <c r="O7" s="284" t="s">
        <v>256</v>
      </c>
      <c r="P7" s="284" t="s">
        <v>255</v>
      </c>
      <c r="Q7" s="284" t="s">
        <v>256</v>
      </c>
      <c r="R7" s="284" t="s">
        <v>255</v>
      </c>
      <c r="S7" s="548"/>
    </row>
    <row r="8" spans="1:19" s="162" customFormat="1">
      <c r="A8" s="160">
        <v>1</v>
      </c>
      <c r="B8" s="1" t="s">
        <v>96</v>
      </c>
      <c r="C8" s="161">
        <v>15663142</v>
      </c>
      <c r="D8" s="161"/>
      <c r="E8" s="161"/>
      <c r="F8" s="161"/>
      <c r="G8" s="161"/>
      <c r="H8" s="161"/>
      <c r="I8" s="161"/>
      <c r="J8" s="161"/>
      <c r="K8" s="161"/>
      <c r="L8" s="161"/>
      <c r="M8" s="161">
        <v>200504434</v>
      </c>
      <c r="N8" s="161"/>
      <c r="O8" s="161"/>
      <c r="P8" s="161"/>
      <c r="Q8" s="161"/>
      <c r="R8" s="161"/>
      <c r="S8" s="308">
        <f>$C$6*SUM(C8:D8)+$E$6*SUM(E8:F8)+$G$6*SUM(G8:H8)+$I$6*SUM(I8:J8)+$K$6*SUM(K8:L8)+$M$6*SUM(M8:N8)+$O$6*SUM(O8:P8)+$Q$6*SUM(Q8:R8)</f>
        <v>200504434</v>
      </c>
    </row>
    <row r="9" spans="1:19" s="162" customFormat="1">
      <c r="A9" s="160">
        <v>2</v>
      </c>
      <c r="B9" s="1" t="s">
        <v>97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>
        <v>0</v>
      </c>
      <c r="N9" s="161"/>
      <c r="O9" s="161"/>
      <c r="P9" s="161"/>
      <c r="Q9" s="161"/>
      <c r="R9" s="161"/>
      <c r="S9" s="308">
        <f t="shared" ref="S9:S21" si="0">$C$6*SUM(C9:D9)+$E$6*SUM(E9:F9)+$G$6*SUM(G9:H9)+$I$6*SUM(I9:J9)+$K$6*SUM(K9:L9)+$M$6*SUM(M9:N9)+$O$6*SUM(O9:P9)+$Q$6*SUM(Q9:R9)</f>
        <v>0</v>
      </c>
    </row>
    <row r="10" spans="1:19" s="162" customFormat="1">
      <c r="A10" s="160">
        <v>3</v>
      </c>
      <c r="B10" s="1" t="s">
        <v>275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>
        <v>0</v>
      </c>
      <c r="N10" s="161"/>
      <c r="O10" s="161"/>
      <c r="P10" s="161"/>
      <c r="Q10" s="161"/>
      <c r="R10" s="161"/>
      <c r="S10" s="308">
        <f t="shared" si="0"/>
        <v>0</v>
      </c>
    </row>
    <row r="11" spans="1:19" s="162" customFormat="1">
      <c r="A11" s="160">
        <v>4</v>
      </c>
      <c r="B11" s="1" t="s">
        <v>98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>
        <v>0</v>
      </c>
      <c r="N11" s="161"/>
      <c r="O11" s="161"/>
      <c r="P11" s="161"/>
      <c r="Q11" s="161"/>
      <c r="R11" s="161"/>
      <c r="S11" s="308">
        <f t="shared" si="0"/>
        <v>0</v>
      </c>
    </row>
    <row r="12" spans="1:19" s="162" customFormat="1">
      <c r="A12" s="160">
        <v>5</v>
      </c>
      <c r="B12" s="1" t="s">
        <v>99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>
        <v>0</v>
      </c>
      <c r="N12" s="161"/>
      <c r="O12" s="161"/>
      <c r="P12" s="161"/>
      <c r="Q12" s="161"/>
      <c r="R12" s="161"/>
      <c r="S12" s="308">
        <f t="shared" si="0"/>
        <v>0</v>
      </c>
    </row>
    <row r="13" spans="1:19" s="162" customFormat="1">
      <c r="A13" s="160">
        <v>6</v>
      </c>
      <c r="B13" s="1" t="s">
        <v>100</v>
      </c>
      <c r="C13" s="161">
        <v>0</v>
      </c>
      <c r="D13" s="161"/>
      <c r="E13" s="161">
        <v>44897417.499999993</v>
      </c>
      <c r="F13" s="161"/>
      <c r="G13" s="161"/>
      <c r="H13" s="161"/>
      <c r="I13" s="161">
        <v>62495071.039999992</v>
      </c>
      <c r="J13" s="161"/>
      <c r="K13" s="161"/>
      <c r="L13" s="161"/>
      <c r="M13" s="161">
        <v>8663939.4600000083</v>
      </c>
      <c r="N13" s="161"/>
      <c r="O13" s="161">
        <v>0</v>
      </c>
      <c r="P13" s="161"/>
      <c r="Q13" s="161"/>
      <c r="R13" s="161"/>
      <c r="S13" s="308">
        <f t="shared" si="0"/>
        <v>48890958.480000004</v>
      </c>
    </row>
    <row r="14" spans="1:19" s="162" customFormat="1">
      <c r="A14" s="160">
        <v>7</v>
      </c>
      <c r="B14" s="1" t="s">
        <v>101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v>560107122.54775321</v>
      </c>
      <c r="N14" s="161">
        <v>64752463.911960073</v>
      </c>
      <c r="O14" s="161"/>
      <c r="P14" s="161"/>
      <c r="Q14" s="161">
        <v>0</v>
      </c>
      <c r="R14" s="161">
        <v>0</v>
      </c>
      <c r="S14" s="308">
        <f t="shared" si="0"/>
        <v>624859586.45971334</v>
      </c>
    </row>
    <row r="15" spans="1:19" s="162" customFormat="1">
      <c r="A15" s="160">
        <v>8</v>
      </c>
      <c r="B15" s="1" t="s">
        <v>102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>
        <v>0</v>
      </c>
      <c r="N15" s="161"/>
      <c r="O15" s="161"/>
      <c r="P15" s="161"/>
      <c r="Q15" s="161"/>
      <c r="R15" s="161"/>
      <c r="S15" s="308">
        <f t="shared" si="0"/>
        <v>0</v>
      </c>
    </row>
    <row r="16" spans="1:19" s="162" customFormat="1">
      <c r="A16" s="160">
        <v>9</v>
      </c>
      <c r="B16" s="1" t="s">
        <v>103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>
        <v>0</v>
      </c>
      <c r="N16" s="161"/>
      <c r="O16" s="161"/>
      <c r="P16" s="161"/>
      <c r="Q16" s="161"/>
      <c r="R16" s="161"/>
      <c r="S16" s="308">
        <f t="shared" si="0"/>
        <v>0</v>
      </c>
    </row>
    <row r="17" spans="1:19" s="162" customFormat="1">
      <c r="A17" s="160">
        <v>10</v>
      </c>
      <c r="B17" s="1" t="s">
        <v>104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>
        <v>82018244.055691317</v>
      </c>
      <c r="N17" s="161">
        <v>29166.060000002384</v>
      </c>
      <c r="O17" s="161">
        <v>0</v>
      </c>
      <c r="P17" s="161"/>
      <c r="Q17" s="161">
        <v>46661331.977960005</v>
      </c>
      <c r="R17" s="161"/>
      <c r="S17" s="308">
        <f t="shared" si="0"/>
        <v>198700740.06059134</v>
      </c>
    </row>
    <row r="18" spans="1:19" s="162" customFormat="1">
      <c r="A18" s="160">
        <v>11</v>
      </c>
      <c r="B18" s="1" t="s">
        <v>105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>
        <v>0</v>
      </c>
      <c r="N18" s="161"/>
      <c r="O18" s="161"/>
      <c r="P18" s="161"/>
      <c r="Q18" s="161"/>
      <c r="R18" s="161"/>
      <c r="S18" s="308">
        <f t="shared" si="0"/>
        <v>0</v>
      </c>
    </row>
    <row r="19" spans="1:19" s="162" customFormat="1">
      <c r="A19" s="160">
        <v>12</v>
      </c>
      <c r="B19" s="1" t="s">
        <v>106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>
        <v>0</v>
      </c>
      <c r="N19" s="161"/>
      <c r="O19" s="161"/>
      <c r="P19" s="161"/>
      <c r="Q19" s="161"/>
      <c r="R19" s="161"/>
      <c r="S19" s="308">
        <f t="shared" si="0"/>
        <v>0</v>
      </c>
    </row>
    <row r="20" spans="1:19" s="162" customFormat="1">
      <c r="A20" s="160">
        <v>13</v>
      </c>
      <c r="B20" s="1" t="s">
        <v>252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v>0</v>
      </c>
      <c r="N20" s="161"/>
      <c r="O20" s="161"/>
      <c r="P20" s="161"/>
      <c r="Q20" s="161"/>
      <c r="R20" s="161"/>
      <c r="S20" s="308">
        <f t="shared" si="0"/>
        <v>0</v>
      </c>
    </row>
    <row r="21" spans="1:19" s="162" customFormat="1">
      <c r="A21" s="160">
        <v>14</v>
      </c>
      <c r="B21" s="1" t="s">
        <v>108</v>
      </c>
      <c r="C21" s="161">
        <v>38678663</v>
      </c>
      <c r="D21" s="161"/>
      <c r="E21" s="161">
        <v>0</v>
      </c>
      <c r="F21" s="161"/>
      <c r="G21" s="161"/>
      <c r="H21" s="161">
        <v>0</v>
      </c>
      <c r="I21" s="161">
        <v>0</v>
      </c>
      <c r="J21" s="161"/>
      <c r="K21" s="161"/>
      <c r="L21" s="161"/>
      <c r="M21" s="161">
        <v>62979054.757796012</v>
      </c>
      <c r="N21" s="161">
        <v>928443.73499999964</v>
      </c>
      <c r="O21" s="161">
        <v>0</v>
      </c>
      <c r="P21" s="161"/>
      <c r="Q21" s="161">
        <v>30322081.004999999</v>
      </c>
      <c r="R21" s="161"/>
      <c r="S21" s="308">
        <f t="shared" si="0"/>
        <v>139712701.00529602</v>
      </c>
    </row>
    <row r="22" spans="1:19" ht="13.8" thickBot="1">
      <c r="A22" s="163"/>
      <c r="B22" s="164" t="s">
        <v>109</v>
      </c>
      <c r="C22" s="165">
        <f>SUM(C8:C21)</f>
        <v>54341805</v>
      </c>
      <c r="D22" s="165">
        <f t="shared" ref="D22:J22" si="1">SUM(D8:D21)</f>
        <v>0</v>
      </c>
      <c r="E22" s="165">
        <f t="shared" si="1"/>
        <v>44897417.499999993</v>
      </c>
      <c r="F22" s="165">
        <f t="shared" si="1"/>
        <v>0</v>
      </c>
      <c r="G22" s="165">
        <f t="shared" si="1"/>
        <v>0</v>
      </c>
      <c r="H22" s="165">
        <f t="shared" si="1"/>
        <v>0</v>
      </c>
      <c r="I22" s="165">
        <f t="shared" si="1"/>
        <v>62495071.039999992</v>
      </c>
      <c r="J22" s="165">
        <f t="shared" si="1"/>
        <v>0</v>
      </c>
      <c r="K22" s="165">
        <f t="shared" ref="K22:S22" si="2">SUM(K8:K21)</f>
        <v>0</v>
      </c>
      <c r="L22" s="165">
        <f t="shared" si="2"/>
        <v>0</v>
      </c>
      <c r="M22" s="165">
        <f t="shared" si="2"/>
        <v>914272794.82124066</v>
      </c>
      <c r="N22" s="165">
        <f t="shared" si="2"/>
        <v>65710073.706960075</v>
      </c>
      <c r="O22" s="165">
        <f t="shared" si="2"/>
        <v>0</v>
      </c>
      <c r="P22" s="165">
        <f t="shared" si="2"/>
        <v>0</v>
      </c>
      <c r="Q22" s="165">
        <f t="shared" si="2"/>
        <v>76983412.982960001</v>
      </c>
      <c r="R22" s="165">
        <f t="shared" si="2"/>
        <v>0</v>
      </c>
      <c r="S22" s="309">
        <f t="shared" si="2"/>
        <v>1212668420.0056007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N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46"/>
  </cols>
  <sheetData>
    <row r="1" spans="1:22">
      <c r="A1" s="2" t="s">
        <v>30</v>
      </c>
      <c r="B1" s="4" t="str">
        <f>'Info '!C2</f>
        <v>JSC CARTU BANK</v>
      </c>
    </row>
    <row r="2" spans="1:22">
      <c r="A2" s="2" t="s">
        <v>31</v>
      </c>
      <c r="B2" s="455">
        <f>'1. key ratios '!B2</f>
        <v>43646</v>
      </c>
    </row>
    <row r="4" spans="1:22" ht="13.8" thickBot="1">
      <c r="A4" s="4" t="s">
        <v>372</v>
      </c>
      <c r="B4" s="166" t="s">
        <v>95</v>
      </c>
      <c r="V4" s="48" t="s">
        <v>73</v>
      </c>
    </row>
    <row r="5" spans="1:22" ht="12.75" customHeight="1">
      <c r="A5" s="167"/>
      <c r="B5" s="168"/>
      <c r="C5" s="551" t="s">
        <v>283</v>
      </c>
      <c r="D5" s="552"/>
      <c r="E5" s="552"/>
      <c r="F5" s="552"/>
      <c r="G5" s="552"/>
      <c r="H5" s="552"/>
      <c r="I5" s="552"/>
      <c r="J5" s="552"/>
      <c r="K5" s="552"/>
      <c r="L5" s="553"/>
      <c r="M5" s="554" t="s">
        <v>284</v>
      </c>
      <c r="N5" s="555"/>
      <c r="O5" s="555"/>
      <c r="P5" s="555"/>
      <c r="Q5" s="555"/>
      <c r="R5" s="555"/>
      <c r="S5" s="556"/>
      <c r="T5" s="559" t="s">
        <v>370</v>
      </c>
      <c r="U5" s="559" t="s">
        <v>371</v>
      </c>
      <c r="V5" s="557" t="s">
        <v>121</v>
      </c>
    </row>
    <row r="6" spans="1:22" s="101" customFormat="1" ht="105.6">
      <c r="A6" s="98"/>
      <c r="B6" s="169"/>
      <c r="C6" s="170" t="s">
        <v>110</v>
      </c>
      <c r="D6" s="260" t="s">
        <v>111</v>
      </c>
      <c r="E6" s="197" t="s">
        <v>286</v>
      </c>
      <c r="F6" s="197" t="s">
        <v>287</v>
      </c>
      <c r="G6" s="260" t="s">
        <v>290</v>
      </c>
      <c r="H6" s="260" t="s">
        <v>285</v>
      </c>
      <c r="I6" s="260" t="s">
        <v>112</v>
      </c>
      <c r="J6" s="260" t="s">
        <v>113</v>
      </c>
      <c r="K6" s="171" t="s">
        <v>114</v>
      </c>
      <c r="L6" s="172" t="s">
        <v>115</v>
      </c>
      <c r="M6" s="170" t="s">
        <v>288</v>
      </c>
      <c r="N6" s="171" t="s">
        <v>116</v>
      </c>
      <c r="O6" s="171" t="s">
        <v>117</v>
      </c>
      <c r="P6" s="171" t="s">
        <v>118</v>
      </c>
      <c r="Q6" s="171" t="s">
        <v>119</v>
      </c>
      <c r="R6" s="171" t="s">
        <v>120</v>
      </c>
      <c r="S6" s="286" t="s">
        <v>289</v>
      </c>
      <c r="T6" s="560"/>
      <c r="U6" s="560"/>
      <c r="V6" s="558"/>
    </row>
    <row r="7" spans="1:22" s="162" customFormat="1">
      <c r="A7" s="173">
        <v>1</v>
      </c>
      <c r="B7" s="1" t="s">
        <v>96</v>
      </c>
      <c r="C7" s="174"/>
      <c r="D7" s="161"/>
      <c r="E7" s="161"/>
      <c r="F7" s="161"/>
      <c r="G7" s="161"/>
      <c r="H7" s="161"/>
      <c r="I7" s="161"/>
      <c r="J7" s="161"/>
      <c r="K7" s="161"/>
      <c r="L7" s="175"/>
      <c r="M7" s="174"/>
      <c r="N7" s="161"/>
      <c r="O7" s="161"/>
      <c r="P7" s="161"/>
      <c r="Q7" s="161"/>
      <c r="R7" s="161"/>
      <c r="S7" s="175"/>
      <c r="T7" s="295"/>
      <c r="U7" s="295"/>
      <c r="V7" s="176">
        <f>SUM(C7:S7)</f>
        <v>0</v>
      </c>
    </row>
    <row r="8" spans="1:22" s="162" customFormat="1">
      <c r="A8" s="173">
        <v>2</v>
      </c>
      <c r="B8" s="1" t="s">
        <v>97</v>
      </c>
      <c r="C8" s="174"/>
      <c r="D8" s="161"/>
      <c r="E8" s="161"/>
      <c r="F8" s="161"/>
      <c r="G8" s="161"/>
      <c r="H8" s="161"/>
      <c r="I8" s="161"/>
      <c r="J8" s="161"/>
      <c r="K8" s="161"/>
      <c r="L8" s="175"/>
      <c r="M8" s="174"/>
      <c r="N8" s="161"/>
      <c r="O8" s="161"/>
      <c r="P8" s="161"/>
      <c r="Q8" s="161"/>
      <c r="R8" s="161"/>
      <c r="S8" s="175"/>
      <c r="T8" s="295"/>
      <c r="U8" s="295"/>
      <c r="V8" s="176">
        <f t="shared" ref="V8:V20" si="0">SUM(C8:S8)</f>
        <v>0</v>
      </c>
    </row>
    <row r="9" spans="1:22" s="162" customFormat="1">
      <c r="A9" s="173">
        <v>3</v>
      </c>
      <c r="B9" s="1" t="s">
        <v>276</v>
      </c>
      <c r="C9" s="174"/>
      <c r="D9" s="161"/>
      <c r="E9" s="161"/>
      <c r="F9" s="161"/>
      <c r="G9" s="161"/>
      <c r="H9" s="161"/>
      <c r="I9" s="161"/>
      <c r="J9" s="161"/>
      <c r="K9" s="161"/>
      <c r="L9" s="175"/>
      <c r="M9" s="174"/>
      <c r="N9" s="161"/>
      <c r="O9" s="161"/>
      <c r="P9" s="161"/>
      <c r="Q9" s="161"/>
      <c r="R9" s="161"/>
      <c r="S9" s="175"/>
      <c r="T9" s="295"/>
      <c r="U9" s="295"/>
      <c r="V9" s="176">
        <f t="shared" si="0"/>
        <v>0</v>
      </c>
    </row>
    <row r="10" spans="1:22" s="162" customFormat="1">
      <c r="A10" s="173">
        <v>4</v>
      </c>
      <c r="B10" s="1" t="s">
        <v>98</v>
      </c>
      <c r="C10" s="174"/>
      <c r="D10" s="161"/>
      <c r="E10" s="161"/>
      <c r="F10" s="161"/>
      <c r="G10" s="161"/>
      <c r="H10" s="161"/>
      <c r="I10" s="161"/>
      <c r="J10" s="161"/>
      <c r="K10" s="161"/>
      <c r="L10" s="175"/>
      <c r="M10" s="174"/>
      <c r="N10" s="161"/>
      <c r="O10" s="161"/>
      <c r="P10" s="161"/>
      <c r="Q10" s="161"/>
      <c r="R10" s="161"/>
      <c r="S10" s="175"/>
      <c r="T10" s="295"/>
      <c r="U10" s="295"/>
      <c r="V10" s="176">
        <f t="shared" si="0"/>
        <v>0</v>
      </c>
    </row>
    <row r="11" spans="1:22" s="162" customFormat="1">
      <c r="A11" s="173">
        <v>5</v>
      </c>
      <c r="B11" s="1" t="s">
        <v>99</v>
      </c>
      <c r="C11" s="174"/>
      <c r="D11" s="161"/>
      <c r="E11" s="161"/>
      <c r="F11" s="161"/>
      <c r="G11" s="161"/>
      <c r="H11" s="161"/>
      <c r="I11" s="161"/>
      <c r="J11" s="161"/>
      <c r="K11" s="161"/>
      <c r="L11" s="175"/>
      <c r="M11" s="174"/>
      <c r="N11" s="161"/>
      <c r="O11" s="161"/>
      <c r="P11" s="161"/>
      <c r="Q11" s="161"/>
      <c r="R11" s="161"/>
      <c r="S11" s="175"/>
      <c r="T11" s="295"/>
      <c r="U11" s="295"/>
      <c r="V11" s="176">
        <f t="shared" si="0"/>
        <v>0</v>
      </c>
    </row>
    <row r="12" spans="1:22" s="162" customFormat="1">
      <c r="A12" s="173">
        <v>6</v>
      </c>
      <c r="B12" s="1" t="s">
        <v>100</v>
      </c>
      <c r="C12" s="174"/>
      <c r="D12" s="161"/>
      <c r="E12" s="161"/>
      <c r="F12" s="161"/>
      <c r="G12" s="161"/>
      <c r="H12" s="161"/>
      <c r="I12" s="161"/>
      <c r="J12" s="161"/>
      <c r="K12" s="161"/>
      <c r="L12" s="175"/>
      <c r="M12" s="174"/>
      <c r="N12" s="161"/>
      <c r="O12" s="161"/>
      <c r="P12" s="161"/>
      <c r="Q12" s="161"/>
      <c r="R12" s="161"/>
      <c r="S12" s="175"/>
      <c r="T12" s="295"/>
      <c r="U12" s="295"/>
      <c r="V12" s="176">
        <f t="shared" si="0"/>
        <v>0</v>
      </c>
    </row>
    <row r="13" spans="1:22" s="162" customFormat="1">
      <c r="A13" s="173">
        <v>7</v>
      </c>
      <c r="B13" s="1" t="s">
        <v>101</v>
      </c>
      <c r="C13" s="174"/>
      <c r="D13" s="161">
        <v>12650162.5840923</v>
      </c>
      <c r="E13" s="161"/>
      <c r="F13" s="161"/>
      <c r="G13" s="161"/>
      <c r="H13" s="161"/>
      <c r="I13" s="161"/>
      <c r="J13" s="161"/>
      <c r="K13" s="161"/>
      <c r="L13" s="175"/>
      <c r="M13" s="174"/>
      <c r="N13" s="161"/>
      <c r="O13" s="161"/>
      <c r="P13" s="161"/>
      <c r="Q13" s="161"/>
      <c r="R13" s="161"/>
      <c r="S13" s="175"/>
      <c r="T13" s="295">
        <v>3924330.2696485901</v>
      </c>
      <c r="U13" s="295">
        <v>8725832.3144437093</v>
      </c>
      <c r="V13" s="176">
        <f t="shared" si="0"/>
        <v>12650162.5840923</v>
      </c>
    </row>
    <row r="14" spans="1:22" s="162" customFormat="1">
      <c r="A14" s="173">
        <v>8</v>
      </c>
      <c r="B14" s="1" t="s">
        <v>102</v>
      </c>
      <c r="C14" s="174"/>
      <c r="D14" s="161"/>
      <c r="E14" s="161"/>
      <c r="F14" s="161"/>
      <c r="G14" s="161"/>
      <c r="H14" s="161"/>
      <c r="I14" s="161"/>
      <c r="J14" s="161"/>
      <c r="K14" s="161"/>
      <c r="L14" s="175"/>
      <c r="M14" s="174"/>
      <c r="N14" s="161"/>
      <c r="O14" s="161"/>
      <c r="P14" s="161"/>
      <c r="Q14" s="161"/>
      <c r="R14" s="161"/>
      <c r="S14" s="175"/>
      <c r="T14" s="295"/>
      <c r="U14" s="295"/>
      <c r="V14" s="176">
        <f t="shared" si="0"/>
        <v>0</v>
      </c>
    </row>
    <row r="15" spans="1:22" s="162" customFormat="1">
      <c r="A15" s="173">
        <v>9</v>
      </c>
      <c r="B15" s="1" t="s">
        <v>103</v>
      </c>
      <c r="C15" s="174"/>
      <c r="D15" s="161"/>
      <c r="E15" s="161"/>
      <c r="F15" s="161"/>
      <c r="G15" s="161"/>
      <c r="H15" s="161"/>
      <c r="I15" s="161"/>
      <c r="J15" s="161"/>
      <c r="K15" s="161"/>
      <c r="L15" s="175"/>
      <c r="M15" s="174"/>
      <c r="N15" s="161"/>
      <c r="O15" s="161"/>
      <c r="P15" s="161"/>
      <c r="Q15" s="161"/>
      <c r="R15" s="161"/>
      <c r="S15" s="175"/>
      <c r="T15" s="295"/>
      <c r="U15" s="295"/>
      <c r="V15" s="176">
        <f t="shared" si="0"/>
        <v>0</v>
      </c>
    </row>
    <row r="16" spans="1:22" s="162" customFormat="1">
      <c r="A16" s="173">
        <v>10</v>
      </c>
      <c r="B16" s="1" t="s">
        <v>104</v>
      </c>
      <c r="C16" s="174"/>
      <c r="D16" s="161"/>
      <c r="E16" s="161"/>
      <c r="F16" s="161"/>
      <c r="G16" s="161"/>
      <c r="H16" s="161"/>
      <c r="I16" s="161"/>
      <c r="J16" s="161"/>
      <c r="K16" s="161"/>
      <c r="L16" s="175"/>
      <c r="M16" s="174"/>
      <c r="N16" s="161"/>
      <c r="O16" s="161"/>
      <c r="P16" s="161"/>
      <c r="Q16" s="161"/>
      <c r="R16" s="161"/>
      <c r="S16" s="175"/>
      <c r="T16" s="295"/>
      <c r="U16" s="295"/>
      <c r="V16" s="176">
        <f t="shared" si="0"/>
        <v>0</v>
      </c>
    </row>
    <row r="17" spans="1:22" s="162" customFormat="1">
      <c r="A17" s="173">
        <v>11</v>
      </c>
      <c r="B17" s="1" t="s">
        <v>105</v>
      </c>
      <c r="C17" s="174"/>
      <c r="D17" s="161"/>
      <c r="E17" s="161"/>
      <c r="F17" s="161"/>
      <c r="G17" s="161"/>
      <c r="H17" s="161"/>
      <c r="I17" s="161"/>
      <c r="J17" s="161"/>
      <c r="K17" s="161"/>
      <c r="L17" s="175"/>
      <c r="M17" s="174"/>
      <c r="N17" s="161"/>
      <c r="O17" s="161"/>
      <c r="P17" s="161"/>
      <c r="Q17" s="161"/>
      <c r="R17" s="161"/>
      <c r="S17" s="175"/>
      <c r="T17" s="295"/>
      <c r="U17" s="295"/>
      <c r="V17" s="176">
        <f t="shared" si="0"/>
        <v>0</v>
      </c>
    </row>
    <row r="18" spans="1:22" s="162" customFormat="1">
      <c r="A18" s="173">
        <v>12</v>
      </c>
      <c r="B18" s="1" t="s">
        <v>106</v>
      </c>
      <c r="C18" s="174"/>
      <c r="D18" s="161"/>
      <c r="E18" s="161"/>
      <c r="F18" s="161"/>
      <c r="G18" s="161"/>
      <c r="H18" s="161"/>
      <c r="I18" s="161"/>
      <c r="J18" s="161"/>
      <c r="K18" s="161"/>
      <c r="L18" s="175"/>
      <c r="M18" s="174"/>
      <c r="N18" s="161"/>
      <c r="O18" s="161"/>
      <c r="P18" s="161"/>
      <c r="Q18" s="161"/>
      <c r="R18" s="161"/>
      <c r="S18" s="175"/>
      <c r="T18" s="295"/>
      <c r="U18" s="295"/>
      <c r="V18" s="176">
        <f t="shared" si="0"/>
        <v>0</v>
      </c>
    </row>
    <row r="19" spans="1:22" s="162" customFormat="1">
      <c r="A19" s="173">
        <v>13</v>
      </c>
      <c r="B19" s="1" t="s">
        <v>107</v>
      </c>
      <c r="C19" s="174"/>
      <c r="D19" s="161"/>
      <c r="E19" s="161"/>
      <c r="F19" s="161"/>
      <c r="G19" s="161"/>
      <c r="H19" s="161"/>
      <c r="I19" s="161"/>
      <c r="J19" s="161"/>
      <c r="K19" s="161"/>
      <c r="L19" s="175"/>
      <c r="M19" s="174"/>
      <c r="N19" s="161"/>
      <c r="O19" s="161"/>
      <c r="P19" s="161"/>
      <c r="Q19" s="161"/>
      <c r="R19" s="161"/>
      <c r="S19" s="175"/>
      <c r="T19" s="295"/>
      <c r="U19" s="295"/>
      <c r="V19" s="176">
        <f t="shared" si="0"/>
        <v>0</v>
      </c>
    </row>
    <row r="20" spans="1:22" s="162" customFormat="1">
      <c r="A20" s="173">
        <v>14</v>
      </c>
      <c r="B20" s="1" t="s">
        <v>108</v>
      </c>
      <c r="C20" s="174"/>
      <c r="D20" s="161">
        <v>1546665.787322633</v>
      </c>
      <c r="E20" s="161"/>
      <c r="F20" s="161"/>
      <c r="G20" s="161"/>
      <c r="H20" s="161"/>
      <c r="I20" s="161"/>
      <c r="J20" s="161"/>
      <c r="K20" s="161"/>
      <c r="L20" s="175"/>
      <c r="M20" s="174"/>
      <c r="N20" s="161"/>
      <c r="O20" s="161"/>
      <c r="P20" s="161"/>
      <c r="Q20" s="161"/>
      <c r="R20" s="161"/>
      <c r="S20" s="175"/>
      <c r="T20" s="295">
        <v>1546665.787322633</v>
      </c>
      <c r="U20" s="295">
        <v>0</v>
      </c>
      <c r="V20" s="176">
        <f t="shared" si="0"/>
        <v>1546665.787322633</v>
      </c>
    </row>
    <row r="21" spans="1:22" ht="13.8" thickBot="1">
      <c r="A21" s="163"/>
      <c r="B21" s="177" t="s">
        <v>109</v>
      </c>
      <c r="C21" s="178">
        <f>SUM(C7:C20)</f>
        <v>0</v>
      </c>
      <c r="D21" s="165">
        <f t="shared" ref="D21:V21" si="1">SUM(D7:D20)</f>
        <v>14196828.371414933</v>
      </c>
      <c r="E21" s="165">
        <f t="shared" si="1"/>
        <v>0</v>
      </c>
      <c r="F21" s="165">
        <f t="shared" si="1"/>
        <v>0</v>
      </c>
      <c r="G21" s="165">
        <f t="shared" si="1"/>
        <v>0</v>
      </c>
      <c r="H21" s="165">
        <f t="shared" si="1"/>
        <v>0</v>
      </c>
      <c r="I21" s="165">
        <f t="shared" si="1"/>
        <v>0</v>
      </c>
      <c r="J21" s="165">
        <f t="shared" si="1"/>
        <v>0</v>
      </c>
      <c r="K21" s="165">
        <f t="shared" si="1"/>
        <v>0</v>
      </c>
      <c r="L21" s="179">
        <f t="shared" si="1"/>
        <v>0</v>
      </c>
      <c r="M21" s="178">
        <f t="shared" si="1"/>
        <v>0</v>
      </c>
      <c r="N21" s="165">
        <f t="shared" si="1"/>
        <v>0</v>
      </c>
      <c r="O21" s="165">
        <f t="shared" si="1"/>
        <v>0</v>
      </c>
      <c r="P21" s="165">
        <f t="shared" si="1"/>
        <v>0</v>
      </c>
      <c r="Q21" s="165">
        <f t="shared" si="1"/>
        <v>0</v>
      </c>
      <c r="R21" s="165">
        <f t="shared" si="1"/>
        <v>0</v>
      </c>
      <c r="S21" s="179">
        <f>SUM(S7:S20)</f>
        <v>0</v>
      </c>
      <c r="T21" s="179">
        <f>SUM(T7:T20)</f>
        <v>5470996.0569712231</v>
      </c>
      <c r="U21" s="179">
        <f t="shared" ref="U21" si="2">SUM(U7:U20)</f>
        <v>8725832.3144437093</v>
      </c>
      <c r="V21" s="180">
        <f t="shared" si="1"/>
        <v>14196828.371414933</v>
      </c>
    </row>
    <row r="24" spans="1:22">
      <c r="A24" s="7"/>
      <c r="B24" s="7"/>
      <c r="C24" s="74"/>
      <c r="D24" s="74"/>
      <c r="E24" s="74"/>
    </row>
    <row r="25" spans="1:22">
      <c r="A25" s="181"/>
      <c r="B25" s="181"/>
      <c r="C25" s="7"/>
      <c r="D25" s="74"/>
      <c r="E25" s="74"/>
    </row>
    <row r="26" spans="1:22">
      <c r="A26" s="181"/>
      <c r="B26" s="75"/>
      <c r="C26" s="7"/>
      <c r="D26" s="74"/>
      <c r="E26" s="74"/>
    </row>
    <row r="27" spans="1:22">
      <c r="A27" s="181"/>
      <c r="B27" s="181"/>
      <c r="C27" s="7"/>
      <c r="D27" s="74"/>
      <c r="E27" s="74"/>
    </row>
    <row r="28" spans="1:22">
      <c r="A28" s="181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296" customWidth="1"/>
    <col min="4" max="4" width="14.88671875" style="296" bestFit="1" customWidth="1"/>
    <col min="5" max="5" width="17.6640625" style="296" customWidth="1"/>
    <col min="6" max="6" width="15.88671875" style="296" customWidth="1"/>
    <col min="7" max="7" width="17.44140625" style="296" customWidth="1"/>
    <col min="8" max="8" width="15.33203125" style="296" customWidth="1"/>
    <col min="9" max="16384" width="9.109375" style="46"/>
  </cols>
  <sheetData>
    <row r="1" spans="1:9">
      <c r="A1" s="2" t="s">
        <v>30</v>
      </c>
      <c r="B1" s="4" t="str">
        <f>'Info '!C2</f>
        <v>JSC CARTU BANK</v>
      </c>
    </row>
    <row r="2" spans="1:9">
      <c r="A2" s="2" t="s">
        <v>31</v>
      </c>
      <c r="B2" s="455">
        <f>'1. key ratios '!B2</f>
        <v>43646</v>
      </c>
    </row>
    <row r="4" spans="1:9" ht="14.4" thickBot="1">
      <c r="A4" s="2" t="s">
        <v>258</v>
      </c>
      <c r="B4" s="166" t="s">
        <v>382</v>
      </c>
    </row>
    <row r="5" spans="1:9">
      <c r="A5" s="167"/>
      <c r="B5" s="182"/>
      <c r="C5" s="297" t="s">
        <v>0</v>
      </c>
      <c r="D5" s="297" t="s">
        <v>1</v>
      </c>
      <c r="E5" s="297" t="s">
        <v>2</v>
      </c>
      <c r="F5" s="297" t="s">
        <v>3</v>
      </c>
      <c r="G5" s="298" t="s">
        <v>4</v>
      </c>
      <c r="H5" s="299" t="s">
        <v>5</v>
      </c>
      <c r="I5" s="183"/>
    </row>
    <row r="6" spans="1:9" s="183" customFormat="1" ht="12.75" customHeight="1">
      <c r="A6" s="184"/>
      <c r="B6" s="563" t="s">
        <v>257</v>
      </c>
      <c r="C6" s="565" t="s">
        <v>374</v>
      </c>
      <c r="D6" s="567" t="s">
        <v>373</v>
      </c>
      <c r="E6" s="568"/>
      <c r="F6" s="565" t="s">
        <v>378</v>
      </c>
      <c r="G6" s="565" t="s">
        <v>379</v>
      </c>
      <c r="H6" s="561" t="s">
        <v>377</v>
      </c>
    </row>
    <row r="7" spans="1:9" ht="41.4">
      <c r="A7" s="186"/>
      <c r="B7" s="564"/>
      <c r="C7" s="566"/>
      <c r="D7" s="300" t="s">
        <v>376</v>
      </c>
      <c r="E7" s="300" t="s">
        <v>375</v>
      </c>
      <c r="F7" s="566"/>
      <c r="G7" s="566"/>
      <c r="H7" s="562"/>
      <c r="I7" s="183"/>
    </row>
    <row r="8" spans="1:9">
      <c r="A8" s="184">
        <v>1</v>
      </c>
      <c r="B8" s="1" t="s">
        <v>96</v>
      </c>
      <c r="C8" s="301">
        <v>216167576</v>
      </c>
      <c r="D8" s="302"/>
      <c r="E8" s="301"/>
      <c r="F8" s="301">
        <v>200504434</v>
      </c>
      <c r="G8" s="303">
        <v>200504434</v>
      </c>
      <c r="H8" s="305">
        <f t="shared" ref="H8:H21" si="0">IFERROR(G8/(C8+E8),0)</f>
        <v>0.927541667951164</v>
      </c>
    </row>
    <row r="9" spans="1:9" ht="15" customHeight="1">
      <c r="A9" s="184">
        <v>2</v>
      </c>
      <c r="B9" s="1" t="s">
        <v>97</v>
      </c>
      <c r="C9" s="301">
        <v>0</v>
      </c>
      <c r="D9" s="302"/>
      <c r="E9" s="301"/>
      <c r="F9" s="301">
        <v>0</v>
      </c>
      <c r="G9" s="303">
        <v>0</v>
      </c>
      <c r="H9" s="305">
        <f t="shared" si="0"/>
        <v>0</v>
      </c>
    </row>
    <row r="10" spans="1:9">
      <c r="A10" s="184">
        <v>3</v>
      </c>
      <c r="B10" s="1" t="s">
        <v>276</v>
      </c>
      <c r="C10" s="301">
        <v>0</v>
      </c>
      <c r="D10" s="302"/>
      <c r="E10" s="301"/>
      <c r="F10" s="301">
        <v>0</v>
      </c>
      <c r="G10" s="303">
        <v>0</v>
      </c>
      <c r="H10" s="305">
        <f t="shared" si="0"/>
        <v>0</v>
      </c>
    </row>
    <row r="11" spans="1:9">
      <c r="A11" s="184">
        <v>4</v>
      </c>
      <c r="B11" s="1" t="s">
        <v>98</v>
      </c>
      <c r="C11" s="301">
        <v>0</v>
      </c>
      <c r="D11" s="302"/>
      <c r="E11" s="301"/>
      <c r="F11" s="301">
        <v>0</v>
      </c>
      <c r="G11" s="303">
        <v>0</v>
      </c>
      <c r="H11" s="305">
        <f t="shared" si="0"/>
        <v>0</v>
      </c>
    </row>
    <row r="12" spans="1:9">
      <c r="A12" s="184">
        <v>5</v>
      </c>
      <c r="B12" s="1" t="s">
        <v>99</v>
      </c>
      <c r="C12" s="301">
        <v>0</v>
      </c>
      <c r="D12" s="302"/>
      <c r="E12" s="301"/>
      <c r="F12" s="301">
        <v>0</v>
      </c>
      <c r="G12" s="303">
        <v>0</v>
      </c>
      <c r="H12" s="305">
        <f t="shared" si="0"/>
        <v>0</v>
      </c>
    </row>
    <row r="13" spans="1:9">
      <c r="A13" s="184">
        <v>6</v>
      </c>
      <c r="B13" s="1" t="s">
        <v>100</v>
      </c>
      <c r="C13" s="301">
        <v>116056428</v>
      </c>
      <c r="D13" s="302"/>
      <c r="E13" s="301"/>
      <c r="F13" s="301">
        <v>48890958.480000004</v>
      </c>
      <c r="G13" s="303">
        <v>48890958.480000004</v>
      </c>
      <c r="H13" s="305">
        <f t="shared" si="0"/>
        <v>0.42126885449205798</v>
      </c>
    </row>
    <row r="14" spans="1:9">
      <c r="A14" s="184">
        <v>7</v>
      </c>
      <c r="B14" s="1" t="s">
        <v>101</v>
      </c>
      <c r="C14" s="301">
        <v>560107122.54775321</v>
      </c>
      <c r="D14" s="302">
        <v>83552719.914100885</v>
      </c>
      <c r="E14" s="301">
        <v>64752463.911960073</v>
      </c>
      <c r="F14" s="301">
        <v>624859586.45971334</v>
      </c>
      <c r="G14" s="303">
        <v>612209423.87562108</v>
      </c>
      <c r="H14" s="305">
        <f t="shared" si="0"/>
        <v>0.97975519163310798</v>
      </c>
    </row>
    <row r="15" spans="1:9">
      <c r="A15" s="184">
        <v>8</v>
      </c>
      <c r="B15" s="1" t="s">
        <v>102</v>
      </c>
      <c r="C15" s="301">
        <v>0</v>
      </c>
      <c r="D15" s="302"/>
      <c r="E15" s="301">
        <v>0</v>
      </c>
      <c r="F15" s="301">
        <v>0</v>
      </c>
      <c r="G15" s="303">
        <v>0</v>
      </c>
      <c r="H15" s="305">
        <f t="shared" si="0"/>
        <v>0</v>
      </c>
    </row>
    <row r="16" spans="1:9">
      <c r="A16" s="184">
        <v>9</v>
      </c>
      <c r="B16" s="1" t="s">
        <v>103</v>
      </c>
      <c r="C16" s="301">
        <v>0</v>
      </c>
      <c r="D16" s="302"/>
      <c r="E16" s="301">
        <v>0</v>
      </c>
      <c r="F16" s="301">
        <v>0</v>
      </c>
      <c r="G16" s="303">
        <v>0</v>
      </c>
      <c r="H16" s="305">
        <f t="shared" si="0"/>
        <v>0</v>
      </c>
    </row>
    <row r="17" spans="1:8">
      <c r="A17" s="184">
        <v>10</v>
      </c>
      <c r="B17" s="1" t="s">
        <v>104</v>
      </c>
      <c r="C17" s="301">
        <v>128679576.03365132</v>
      </c>
      <c r="D17" s="302">
        <v>54726.930000007153</v>
      </c>
      <c r="E17" s="301">
        <v>29166.060000002384</v>
      </c>
      <c r="F17" s="301">
        <v>198700740.06059134</v>
      </c>
      <c r="G17" s="303">
        <v>198700740.06059134</v>
      </c>
      <c r="H17" s="305">
        <f t="shared" si="0"/>
        <v>1.5438014297118396</v>
      </c>
    </row>
    <row r="18" spans="1:8">
      <c r="A18" s="184">
        <v>11</v>
      </c>
      <c r="B18" s="1" t="s">
        <v>105</v>
      </c>
      <c r="C18" s="301">
        <v>0</v>
      </c>
      <c r="D18" s="302"/>
      <c r="E18" s="301">
        <v>0</v>
      </c>
      <c r="F18" s="301">
        <v>0</v>
      </c>
      <c r="G18" s="303">
        <v>0</v>
      </c>
      <c r="H18" s="305">
        <f t="shared" si="0"/>
        <v>0</v>
      </c>
    </row>
    <row r="19" spans="1:8">
      <c r="A19" s="184">
        <v>12</v>
      </c>
      <c r="B19" s="1" t="s">
        <v>106</v>
      </c>
      <c r="C19" s="301">
        <v>0</v>
      </c>
      <c r="D19" s="302"/>
      <c r="E19" s="301">
        <v>0</v>
      </c>
      <c r="F19" s="301">
        <v>0</v>
      </c>
      <c r="G19" s="303">
        <v>0</v>
      </c>
      <c r="H19" s="305">
        <f t="shared" si="0"/>
        <v>0</v>
      </c>
    </row>
    <row r="20" spans="1:8">
      <c r="A20" s="184">
        <v>13</v>
      </c>
      <c r="B20" s="1" t="s">
        <v>252</v>
      </c>
      <c r="C20" s="301">
        <v>0</v>
      </c>
      <c r="D20" s="302"/>
      <c r="E20" s="301">
        <v>0</v>
      </c>
      <c r="F20" s="301">
        <v>0</v>
      </c>
      <c r="G20" s="303">
        <v>0</v>
      </c>
      <c r="H20" s="305">
        <f t="shared" si="0"/>
        <v>0</v>
      </c>
    </row>
    <row r="21" spans="1:8">
      <c r="A21" s="184">
        <v>14</v>
      </c>
      <c r="B21" s="1" t="s">
        <v>108</v>
      </c>
      <c r="C21" s="301">
        <v>131979798.76279601</v>
      </c>
      <c r="D21" s="302">
        <v>2316552.0400000061</v>
      </c>
      <c r="E21" s="301">
        <v>928443.73499999964</v>
      </c>
      <c r="F21" s="301">
        <v>139712701.00529602</v>
      </c>
      <c r="G21" s="303">
        <v>138166035.21797338</v>
      </c>
      <c r="H21" s="305">
        <f t="shared" si="0"/>
        <v>1.0395595684764589</v>
      </c>
    </row>
    <row r="22" spans="1:8" ht="14.4" thickBot="1">
      <c r="A22" s="187"/>
      <c r="B22" s="188" t="s">
        <v>109</v>
      </c>
      <c r="C22" s="304">
        <f>SUM(C8:C21)</f>
        <v>1152990501.3442006</v>
      </c>
      <c r="D22" s="304">
        <f>SUM(D8:D21)</f>
        <v>85923998.884100899</v>
      </c>
      <c r="E22" s="304">
        <f>SUM(E8:E21)</f>
        <v>65710073.706960075</v>
      </c>
      <c r="F22" s="304">
        <f>SUM(F8:F21)</f>
        <v>1212668420.0056007</v>
      </c>
      <c r="G22" s="304">
        <f>SUM(G8:G21)</f>
        <v>1198471591.6341858</v>
      </c>
      <c r="H22" s="306">
        <f>G22/(C22+E22)</f>
        <v>0.98340118661540343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8"/>
  <cols>
    <col min="1" max="1" width="10.5546875" style="296" bestFit="1" customWidth="1"/>
    <col min="2" max="2" width="87.109375" style="296" customWidth="1"/>
    <col min="3" max="4" width="12.6640625" style="296" customWidth="1"/>
    <col min="5" max="5" width="14.21875" style="296" customWidth="1"/>
    <col min="6" max="11" width="12.6640625" style="296" customWidth="1"/>
    <col min="12" max="16384" width="9.109375" style="296"/>
  </cols>
  <sheetData>
    <row r="1" spans="1:11">
      <c r="A1" s="296" t="s">
        <v>30</v>
      </c>
      <c r="B1" s="296" t="str">
        <f>'Info '!C2</f>
        <v>JSC CARTU BANK</v>
      </c>
    </row>
    <row r="2" spans="1:11">
      <c r="A2" s="296" t="s">
        <v>31</v>
      </c>
      <c r="B2" s="457">
        <f>'1. key ratios '!B2</f>
        <v>43646</v>
      </c>
      <c r="C2" s="321"/>
      <c r="D2" s="321"/>
    </row>
    <row r="3" spans="1:11">
      <c r="B3" s="321"/>
      <c r="C3" s="321"/>
      <c r="D3" s="321"/>
    </row>
    <row r="4" spans="1:11" ht="14.4" thickBot="1">
      <c r="A4" s="296" t="s">
        <v>254</v>
      </c>
      <c r="B4" s="348" t="s">
        <v>383</v>
      </c>
      <c r="C4" s="321"/>
      <c r="D4" s="321"/>
    </row>
    <row r="5" spans="1:11" ht="30" customHeight="1">
      <c r="A5" s="569"/>
      <c r="B5" s="570"/>
      <c r="C5" s="571" t="s">
        <v>436</v>
      </c>
      <c r="D5" s="571"/>
      <c r="E5" s="571"/>
      <c r="F5" s="571" t="s">
        <v>437</v>
      </c>
      <c r="G5" s="571"/>
      <c r="H5" s="571"/>
      <c r="I5" s="571" t="s">
        <v>438</v>
      </c>
      <c r="J5" s="571"/>
      <c r="K5" s="572"/>
    </row>
    <row r="6" spans="1:11">
      <c r="A6" s="322"/>
      <c r="B6" s="323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4" t="s">
        <v>386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>
      <c r="A8" s="327">
        <v>1</v>
      </c>
      <c r="B8" s="328" t="s">
        <v>384</v>
      </c>
      <c r="C8" s="329"/>
      <c r="D8" s="329"/>
      <c r="E8" s="329"/>
      <c r="F8" s="505">
        <v>56293070.539340645</v>
      </c>
      <c r="G8" s="506">
        <v>231236422.88454416</v>
      </c>
      <c r="H8" s="506">
        <v>287529493.42388487</v>
      </c>
      <c r="I8" s="506">
        <v>33209555.618681315</v>
      </c>
      <c r="J8" s="506">
        <v>189083226.4178409</v>
      </c>
      <c r="K8" s="507">
        <v>222292782.03652224</v>
      </c>
    </row>
    <row r="9" spans="1:11">
      <c r="A9" s="324" t="s">
        <v>387</v>
      </c>
      <c r="B9" s="325"/>
      <c r="C9" s="508"/>
      <c r="D9" s="508"/>
      <c r="E9" s="508"/>
      <c r="F9" s="508"/>
      <c r="G9" s="508"/>
      <c r="H9" s="508"/>
      <c r="I9" s="508"/>
      <c r="J9" s="508"/>
      <c r="K9" s="326"/>
    </row>
    <row r="10" spans="1:11">
      <c r="A10" s="330">
        <v>2</v>
      </c>
      <c r="B10" s="331" t="s">
        <v>395</v>
      </c>
      <c r="C10" s="505">
        <v>14647022.3781376</v>
      </c>
      <c r="D10" s="506">
        <v>187492740.78201315</v>
      </c>
      <c r="E10" s="506">
        <v>202139763.1601508</v>
      </c>
      <c r="F10" s="505">
        <v>3002553.4113599397</v>
      </c>
      <c r="G10" s="506">
        <v>19872625.432172153</v>
      </c>
      <c r="H10" s="506">
        <v>22875178.843532089</v>
      </c>
      <c r="I10" s="505">
        <v>638383.63299479266</v>
      </c>
      <c r="J10" s="506">
        <v>2738214.2324771984</v>
      </c>
      <c r="K10" s="507">
        <v>3376597.8654719908</v>
      </c>
    </row>
    <row r="11" spans="1:11">
      <c r="A11" s="330">
        <v>3</v>
      </c>
      <c r="B11" s="331" t="s">
        <v>389</v>
      </c>
      <c r="C11" s="505">
        <v>68773518.382197782</v>
      </c>
      <c r="D11" s="506">
        <v>650894084.44666255</v>
      </c>
      <c r="E11" s="506">
        <v>719667602.8288604</v>
      </c>
      <c r="F11" s="505">
        <v>27765520.615019247</v>
      </c>
      <c r="G11" s="506">
        <v>64793128.284027636</v>
      </c>
      <c r="H11" s="506">
        <v>92558648.899046883</v>
      </c>
      <c r="I11" s="505">
        <v>19475011.911560453</v>
      </c>
      <c r="J11" s="506">
        <v>38634141.874459334</v>
      </c>
      <c r="K11" s="507">
        <v>58109153.786019772</v>
      </c>
    </row>
    <row r="12" spans="1:11">
      <c r="A12" s="330">
        <v>4</v>
      </c>
      <c r="B12" s="331" t="s">
        <v>390</v>
      </c>
      <c r="C12" s="505">
        <v>0</v>
      </c>
      <c r="D12" s="506">
        <v>0</v>
      </c>
      <c r="E12" s="506">
        <v>0</v>
      </c>
      <c r="F12" s="505">
        <v>0</v>
      </c>
      <c r="G12" s="506">
        <v>0</v>
      </c>
      <c r="H12" s="506">
        <v>0</v>
      </c>
      <c r="I12" s="505">
        <v>0</v>
      </c>
      <c r="J12" s="506">
        <v>0</v>
      </c>
      <c r="K12" s="507">
        <v>0</v>
      </c>
    </row>
    <row r="13" spans="1:11">
      <c r="A13" s="330">
        <v>5</v>
      </c>
      <c r="B13" s="331" t="s">
        <v>398</v>
      </c>
      <c r="C13" s="505">
        <v>37997661.252527475</v>
      </c>
      <c r="D13" s="506">
        <v>50506460.661701672</v>
      </c>
      <c r="E13" s="506">
        <v>88504121.914229125</v>
      </c>
      <c r="F13" s="505">
        <v>7029272.0781335188</v>
      </c>
      <c r="G13" s="506">
        <v>9207348.9156194888</v>
      </c>
      <c r="H13" s="506">
        <v>16236620.993753001</v>
      </c>
      <c r="I13" s="505">
        <v>2525519.9016868146</v>
      </c>
      <c r="J13" s="506">
        <v>3373744.5265802774</v>
      </c>
      <c r="K13" s="507">
        <v>5899264.4282670915</v>
      </c>
    </row>
    <row r="14" spans="1:11">
      <c r="A14" s="330">
        <v>6</v>
      </c>
      <c r="B14" s="331" t="s">
        <v>431</v>
      </c>
      <c r="C14" s="505"/>
      <c r="D14" s="506"/>
      <c r="E14" s="506"/>
      <c r="F14" s="505"/>
      <c r="G14" s="506"/>
      <c r="H14" s="506"/>
      <c r="I14" s="505"/>
      <c r="J14" s="506"/>
      <c r="K14" s="507"/>
    </row>
    <row r="15" spans="1:11">
      <c r="A15" s="330">
        <v>7</v>
      </c>
      <c r="B15" s="331" t="s">
        <v>432</v>
      </c>
      <c r="C15" s="505">
        <v>12306166.813186813</v>
      </c>
      <c r="D15" s="506">
        <v>15573106.428571429</v>
      </c>
      <c r="E15" s="506">
        <v>27879273.241758242</v>
      </c>
      <c r="F15" s="505">
        <v>2381770.7976137889</v>
      </c>
      <c r="G15" s="506">
        <v>2706045.0333631374</v>
      </c>
      <c r="H15" s="506">
        <v>5087815.8309769249</v>
      </c>
      <c r="I15" s="505">
        <v>2381770.7976137889</v>
      </c>
      <c r="J15" s="506">
        <v>2706045.0333631374</v>
      </c>
      <c r="K15" s="507">
        <v>5087815.8309769249</v>
      </c>
    </row>
    <row r="16" spans="1:11">
      <c r="A16" s="330">
        <v>8</v>
      </c>
      <c r="B16" s="332" t="s">
        <v>391</v>
      </c>
      <c r="C16" s="509">
        <f>SUM(C10:C15)</f>
        <v>133724368.82604967</v>
      </c>
      <c r="D16" s="509">
        <f t="shared" ref="D16:K16" si="0">SUM(D10:D15)</f>
        <v>904466392.31894886</v>
      </c>
      <c r="E16" s="509">
        <f t="shared" si="0"/>
        <v>1038190761.1449986</v>
      </c>
      <c r="F16" s="509">
        <f t="shared" si="0"/>
        <v>40179116.902126499</v>
      </c>
      <c r="G16" s="509">
        <f t="shared" si="0"/>
        <v>96579147.665182412</v>
      </c>
      <c r="H16" s="509">
        <f t="shared" si="0"/>
        <v>136758264.5673089</v>
      </c>
      <c r="I16" s="509">
        <f t="shared" si="0"/>
        <v>25020686.243855849</v>
      </c>
      <c r="J16" s="509">
        <f t="shared" si="0"/>
        <v>47452145.666879937</v>
      </c>
      <c r="K16" s="510">
        <f t="shared" si="0"/>
        <v>72472831.910735771</v>
      </c>
    </row>
    <row r="17" spans="1:11">
      <c r="A17" s="324" t="s">
        <v>388</v>
      </c>
      <c r="B17" s="325"/>
      <c r="C17" s="505"/>
      <c r="D17" s="506"/>
      <c r="E17" s="506"/>
      <c r="F17" s="505"/>
      <c r="G17" s="506"/>
      <c r="H17" s="506"/>
      <c r="I17" s="505"/>
      <c r="J17" s="506"/>
      <c r="K17" s="507"/>
    </row>
    <row r="18" spans="1:11">
      <c r="A18" s="330">
        <v>9</v>
      </c>
      <c r="B18" s="331" t="s">
        <v>394</v>
      </c>
      <c r="C18" s="505">
        <v>0</v>
      </c>
      <c r="D18" s="506">
        <v>0</v>
      </c>
      <c r="E18" s="506">
        <v>0</v>
      </c>
      <c r="F18" s="505">
        <v>0</v>
      </c>
      <c r="G18" s="506">
        <v>0</v>
      </c>
      <c r="H18" s="506">
        <v>0</v>
      </c>
      <c r="I18" s="505">
        <v>0</v>
      </c>
      <c r="J18" s="506">
        <v>0</v>
      </c>
      <c r="K18" s="507">
        <v>0</v>
      </c>
    </row>
    <row r="19" spans="1:11">
      <c r="A19" s="330">
        <v>10</v>
      </c>
      <c r="B19" s="331" t="s">
        <v>433</v>
      </c>
      <c r="C19" s="505">
        <v>190197908.94142854</v>
      </c>
      <c r="D19" s="506">
        <v>321112192.17326647</v>
      </c>
      <c r="E19" s="506">
        <v>511310101.11469501</v>
      </c>
      <c r="F19" s="505">
        <v>3228057.5136882346</v>
      </c>
      <c r="G19" s="506">
        <v>2338610.2088125818</v>
      </c>
      <c r="H19" s="506">
        <v>5566667.7225008197</v>
      </c>
      <c r="I19" s="505">
        <v>26382368.544677235</v>
      </c>
      <c r="J19" s="506">
        <v>96582382.339691713</v>
      </c>
      <c r="K19" s="507">
        <v>122964750.88436891</v>
      </c>
    </row>
    <row r="20" spans="1:11">
      <c r="A20" s="330">
        <v>11</v>
      </c>
      <c r="B20" s="331" t="s">
        <v>393</v>
      </c>
      <c r="C20" s="505">
        <v>2671060.0684615402</v>
      </c>
      <c r="D20" s="506">
        <v>15363837.372087913</v>
      </c>
      <c r="E20" s="506">
        <v>18034897.440549444</v>
      </c>
      <c r="F20" s="505">
        <v>0</v>
      </c>
      <c r="G20" s="506">
        <v>0</v>
      </c>
      <c r="H20" s="506">
        <v>0</v>
      </c>
      <c r="I20" s="505">
        <v>0</v>
      </c>
      <c r="J20" s="506">
        <v>0</v>
      </c>
      <c r="K20" s="507">
        <v>0</v>
      </c>
    </row>
    <row r="21" spans="1:11" ht="14.4" thickBot="1">
      <c r="A21" s="333">
        <v>12</v>
      </c>
      <c r="B21" s="334" t="s">
        <v>392</v>
      </c>
      <c r="C21" s="511">
        <f>SUM(C18:C20)</f>
        <v>192868969.00989008</v>
      </c>
      <c r="D21" s="511">
        <f t="shared" ref="D21:K21" si="1">SUM(D18:D20)</f>
        <v>336476029.54535437</v>
      </c>
      <c r="E21" s="511">
        <f t="shared" si="1"/>
        <v>529344998.55524445</v>
      </c>
      <c r="F21" s="511">
        <f t="shared" si="1"/>
        <v>3228057.5136882346</v>
      </c>
      <c r="G21" s="511">
        <f t="shared" si="1"/>
        <v>2338610.2088125818</v>
      </c>
      <c r="H21" s="511">
        <f t="shared" si="1"/>
        <v>5566667.7225008197</v>
      </c>
      <c r="I21" s="511">
        <f t="shared" si="1"/>
        <v>26382368.544677235</v>
      </c>
      <c r="J21" s="511">
        <f t="shared" si="1"/>
        <v>96582382.339691713</v>
      </c>
      <c r="K21" s="512">
        <f t="shared" si="1"/>
        <v>122964750.88436891</v>
      </c>
    </row>
    <row r="22" spans="1:11" ht="38.25" customHeight="1" thickBot="1">
      <c r="A22" s="335"/>
      <c r="B22" s="336"/>
      <c r="C22" s="336"/>
      <c r="D22" s="336"/>
      <c r="E22" s="336"/>
      <c r="F22" s="573" t="s">
        <v>435</v>
      </c>
      <c r="G22" s="571"/>
      <c r="H22" s="571"/>
      <c r="I22" s="573" t="s">
        <v>399</v>
      </c>
      <c r="J22" s="571"/>
      <c r="K22" s="572"/>
    </row>
    <row r="23" spans="1:11">
      <c r="A23" s="337">
        <v>13</v>
      </c>
      <c r="B23" s="338" t="s">
        <v>384</v>
      </c>
      <c r="C23" s="339"/>
      <c r="D23" s="339"/>
      <c r="E23" s="339"/>
      <c r="F23" s="513">
        <f>F8</f>
        <v>56293070.539340645</v>
      </c>
      <c r="G23" s="513">
        <f t="shared" ref="G23:K23" si="2">G8</f>
        <v>231236422.88454416</v>
      </c>
      <c r="H23" s="513">
        <f t="shared" si="2"/>
        <v>287529493.42388487</v>
      </c>
      <c r="I23" s="513">
        <f t="shared" si="2"/>
        <v>33209555.618681315</v>
      </c>
      <c r="J23" s="513">
        <f t="shared" si="2"/>
        <v>189083226.4178409</v>
      </c>
      <c r="K23" s="514">
        <f t="shared" si="2"/>
        <v>222292782.03652224</v>
      </c>
    </row>
    <row r="24" spans="1:11" ht="14.4" thickBot="1">
      <c r="A24" s="340">
        <v>14</v>
      </c>
      <c r="B24" s="341" t="s">
        <v>396</v>
      </c>
      <c r="C24" s="342"/>
      <c r="D24" s="343"/>
      <c r="E24" s="344"/>
      <c r="F24" s="515">
        <f>MAX(F16-F21,F16*0.25)</f>
        <v>36951059.388438262</v>
      </c>
      <c r="G24" s="515">
        <f t="shared" ref="G24:K24" si="3">MAX(G16-G21,G16*0.25)</f>
        <v>94240537.456369832</v>
      </c>
      <c r="H24" s="515">
        <f t="shared" si="3"/>
        <v>131191596.84480809</v>
      </c>
      <c r="I24" s="515">
        <f t="shared" si="3"/>
        <v>6255171.5609639622</v>
      </c>
      <c r="J24" s="515">
        <f t="shared" si="3"/>
        <v>11863036.416719984</v>
      </c>
      <c r="K24" s="516">
        <f t="shared" si="3"/>
        <v>18118207.977683943</v>
      </c>
    </row>
    <row r="25" spans="1:11" ht="14.4" thickBot="1">
      <c r="A25" s="345">
        <v>15</v>
      </c>
      <c r="B25" s="346" t="s">
        <v>397</v>
      </c>
      <c r="C25" s="347"/>
      <c r="D25" s="347"/>
      <c r="E25" s="347"/>
      <c r="F25" s="517">
        <f>F23/F24</f>
        <v>1.5234494347665271</v>
      </c>
      <c r="G25" s="517">
        <f t="shared" ref="G25:K25" si="4">G23/G24</f>
        <v>2.4536831933030814</v>
      </c>
      <c r="H25" s="517">
        <f t="shared" si="4"/>
        <v>2.1916761464837973</v>
      </c>
      <c r="I25" s="517">
        <f t="shared" si="4"/>
        <v>5.3091358558299095</v>
      </c>
      <c r="J25" s="517">
        <f t="shared" si="4"/>
        <v>15.938855768101957</v>
      </c>
      <c r="K25" s="518">
        <f t="shared" si="4"/>
        <v>12.269026954007733</v>
      </c>
    </row>
    <row r="27" spans="1:11" ht="27">
      <c r="B27" s="320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N6" sqref="N6"/>
    </sheetView>
  </sheetViews>
  <sheetFormatPr defaultColWidth="9.109375" defaultRowHeight="13.2"/>
  <cols>
    <col min="1" max="1" width="10.5546875" style="4" bestFit="1" customWidth="1"/>
    <col min="2" max="2" width="45.33203125" style="4" customWidth="1"/>
    <col min="3" max="3" width="12.554687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23.21875" style="4" customWidth="1"/>
    <col min="15" max="16384" width="9.109375" style="46"/>
  </cols>
  <sheetData>
    <row r="1" spans="1:14">
      <c r="A1" s="4" t="s">
        <v>30</v>
      </c>
      <c r="B1" s="4" t="str">
        <f>'Info '!C2</f>
        <v>JSC CARTU BANK</v>
      </c>
    </row>
    <row r="2" spans="1:14" ht="14.25" customHeight="1">
      <c r="A2" s="4" t="s">
        <v>31</v>
      </c>
      <c r="B2" s="455">
        <f>'1. key ratios '!B2</f>
        <v>43646</v>
      </c>
    </row>
    <row r="3" spans="1:14" ht="14.25" customHeight="1"/>
    <row r="4" spans="1:14" ht="13.8" thickBot="1">
      <c r="A4" s="4" t="s">
        <v>270</v>
      </c>
      <c r="B4" s="259" t="s">
        <v>28</v>
      </c>
    </row>
    <row r="5" spans="1:14" s="194" customFormat="1">
      <c r="A5" s="190"/>
      <c r="B5" s="191"/>
      <c r="C5" s="192" t="s">
        <v>0</v>
      </c>
      <c r="D5" s="192" t="s">
        <v>1</v>
      </c>
      <c r="E5" s="192" t="s">
        <v>2</v>
      </c>
      <c r="F5" s="192" t="s">
        <v>3</v>
      </c>
      <c r="G5" s="192" t="s">
        <v>4</v>
      </c>
      <c r="H5" s="192" t="s">
        <v>5</v>
      </c>
      <c r="I5" s="192" t="s">
        <v>8</v>
      </c>
      <c r="J5" s="192" t="s">
        <v>9</v>
      </c>
      <c r="K5" s="192" t="s">
        <v>10</v>
      </c>
      <c r="L5" s="192" t="s">
        <v>11</v>
      </c>
      <c r="M5" s="192" t="s">
        <v>12</v>
      </c>
      <c r="N5" s="193" t="s">
        <v>13</v>
      </c>
    </row>
    <row r="6" spans="1:14" ht="26.4">
      <c r="A6" s="195"/>
      <c r="B6" s="196"/>
      <c r="C6" s="197" t="s">
        <v>269</v>
      </c>
      <c r="D6" s="198" t="s">
        <v>268</v>
      </c>
      <c r="E6" s="199" t="s">
        <v>267</v>
      </c>
      <c r="F6" s="200">
        <v>0</v>
      </c>
      <c r="G6" s="200">
        <v>0.2</v>
      </c>
      <c r="H6" s="200">
        <v>0.35</v>
      </c>
      <c r="I6" s="200">
        <v>0.5</v>
      </c>
      <c r="J6" s="200">
        <v>0.75</v>
      </c>
      <c r="K6" s="200">
        <v>1</v>
      </c>
      <c r="L6" s="200">
        <v>1.5</v>
      </c>
      <c r="M6" s="200">
        <v>2.5</v>
      </c>
      <c r="N6" s="258" t="s">
        <v>282</v>
      </c>
    </row>
    <row r="7" spans="1:14" ht="13.8">
      <c r="A7" s="201">
        <v>1</v>
      </c>
      <c r="B7" s="202" t="s">
        <v>266</v>
      </c>
      <c r="C7" s="203">
        <f>SUM(C8:C13)</f>
        <v>0</v>
      </c>
      <c r="D7" s="196"/>
      <c r="E7" s="204">
        <f t="shared" ref="E7:M7" si="0">SUM(E8:E13)</f>
        <v>0</v>
      </c>
      <c r="F7" s="205">
        <f>SUM(F8:F13)</f>
        <v>0</v>
      </c>
      <c r="G7" s="205">
        <f t="shared" si="0"/>
        <v>0</v>
      </c>
      <c r="H7" s="205">
        <f t="shared" si="0"/>
        <v>0</v>
      </c>
      <c r="I7" s="205">
        <f t="shared" si="0"/>
        <v>0</v>
      </c>
      <c r="J7" s="205">
        <f t="shared" si="0"/>
        <v>0</v>
      </c>
      <c r="K7" s="205">
        <f t="shared" si="0"/>
        <v>0</v>
      </c>
      <c r="L7" s="205">
        <f t="shared" si="0"/>
        <v>0</v>
      </c>
      <c r="M7" s="205">
        <f t="shared" si="0"/>
        <v>0</v>
      </c>
      <c r="N7" s="206">
        <f>SUM(N8:N13)</f>
        <v>0</v>
      </c>
    </row>
    <row r="8" spans="1:14" ht="13.8">
      <c r="A8" s="201">
        <v>1.1000000000000001</v>
      </c>
      <c r="B8" s="207" t="s">
        <v>264</v>
      </c>
      <c r="C8" s="205">
        <v>0</v>
      </c>
      <c r="D8" s="208">
        <v>0.02</v>
      </c>
      <c r="E8" s="204">
        <f>C8*D8</f>
        <v>0</v>
      </c>
      <c r="F8" s="205"/>
      <c r="G8" s="205"/>
      <c r="H8" s="205"/>
      <c r="I8" s="205"/>
      <c r="J8" s="205"/>
      <c r="K8" s="205"/>
      <c r="L8" s="205"/>
      <c r="M8" s="205"/>
      <c r="N8" s="206">
        <f>SUMPRODUCT($F$6:$M$6,F8:M8)</f>
        <v>0</v>
      </c>
    </row>
    <row r="9" spans="1:14" ht="13.8">
      <c r="A9" s="201">
        <v>1.2</v>
      </c>
      <c r="B9" s="207" t="s">
        <v>263</v>
      </c>
      <c r="C9" s="205">
        <v>0</v>
      </c>
      <c r="D9" s="208">
        <v>0.05</v>
      </c>
      <c r="E9" s="204">
        <f>C9*D9</f>
        <v>0</v>
      </c>
      <c r="F9" s="205"/>
      <c r="G9" s="205"/>
      <c r="H9" s="205"/>
      <c r="I9" s="205"/>
      <c r="J9" s="205"/>
      <c r="K9" s="205"/>
      <c r="L9" s="205"/>
      <c r="M9" s="205"/>
      <c r="N9" s="206">
        <f t="shared" ref="N9:N12" si="1">SUMPRODUCT($F$6:$M$6,F9:M9)</f>
        <v>0</v>
      </c>
    </row>
    <row r="10" spans="1:14" ht="13.8">
      <c r="A10" s="201">
        <v>1.3</v>
      </c>
      <c r="B10" s="207" t="s">
        <v>262</v>
      </c>
      <c r="C10" s="205">
        <v>0</v>
      </c>
      <c r="D10" s="208">
        <v>0.08</v>
      </c>
      <c r="E10" s="204">
        <f>C10*D10</f>
        <v>0</v>
      </c>
      <c r="F10" s="205"/>
      <c r="G10" s="205"/>
      <c r="H10" s="205"/>
      <c r="I10" s="205"/>
      <c r="J10" s="205"/>
      <c r="K10" s="205"/>
      <c r="L10" s="205"/>
      <c r="M10" s="205"/>
      <c r="N10" s="206">
        <f>SUMPRODUCT($F$6:$M$6,F10:M10)</f>
        <v>0</v>
      </c>
    </row>
    <row r="11" spans="1:14" ht="13.8">
      <c r="A11" s="201">
        <v>1.4</v>
      </c>
      <c r="B11" s="207" t="s">
        <v>261</v>
      </c>
      <c r="C11" s="205">
        <v>0</v>
      </c>
      <c r="D11" s="208">
        <v>0.11</v>
      </c>
      <c r="E11" s="204">
        <f>C11*D11</f>
        <v>0</v>
      </c>
      <c r="F11" s="205"/>
      <c r="G11" s="205"/>
      <c r="H11" s="205"/>
      <c r="I11" s="205"/>
      <c r="J11" s="205"/>
      <c r="K11" s="205"/>
      <c r="L11" s="205"/>
      <c r="M11" s="205"/>
      <c r="N11" s="206">
        <f t="shared" si="1"/>
        <v>0</v>
      </c>
    </row>
    <row r="12" spans="1:14" ht="13.8">
      <c r="A12" s="201">
        <v>1.5</v>
      </c>
      <c r="B12" s="207" t="s">
        <v>260</v>
      </c>
      <c r="C12" s="205">
        <v>0</v>
      </c>
      <c r="D12" s="208">
        <v>0.14000000000000001</v>
      </c>
      <c r="E12" s="204">
        <f>C12*D12</f>
        <v>0</v>
      </c>
      <c r="F12" s="205"/>
      <c r="G12" s="205"/>
      <c r="H12" s="205"/>
      <c r="I12" s="205"/>
      <c r="J12" s="205"/>
      <c r="K12" s="205"/>
      <c r="L12" s="205"/>
      <c r="M12" s="205"/>
      <c r="N12" s="206">
        <f t="shared" si="1"/>
        <v>0</v>
      </c>
    </row>
    <row r="13" spans="1:14" ht="13.8">
      <c r="A13" s="201">
        <v>1.6</v>
      </c>
      <c r="B13" s="209" t="s">
        <v>259</v>
      </c>
      <c r="C13" s="205">
        <v>0</v>
      </c>
      <c r="D13" s="210"/>
      <c r="E13" s="205"/>
      <c r="F13" s="205"/>
      <c r="G13" s="205"/>
      <c r="H13" s="205"/>
      <c r="I13" s="205"/>
      <c r="J13" s="205"/>
      <c r="K13" s="205"/>
      <c r="L13" s="205"/>
      <c r="M13" s="205"/>
      <c r="N13" s="206">
        <f>SUMPRODUCT($F$6:$M$6,F13:M13)</f>
        <v>0</v>
      </c>
    </row>
    <row r="14" spans="1:14" ht="13.8">
      <c r="A14" s="201">
        <v>2</v>
      </c>
      <c r="B14" s="211" t="s">
        <v>265</v>
      </c>
      <c r="C14" s="203">
        <f>SUM(C15:C20)</f>
        <v>0</v>
      </c>
      <c r="D14" s="196"/>
      <c r="E14" s="204">
        <f t="shared" ref="E14:M14" si="2">SUM(E15:E20)</f>
        <v>0</v>
      </c>
      <c r="F14" s="205">
        <f t="shared" si="2"/>
        <v>0</v>
      </c>
      <c r="G14" s="205">
        <f t="shared" si="2"/>
        <v>0</v>
      </c>
      <c r="H14" s="205">
        <f t="shared" si="2"/>
        <v>0</v>
      </c>
      <c r="I14" s="205">
        <f t="shared" si="2"/>
        <v>0</v>
      </c>
      <c r="J14" s="205">
        <f t="shared" si="2"/>
        <v>0</v>
      </c>
      <c r="K14" s="205">
        <f t="shared" si="2"/>
        <v>0</v>
      </c>
      <c r="L14" s="205">
        <f t="shared" si="2"/>
        <v>0</v>
      </c>
      <c r="M14" s="205">
        <f t="shared" si="2"/>
        <v>0</v>
      </c>
      <c r="N14" s="206">
        <f>SUM(N15:N20)</f>
        <v>0</v>
      </c>
    </row>
    <row r="15" spans="1:14" ht="13.8">
      <c r="A15" s="201">
        <v>2.1</v>
      </c>
      <c r="B15" s="209" t="s">
        <v>264</v>
      </c>
      <c r="C15" s="205"/>
      <c r="D15" s="208">
        <v>5.0000000000000001E-3</v>
      </c>
      <c r="E15" s="204">
        <f>C15*D15</f>
        <v>0</v>
      </c>
      <c r="F15" s="205"/>
      <c r="G15" s="205"/>
      <c r="H15" s="205"/>
      <c r="I15" s="205"/>
      <c r="J15" s="205"/>
      <c r="K15" s="205"/>
      <c r="L15" s="205"/>
      <c r="M15" s="205"/>
      <c r="N15" s="206">
        <f>SUMPRODUCT($F$6:$M$6,F15:M15)</f>
        <v>0</v>
      </c>
    </row>
    <row r="16" spans="1:14" ht="13.8">
      <c r="A16" s="201">
        <v>2.2000000000000002</v>
      </c>
      <c r="B16" s="209" t="s">
        <v>263</v>
      </c>
      <c r="C16" s="205"/>
      <c r="D16" s="208">
        <v>0.01</v>
      </c>
      <c r="E16" s="204">
        <f>C16*D16</f>
        <v>0</v>
      </c>
      <c r="F16" s="205"/>
      <c r="G16" s="205"/>
      <c r="H16" s="205"/>
      <c r="I16" s="205"/>
      <c r="J16" s="205"/>
      <c r="K16" s="205"/>
      <c r="L16" s="205"/>
      <c r="M16" s="205"/>
      <c r="N16" s="206">
        <f t="shared" ref="N16:N20" si="3">SUMPRODUCT($F$6:$M$6,F16:M16)</f>
        <v>0</v>
      </c>
    </row>
    <row r="17" spans="1:14" ht="13.8">
      <c r="A17" s="201">
        <v>2.2999999999999998</v>
      </c>
      <c r="B17" s="209" t="s">
        <v>262</v>
      </c>
      <c r="C17" s="205"/>
      <c r="D17" s="208">
        <v>0.02</v>
      </c>
      <c r="E17" s="204">
        <f>C17*D17</f>
        <v>0</v>
      </c>
      <c r="F17" s="205"/>
      <c r="G17" s="205"/>
      <c r="H17" s="205"/>
      <c r="I17" s="205"/>
      <c r="J17" s="205"/>
      <c r="K17" s="205"/>
      <c r="L17" s="205"/>
      <c r="M17" s="205"/>
      <c r="N17" s="206">
        <f t="shared" si="3"/>
        <v>0</v>
      </c>
    </row>
    <row r="18" spans="1:14" ht="13.8">
      <c r="A18" s="201">
        <v>2.4</v>
      </c>
      <c r="B18" s="209" t="s">
        <v>261</v>
      </c>
      <c r="C18" s="205"/>
      <c r="D18" s="208">
        <v>0.03</v>
      </c>
      <c r="E18" s="204">
        <f>C18*D18</f>
        <v>0</v>
      </c>
      <c r="F18" s="205"/>
      <c r="G18" s="205"/>
      <c r="H18" s="205"/>
      <c r="I18" s="205"/>
      <c r="J18" s="205"/>
      <c r="K18" s="205"/>
      <c r="L18" s="205"/>
      <c r="M18" s="205"/>
      <c r="N18" s="206">
        <f t="shared" si="3"/>
        <v>0</v>
      </c>
    </row>
    <row r="19" spans="1:14" ht="13.8">
      <c r="A19" s="201">
        <v>2.5</v>
      </c>
      <c r="B19" s="209" t="s">
        <v>260</v>
      </c>
      <c r="C19" s="205"/>
      <c r="D19" s="208">
        <v>0.04</v>
      </c>
      <c r="E19" s="204">
        <f>C19*D19</f>
        <v>0</v>
      </c>
      <c r="F19" s="205"/>
      <c r="G19" s="205"/>
      <c r="H19" s="205"/>
      <c r="I19" s="205"/>
      <c r="J19" s="205"/>
      <c r="K19" s="205"/>
      <c r="L19" s="205"/>
      <c r="M19" s="205"/>
      <c r="N19" s="206">
        <f t="shared" si="3"/>
        <v>0</v>
      </c>
    </row>
    <row r="20" spans="1:14" ht="13.8">
      <c r="A20" s="201">
        <v>2.6</v>
      </c>
      <c r="B20" s="209" t="s">
        <v>259</v>
      </c>
      <c r="C20" s="205"/>
      <c r="D20" s="210"/>
      <c r="E20" s="212"/>
      <c r="F20" s="205"/>
      <c r="G20" s="205"/>
      <c r="H20" s="205"/>
      <c r="I20" s="205"/>
      <c r="J20" s="205"/>
      <c r="K20" s="205"/>
      <c r="L20" s="205"/>
      <c r="M20" s="205"/>
      <c r="N20" s="206">
        <f t="shared" si="3"/>
        <v>0</v>
      </c>
    </row>
    <row r="21" spans="1:14" ht="14.4" thickBot="1">
      <c r="A21" s="213"/>
      <c r="B21" s="214" t="s">
        <v>109</v>
      </c>
      <c r="C21" s="189">
        <f>C14+C7</f>
        <v>0</v>
      </c>
      <c r="D21" s="215"/>
      <c r="E21" s="216">
        <f>E14+E7</f>
        <v>0</v>
      </c>
      <c r="F21" s="217">
        <f>F7+F14</f>
        <v>0</v>
      </c>
      <c r="G21" s="217">
        <f t="shared" ref="G21:L21" si="4">G7+G14</f>
        <v>0</v>
      </c>
      <c r="H21" s="217">
        <f t="shared" si="4"/>
        <v>0</v>
      </c>
      <c r="I21" s="217">
        <f t="shared" si="4"/>
        <v>0</v>
      </c>
      <c r="J21" s="217">
        <f t="shared" si="4"/>
        <v>0</v>
      </c>
      <c r="K21" s="217">
        <f t="shared" si="4"/>
        <v>0</v>
      </c>
      <c r="L21" s="217">
        <f t="shared" si="4"/>
        <v>0</v>
      </c>
      <c r="M21" s="217">
        <f>M7+M14</f>
        <v>0</v>
      </c>
      <c r="N21" s="218">
        <f>N14+N7</f>
        <v>0</v>
      </c>
    </row>
    <row r="22" spans="1:14">
      <c r="E22" s="219"/>
      <c r="F22" s="219"/>
      <c r="G22" s="219"/>
      <c r="H22" s="219"/>
      <c r="I22" s="219"/>
      <c r="J22" s="219"/>
      <c r="K22" s="219"/>
      <c r="L22" s="219"/>
      <c r="M22" s="21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B2" sqref="B2"/>
    </sheetView>
  </sheetViews>
  <sheetFormatPr defaultRowHeight="14.4"/>
  <cols>
    <col min="1" max="1" width="11.44140625" customWidth="1"/>
    <col min="2" max="2" width="76.88671875" style="393" customWidth="1"/>
    <col min="3" max="3" width="22.88671875" customWidth="1"/>
  </cols>
  <sheetData>
    <row r="1" spans="1:3">
      <c r="A1" s="2" t="s">
        <v>30</v>
      </c>
      <c r="B1" t="str">
        <f>'Info '!C2</f>
        <v>JSC CARTU BANK</v>
      </c>
    </row>
    <row r="2" spans="1:3">
      <c r="A2" s="2" t="s">
        <v>31</v>
      </c>
      <c r="B2" s="456">
        <f>'1. key ratios '!B2</f>
        <v>43646</v>
      </c>
    </row>
    <row r="3" spans="1:3">
      <c r="A3" s="4"/>
      <c r="B3"/>
    </row>
    <row r="4" spans="1:3">
      <c r="A4" s="4" t="s">
        <v>439</v>
      </c>
      <c r="B4" t="s">
        <v>440</v>
      </c>
    </row>
    <row r="5" spans="1:3">
      <c r="A5" s="394" t="s">
        <v>441</v>
      </c>
      <c r="B5" s="395"/>
      <c r="C5" s="396"/>
    </row>
    <row r="6" spans="1:3">
      <c r="A6" s="397">
        <v>1</v>
      </c>
      <c r="B6" s="398" t="s">
        <v>442</v>
      </c>
      <c r="C6" s="399">
        <v>1150307507.4200063</v>
      </c>
    </row>
    <row r="7" spans="1:3">
      <c r="A7" s="397">
        <v>2</v>
      </c>
      <c r="B7" s="398" t="s">
        <v>443</v>
      </c>
      <c r="C7" s="399">
        <v>-4905563</v>
      </c>
    </row>
    <row r="8" spans="1:3" ht="24">
      <c r="A8" s="400">
        <v>3</v>
      </c>
      <c r="B8" s="401" t="s">
        <v>444</v>
      </c>
      <c r="C8" s="399">
        <v>1145401944.4200063</v>
      </c>
    </row>
    <row r="9" spans="1:3">
      <c r="A9" s="394" t="s">
        <v>445</v>
      </c>
      <c r="B9" s="395"/>
      <c r="C9" s="402"/>
    </row>
    <row r="10" spans="1:3">
      <c r="A10" s="403">
        <v>4</v>
      </c>
      <c r="B10" s="404" t="s">
        <v>446</v>
      </c>
      <c r="C10" s="399"/>
    </row>
    <row r="11" spans="1:3">
      <c r="A11" s="403">
        <v>5</v>
      </c>
      <c r="B11" s="405" t="s">
        <v>447</v>
      </c>
      <c r="C11" s="399"/>
    </row>
    <row r="12" spans="1:3">
      <c r="A12" s="403" t="s">
        <v>448</v>
      </c>
      <c r="B12" s="405" t="s">
        <v>449</v>
      </c>
      <c r="C12" s="399">
        <v>0</v>
      </c>
    </row>
    <row r="13" spans="1:3" ht="22.8">
      <c r="A13" s="406">
        <v>6</v>
      </c>
      <c r="B13" s="404" t="s">
        <v>450</v>
      </c>
      <c r="C13" s="399"/>
    </row>
    <row r="14" spans="1:3">
      <c r="A14" s="406">
        <v>7</v>
      </c>
      <c r="B14" s="407" t="s">
        <v>451</v>
      </c>
      <c r="C14" s="399"/>
    </row>
    <row r="15" spans="1:3">
      <c r="A15" s="408">
        <v>8</v>
      </c>
      <c r="B15" s="409" t="s">
        <v>452</v>
      </c>
      <c r="C15" s="399"/>
    </row>
    <row r="16" spans="1:3">
      <c r="A16" s="406">
        <v>9</v>
      </c>
      <c r="B16" s="407" t="s">
        <v>453</v>
      </c>
      <c r="C16" s="399"/>
    </row>
    <row r="17" spans="1:3">
      <c r="A17" s="406">
        <v>10</v>
      </c>
      <c r="B17" s="407" t="s">
        <v>454</v>
      </c>
      <c r="C17" s="399"/>
    </row>
    <row r="18" spans="1:3">
      <c r="A18" s="410">
        <v>11</v>
      </c>
      <c r="B18" s="411" t="s">
        <v>455</v>
      </c>
      <c r="C18" s="412">
        <v>0</v>
      </c>
    </row>
    <row r="19" spans="1:3">
      <c r="A19" s="413" t="s">
        <v>456</v>
      </c>
      <c r="B19" s="414"/>
      <c r="C19" s="415"/>
    </row>
    <row r="20" spans="1:3">
      <c r="A20" s="416">
        <v>12</v>
      </c>
      <c r="B20" s="404" t="s">
        <v>457</v>
      </c>
      <c r="C20" s="399"/>
    </row>
    <row r="21" spans="1:3">
      <c r="A21" s="416">
        <v>13</v>
      </c>
      <c r="B21" s="404" t="s">
        <v>458</v>
      </c>
      <c r="C21" s="399"/>
    </row>
    <row r="22" spans="1:3">
      <c r="A22" s="416">
        <v>14</v>
      </c>
      <c r="B22" s="404" t="s">
        <v>459</v>
      </c>
      <c r="C22" s="399"/>
    </row>
    <row r="23" spans="1:3" ht="22.8">
      <c r="A23" s="416" t="s">
        <v>460</v>
      </c>
      <c r="B23" s="404" t="s">
        <v>461</v>
      </c>
      <c r="C23" s="399"/>
    </row>
    <row r="24" spans="1:3">
      <c r="A24" s="416">
        <v>15</v>
      </c>
      <c r="B24" s="404" t="s">
        <v>462</v>
      </c>
      <c r="C24" s="399"/>
    </row>
    <row r="25" spans="1:3">
      <c r="A25" s="416" t="s">
        <v>463</v>
      </c>
      <c r="B25" s="404" t="s">
        <v>464</v>
      </c>
      <c r="C25" s="399"/>
    </row>
    <row r="26" spans="1:3">
      <c r="A26" s="417">
        <v>16</v>
      </c>
      <c r="B26" s="418" t="s">
        <v>465</v>
      </c>
      <c r="C26" s="412">
        <v>0</v>
      </c>
    </row>
    <row r="27" spans="1:3">
      <c r="A27" s="394" t="s">
        <v>466</v>
      </c>
      <c r="B27" s="395"/>
      <c r="C27" s="402"/>
    </row>
    <row r="28" spans="1:3">
      <c r="A28" s="419">
        <v>17</v>
      </c>
      <c r="B28" s="405" t="s">
        <v>467</v>
      </c>
      <c r="C28" s="399">
        <v>78734636.111960039</v>
      </c>
    </row>
    <row r="29" spans="1:3">
      <c r="A29" s="419">
        <v>18</v>
      </c>
      <c r="B29" s="405" t="s">
        <v>468</v>
      </c>
      <c r="C29" s="399">
        <v>-13024562.405000016</v>
      </c>
    </row>
    <row r="30" spans="1:3">
      <c r="A30" s="417">
        <v>19</v>
      </c>
      <c r="B30" s="418" t="s">
        <v>469</v>
      </c>
      <c r="C30" s="412">
        <v>65710073.706960022</v>
      </c>
    </row>
    <row r="31" spans="1:3">
      <c r="A31" s="394" t="s">
        <v>470</v>
      </c>
      <c r="B31" s="395"/>
      <c r="C31" s="402"/>
    </row>
    <row r="32" spans="1:3" ht="22.8">
      <c r="A32" s="419" t="s">
        <v>471</v>
      </c>
      <c r="B32" s="404" t="s">
        <v>472</v>
      </c>
      <c r="C32" s="420"/>
    </row>
    <row r="33" spans="1:3">
      <c r="A33" s="419" t="s">
        <v>473</v>
      </c>
      <c r="B33" s="405" t="s">
        <v>474</v>
      </c>
      <c r="C33" s="420"/>
    </row>
    <row r="34" spans="1:3">
      <c r="A34" s="394" t="s">
        <v>475</v>
      </c>
      <c r="B34" s="395"/>
      <c r="C34" s="402"/>
    </row>
    <row r="35" spans="1:3">
      <c r="A35" s="421">
        <v>20</v>
      </c>
      <c r="B35" s="422" t="s">
        <v>476</v>
      </c>
      <c r="C35" s="412">
        <v>208052314</v>
      </c>
    </row>
    <row r="36" spans="1:3">
      <c r="A36" s="417">
        <v>21</v>
      </c>
      <c r="B36" s="418" t="s">
        <v>477</v>
      </c>
      <c r="C36" s="412">
        <v>1211112018.1269662</v>
      </c>
    </row>
    <row r="37" spans="1:3">
      <c r="A37" s="394" t="s">
        <v>478</v>
      </c>
      <c r="B37" s="395"/>
      <c r="C37" s="402"/>
    </row>
    <row r="38" spans="1:3">
      <c r="A38" s="417">
        <v>22</v>
      </c>
      <c r="B38" s="418" t="s">
        <v>478</v>
      </c>
      <c r="C38" s="519">
        <f>IFERROR(C35/C36,0)</f>
        <v>0.17178618565916084</v>
      </c>
    </row>
    <row r="39" spans="1:3">
      <c r="A39" s="394" t="s">
        <v>479</v>
      </c>
      <c r="B39" s="395"/>
      <c r="C39" s="402"/>
    </row>
    <row r="40" spans="1:3">
      <c r="A40" s="423" t="s">
        <v>480</v>
      </c>
      <c r="B40" s="404" t="s">
        <v>481</v>
      </c>
      <c r="C40" s="420"/>
    </row>
    <row r="41" spans="1:3" ht="22.8">
      <c r="A41" s="424" t="s">
        <v>482</v>
      </c>
      <c r="B41" s="398" t="s">
        <v>483</v>
      </c>
      <c r="C41" s="4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09375" defaultRowHeight="13.8"/>
  <cols>
    <col min="1" max="1" width="9.5546875" style="3" bestFit="1" customWidth="1"/>
    <col min="2" max="2" width="86" style="3" customWidth="1"/>
    <col min="3" max="3" width="12.6640625" style="3" customWidth="1"/>
    <col min="4" max="7" width="12.6640625" style="4" customWidth="1"/>
    <col min="8" max="13" width="6.6640625" style="5" customWidth="1"/>
    <col min="14" max="16384" width="9.109375" style="5"/>
  </cols>
  <sheetData>
    <row r="1" spans="1:8">
      <c r="A1" s="2" t="s">
        <v>30</v>
      </c>
      <c r="B1" s="3" t="s">
        <v>486</v>
      </c>
    </row>
    <row r="2" spans="1:8">
      <c r="A2" s="2" t="s">
        <v>31</v>
      </c>
      <c r="B2" s="439">
        <v>43646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0" t="s">
        <v>519</v>
      </c>
      <c r="D5" s="440" t="s">
        <v>487</v>
      </c>
      <c r="E5" s="440" t="s">
        <v>488</v>
      </c>
      <c r="F5" s="440" t="s">
        <v>489</v>
      </c>
      <c r="G5" s="444" t="s">
        <v>490</v>
      </c>
    </row>
    <row r="6" spans="1:8">
      <c r="B6" s="238" t="s">
        <v>142</v>
      </c>
      <c r="C6" s="445"/>
      <c r="D6" s="445"/>
      <c r="E6" s="445"/>
      <c r="F6" s="445"/>
      <c r="G6" s="446"/>
    </row>
    <row r="7" spans="1:8">
      <c r="A7" s="13"/>
      <c r="B7" s="239" t="s">
        <v>136</v>
      </c>
      <c r="C7" s="445"/>
      <c r="D7" s="445"/>
      <c r="E7" s="445"/>
      <c r="F7" s="445"/>
      <c r="G7" s="446"/>
    </row>
    <row r="8" spans="1:8">
      <c r="A8" s="387">
        <v>1</v>
      </c>
      <c r="B8" s="14" t="s">
        <v>141</v>
      </c>
      <c r="C8" s="441">
        <v>187971414</v>
      </c>
      <c r="D8" s="441">
        <v>205002460</v>
      </c>
      <c r="E8" s="441">
        <v>220763712</v>
      </c>
      <c r="F8" s="441">
        <v>213601018</v>
      </c>
      <c r="G8" s="447">
        <v>225887221</v>
      </c>
    </row>
    <row r="9" spans="1:8">
      <c r="A9" s="387">
        <v>2</v>
      </c>
      <c r="B9" s="14" t="s">
        <v>140</v>
      </c>
      <c r="C9" s="441">
        <v>208052314</v>
      </c>
      <c r="D9" s="441">
        <v>205002460</v>
      </c>
      <c r="E9" s="441">
        <v>220763712</v>
      </c>
      <c r="F9" s="441">
        <v>213601018</v>
      </c>
      <c r="G9" s="447">
        <v>225887221</v>
      </c>
    </row>
    <row r="10" spans="1:8">
      <c r="A10" s="387">
        <v>3</v>
      </c>
      <c r="B10" s="14" t="s">
        <v>139</v>
      </c>
      <c r="C10" s="441">
        <v>413734563</v>
      </c>
      <c r="D10" s="441">
        <v>417876184</v>
      </c>
      <c r="E10" s="441">
        <v>432657101</v>
      </c>
      <c r="F10" s="441">
        <v>449664223.14069903</v>
      </c>
      <c r="G10" s="447">
        <v>443649135</v>
      </c>
    </row>
    <row r="11" spans="1:8">
      <c r="A11" s="388"/>
      <c r="B11" s="238" t="s">
        <v>138</v>
      </c>
      <c r="C11" s="445"/>
      <c r="D11" s="445"/>
      <c r="E11" s="445"/>
      <c r="F11" s="445"/>
      <c r="G11" s="446"/>
    </row>
    <row r="12" spans="1:8" ht="15" customHeight="1">
      <c r="A12" s="387">
        <v>4</v>
      </c>
      <c r="B12" s="14" t="s">
        <v>271</v>
      </c>
      <c r="C12" s="448">
        <v>1392496942.6090484</v>
      </c>
      <c r="D12" s="441">
        <v>1298103990.8676498</v>
      </c>
      <c r="E12" s="441">
        <v>1381508823.4325151</v>
      </c>
      <c r="F12" s="441">
        <v>1435351301.9981868</v>
      </c>
      <c r="G12" s="447">
        <v>1328011675.2486753</v>
      </c>
    </row>
    <row r="13" spans="1:8">
      <c r="A13" s="388"/>
      <c r="B13" s="238" t="s">
        <v>137</v>
      </c>
      <c r="C13" s="445"/>
      <c r="D13" s="445"/>
      <c r="E13" s="445"/>
      <c r="F13" s="445"/>
      <c r="G13" s="446"/>
    </row>
    <row r="14" spans="1:8" s="15" customFormat="1">
      <c r="A14" s="387"/>
      <c r="B14" s="239" t="s">
        <v>136</v>
      </c>
      <c r="C14" s="445"/>
      <c r="D14" s="445"/>
      <c r="E14" s="445"/>
      <c r="F14" s="445"/>
      <c r="G14" s="446"/>
    </row>
    <row r="15" spans="1:8">
      <c r="A15" s="389">
        <v>5</v>
      </c>
      <c r="B15" s="14" t="str">
        <f>"Common equity Tier 1 ratio &gt;="&amp;TEXT('9.1. Capital Requirements'!$C$19*100,"#.##")&amp;"%"</f>
        <v>Common equity Tier 1 ratio &gt;=9.16%</v>
      </c>
      <c r="C15" s="449">
        <v>0.13498874449792891</v>
      </c>
      <c r="D15" s="449">
        <v>0.15792452795941012</v>
      </c>
      <c r="E15" s="449">
        <v>0.15979898807413156</v>
      </c>
      <c r="F15" s="449">
        <v>0.14881445239408703</v>
      </c>
      <c r="G15" s="450">
        <v>0.17009430354420774</v>
      </c>
    </row>
    <row r="16" spans="1:8" ht="15" customHeight="1">
      <c r="A16" s="389">
        <v>6</v>
      </c>
      <c r="B16" s="14" t="str">
        <f>"Tier 1 ratio &gt;="&amp;TEXT('9.1. Capital Requirements'!$C$20*100,"#.##")&amp;"%"</f>
        <v>Tier 1 ratio &gt;=11.39%</v>
      </c>
      <c r="C16" s="449">
        <v>0.1494095301998892</v>
      </c>
      <c r="D16" s="449">
        <v>0.15792452795941012</v>
      </c>
      <c r="E16" s="449">
        <v>0.15979898807413156</v>
      </c>
      <c r="F16" s="449">
        <v>0.14881445239408703</v>
      </c>
      <c r="G16" s="450">
        <v>0.17009430354420774</v>
      </c>
    </row>
    <row r="17" spans="1:7">
      <c r="A17" s="389">
        <v>7</v>
      </c>
      <c r="B17" s="14" t="str">
        <f>"Total Regulatory Capital ratio &gt;="&amp;TEXT('9.1. Capital Requirements'!$C$21*100,"#.##")&amp;"%"</f>
        <v>Total Regulatory Capital ratio &gt;=19.36%</v>
      </c>
      <c r="C17" s="449">
        <v>0.29711703511880411</v>
      </c>
      <c r="D17" s="449">
        <v>0.32191271804094257</v>
      </c>
      <c r="E17" s="449">
        <v>0.31317722598760855</v>
      </c>
      <c r="F17" s="449">
        <v>0.31327816578053802</v>
      </c>
      <c r="G17" s="450">
        <v>0.33407020681269611</v>
      </c>
    </row>
    <row r="18" spans="1:7">
      <c r="A18" s="388"/>
      <c r="B18" s="240" t="s">
        <v>135</v>
      </c>
      <c r="C18" s="445"/>
      <c r="D18" s="445"/>
      <c r="E18" s="445"/>
      <c r="F18" s="445"/>
      <c r="G18" s="446"/>
    </row>
    <row r="19" spans="1:7" ht="15" customHeight="1">
      <c r="A19" s="390">
        <v>8</v>
      </c>
      <c r="B19" s="14" t="s">
        <v>134</v>
      </c>
      <c r="C19" s="449">
        <v>7.8792121256642991E-2</v>
      </c>
      <c r="D19" s="449">
        <v>7.4393771591169222E-2</v>
      </c>
      <c r="E19" s="449">
        <v>6.8869777669524818E-2</v>
      </c>
      <c r="F19" s="449">
        <v>6.7875055063455161E-2</v>
      </c>
      <c r="G19" s="450">
        <v>6.611481981600173E-2</v>
      </c>
    </row>
    <row r="20" spans="1:7">
      <c r="A20" s="390">
        <v>9</v>
      </c>
      <c r="B20" s="14" t="s">
        <v>133</v>
      </c>
      <c r="C20" s="449">
        <v>2.3658345222560891E-2</v>
      </c>
      <c r="D20" s="449">
        <v>2.4126556739941293E-2</v>
      </c>
      <c r="E20" s="449">
        <v>2.576856840823501E-2</v>
      </c>
      <c r="F20" s="449">
        <v>2.5758209009402611E-2</v>
      </c>
      <c r="G20" s="450">
        <v>2.5472257280309791E-2</v>
      </c>
    </row>
    <row r="21" spans="1:7">
      <c r="A21" s="390">
        <v>10</v>
      </c>
      <c r="B21" s="14" t="s">
        <v>132</v>
      </c>
      <c r="C21" s="449">
        <v>3.652973783017812E-2</v>
      </c>
      <c r="D21" s="449">
        <v>2.9332291113924026E-2</v>
      </c>
      <c r="E21" s="449">
        <v>3.1701715649815776E-2</v>
      </c>
      <c r="F21" s="449">
        <v>3.4090797916205354E-2</v>
      </c>
      <c r="G21" s="450">
        <v>2.7478556203355656E-2</v>
      </c>
    </row>
    <row r="22" spans="1:7">
      <c r="A22" s="390">
        <v>11</v>
      </c>
      <c r="B22" s="14" t="s">
        <v>131</v>
      </c>
      <c r="C22" s="449">
        <v>5.5133776034082094E-2</v>
      </c>
      <c r="D22" s="449">
        <v>5.0267214851227926E-2</v>
      </c>
      <c r="E22" s="449">
        <v>4.3101209261289804E-2</v>
      </c>
      <c r="F22" s="449">
        <v>4.2116846054052554E-2</v>
      </c>
      <c r="G22" s="450">
        <v>4.0642562535691942E-2</v>
      </c>
    </row>
    <row r="23" spans="1:7">
      <c r="A23" s="390">
        <v>12</v>
      </c>
      <c r="B23" s="14" t="s">
        <v>277</v>
      </c>
      <c r="C23" s="449">
        <v>2.0911813873067724E-2</v>
      </c>
      <c r="D23" s="449">
        <v>1.4851126355640393E-2</v>
      </c>
      <c r="E23" s="449">
        <v>1.5245647500718669E-2</v>
      </c>
      <c r="F23" s="449">
        <v>1.2306832207069357E-2</v>
      </c>
      <c r="G23" s="450">
        <v>5.4002580139866233E-3</v>
      </c>
    </row>
    <row r="24" spans="1:7">
      <c r="A24" s="390">
        <v>13</v>
      </c>
      <c r="B24" s="14" t="s">
        <v>278</v>
      </c>
      <c r="C24" s="449">
        <v>0.11710713613534525</v>
      </c>
      <c r="D24" s="449">
        <v>7.7879057341487395E-2</v>
      </c>
      <c r="E24" s="449">
        <v>7.7733662887247201E-2</v>
      </c>
      <c r="F24" s="449">
        <v>6.2518158545612795E-2</v>
      </c>
      <c r="G24" s="450">
        <v>2.7118849221469978E-2</v>
      </c>
    </row>
    <row r="25" spans="1:7">
      <c r="A25" s="388"/>
      <c r="B25" s="240" t="s">
        <v>357</v>
      </c>
      <c r="C25" s="445"/>
      <c r="D25" s="445"/>
      <c r="E25" s="445"/>
      <c r="F25" s="445"/>
      <c r="G25" s="446"/>
    </row>
    <row r="26" spans="1:7">
      <c r="A26" s="390">
        <v>14</v>
      </c>
      <c r="B26" s="14" t="s">
        <v>130</v>
      </c>
      <c r="C26" s="449">
        <v>0.40771722359086521</v>
      </c>
      <c r="D26" s="449">
        <v>0.36782623479854143</v>
      </c>
      <c r="E26" s="449">
        <v>0.35914968422147536</v>
      </c>
      <c r="F26" s="449">
        <v>0.35195794650276119</v>
      </c>
      <c r="G26" s="450">
        <v>0.35901517103269759</v>
      </c>
    </row>
    <row r="27" spans="1:7" ht="15" customHeight="1">
      <c r="A27" s="390">
        <v>15</v>
      </c>
      <c r="B27" s="14" t="s">
        <v>129</v>
      </c>
      <c r="C27" s="449">
        <v>0.16231154883304391</v>
      </c>
      <c r="D27" s="449">
        <v>0.14302761812648807</v>
      </c>
      <c r="E27" s="449">
        <v>0.13849547929493877</v>
      </c>
      <c r="F27" s="449">
        <v>0.13898104895210672</v>
      </c>
      <c r="G27" s="450">
        <v>0.13679783620183003</v>
      </c>
    </row>
    <row r="28" spans="1:7">
      <c r="A28" s="390">
        <v>16</v>
      </c>
      <c r="B28" s="14" t="s">
        <v>128</v>
      </c>
      <c r="C28" s="449">
        <v>0.66909917097400295</v>
      </c>
      <c r="D28" s="449">
        <v>0.62071275044041196</v>
      </c>
      <c r="E28" s="449">
        <v>0.61752701946481858</v>
      </c>
      <c r="F28" s="449">
        <v>0.60736406053144276</v>
      </c>
      <c r="G28" s="450">
        <v>0.62810038186619921</v>
      </c>
    </row>
    <row r="29" spans="1:7" ht="15" customHeight="1">
      <c r="A29" s="390">
        <v>17</v>
      </c>
      <c r="B29" s="14" t="s">
        <v>127</v>
      </c>
      <c r="C29" s="449">
        <v>0.67542171742731194</v>
      </c>
      <c r="D29" s="449">
        <v>0.62782200044927827</v>
      </c>
      <c r="E29" s="449">
        <v>0.60607663353181018</v>
      </c>
      <c r="F29" s="449">
        <v>0.6237976955187633</v>
      </c>
      <c r="G29" s="450">
        <v>0.61327939040067136</v>
      </c>
    </row>
    <row r="30" spans="1:7">
      <c r="A30" s="390">
        <v>18</v>
      </c>
      <c r="B30" s="14" t="s">
        <v>126</v>
      </c>
      <c r="C30" s="449">
        <v>-1.9474945958888323E-2</v>
      </c>
      <c r="D30" s="449">
        <v>-2.690143399493361E-3</v>
      </c>
      <c r="E30" s="449">
        <v>2.8948492293526806E-2</v>
      </c>
      <c r="F30" s="449">
        <v>-5.3431982249165788E-3</v>
      </c>
      <c r="G30" s="450">
        <v>-2.0147445656733431E-2</v>
      </c>
    </row>
    <row r="31" spans="1:7" ht="15" customHeight="1">
      <c r="A31" s="388"/>
      <c r="B31" s="240" t="s">
        <v>358</v>
      </c>
      <c r="C31" s="445"/>
      <c r="D31" s="445"/>
      <c r="E31" s="445"/>
      <c r="F31" s="445"/>
      <c r="G31" s="446"/>
    </row>
    <row r="32" spans="1:7" ht="15" customHeight="1">
      <c r="A32" s="390">
        <v>19</v>
      </c>
      <c r="B32" s="14" t="s">
        <v>125</v>
      </c>
      <c r="C32" s="449">
        <v>0.26561154695335804</v>
      </c>
      <c r="D32" s="449">
        <v>0.2401095105796863</v>
      </c>
      <c r="E32" s="449">
        <v>0.25456700581335773</v>
      </c>
      <c r="F32" s="449">
        <v>0.28523671467693701</v>
      </c>
      <c r="G32" s="450">
        <v>0.22332010762719298</v>
      </c>
    </row>
    <row r="33" spans="1:7" ht="15" customHeight="1">
      <c r="A33" s="390">
        <v>20</v>
      </c>
      <c r="B33" s="14" t="s">
        <v>124</v>
      </c>
      <c r="C33" s="449">
        <v>0.90275322902111055</v>
      </c>
      <c r="D33" s="449">
        <v>0.91540449009230229</v>
      </c>
      <c r="E33" s="449">
        <v>0.87460779793397492</v>
      </c>
      <c r="F33" s="449">
        <v>0.84514146195679363</v>
      </c>
      <c r="G33" s="450">
        <v>0.88068725586693641</v>
      </c>
    </row>
    <row r="34" spans="1:7" ht="15" customHeight="1">
      <c r="A34" s="390">
        <v>21</v>
      </c>
      <c r="B34" s="14" t="s">
        <v>123</v>
      </c>
      <c r="C34" s="449">
        <v>0.31435631508389533</v>
      </c>
      <c r="D34" s="449">
        <v>0.29697614278110768</v>
      </c>
      <c r="E34" s="449">
        <v>0.3086605244879751</v>
      </c>
      <c r="F34" s="449">
        <v>0.32447579899455464</v>
      </c>
      <c r="G34" s="450">
        <v>0.26527037926271257</v>
      </c>
    </row>
    <row r="35" spans="1:7" ht="15" customHeight="1">
      <c r="A35" s="391"/>
      <c r="B35" s="240" t="s">
        <v>401</v>
      </c>
      <c r="C35" s="445"/>
      <c r="D35" s="445"/>
      <c r="E35" s="445"/>
      <c r="F35" s="445"/>
      <c r="G35" s="446"/>
    </row>
    <row r="36" spans="1:7">
      <c r="A36" s="390">
        <v>22</v>
      </c>
      <c r="B36" s="14" t="s">
        <v>384</v>
      </c>
      <c r="C36" s="442">
        <v>287529493.42388487</v>
      </c>
      <c r="D36" s="442">
        <v>261784898.58272907</v>
      </c>
      <c r="E36" s="442">
        <v>303859040.16574132</v>
      </c>
      <c r="F36" s="442">
        <v>293208220.02744257</v>
      </c>
      <c r="G36" s="443">
        <v>274583991.79835111</v>
      </c>
    </row>
    <row r="37" spans="1:7" ht="15" customHeight="1">
      <c r="A37" s="390">
        <v>23</v>
      </c>
      <c r="B37" s="14" t="s">
        <v>396</v>
      </c>
      <c r="C37" s="442">
        <v>131191596.84480809</v>
      </c>
      <c r="D37" s="442">
        <v>106988387.95930007</v>
      </c>
      <c r="E37" s="442">
        <v>114639306.97298403</v>
      </c>
      <c r="F37" s="442">
        <v>104455906.5296901</v>
      </c>
      <c r="G37" s="443">
        <v>105898565.50430945</v>
      </c>
    </row>
    <row r="38" spans="1:7" ht="14.4" thickBot="1">
      <c r="A38" s="392">
        <v>24</v>
      </c>
      <c r="B38" s="241" t="s">
        <v>385</v>
      </c>
      <c r="C38" s="451">
        <v>2.1916761464837973</v>
      </c>
      <c r="D38" s="452">
        <v>2.446853378913568</v>
      </c>
      <c r="E38" s="452">
        <v>2.6505659200936109</v>
      </c>
      <c r="F38" s="452">
        <v>2.807004694790546</v>
      </c>
      <c r="G38" s="453">
        <v>2.5928962350975109</v>
      </c>
    </row>
    <row r="39" spans="1:7">
      <c r="A39" s="16"/>
    </row>
    <row r="40" spans="1:7">
      <c r="B40" s="320"/>
    </row>
    <row r="41" spans="1:7" ht="52.8">
      <c r="B41" s="320" t="s">
        <v>400</v>
      </c>
    </row>
    <row r="43" spans="1:7" ht="14.4">
      <c r="B43" s="3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E41" sqref="E41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5.109375" style="4" customWidth="1"/>
    <col min="4" max="4" width="13.33203125" style="4" customWidth="1"/>
    <col min="5" max="5" width="14.5546875" style="4" customWidth="1"/>
    <col min="6" max="6" width="11.6640625" style="4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55">
        <f>'1. key ratios '!B2</f>
        <v>43646</v>
      </c>
    </row>
    <row r="3" spans="1:8">
      <c r="A3" s="2"/>
    </row>
    <row r="4" spans="1:8" ht="14.4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23" t="s">
        <v>68</v>
      </c>
      <c r="D5" s="524"/>
      <c r="E5" s="525"/>
      <c r="F5" s="523" t="s">
        <v>72</v>
      </c>
      <c r="G5" s="524"/>
      <c r="H5" s="526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4556763</v>
      </c>
      <c r="D7" s="29">
        <v>27670521</v>
      </c>
      <c r="E7" s="30">
        <f>C7+D7</f>
        <v>32227284</v>
      </c>
      <c r="F7" s="31">
        <v>9353234</v>
      </c>
      <c r="G7" s="32">
        <v>10074950</v>
      </c>
      <c r="H7" s="33">
        <f>F7+G7</f>
        <v>19428184</v>
      </c>
    </row>
    <row r="8" spans="1:8">
      <c r="A8" s="24">
        <v>2</v>
      </c>
      <c r="B8" s="28" t="s">
        <v>36</v>
      </c>
      <c r="C8" s="29">
        <v>1280908</v>
      </c>
      <c r="D8" s="29">
        <v>200504434</v>
      </c>
      <c r="E8" s="30">
        <f t="shared" ref="E8:E20" si="0">C8+D8</f>
        <v>201785342</v>
      </c>
      <c r="F8" s="31">
        <v>21143811</v>
      </c>
      <c r="G8" s="32">
        <v>151230233</v>
      </c>
      <c r="H8" s="33">
        <f t="shared" ref="H8:H31" si="1">F8+G8</f>
        <v>172374044</v>
      </c>
    </row>
    <row r="9" spans="1:8">
      <c r="A9" s="24">
        <v>3</v>
      </c>
      <c r="B9" s="28" t="s">
        <v>37</v>
      </c>
      <c r="C9" s="29">
        <v>45910145</v>
      </c>
      <c r="D9" s="29">
        <v>69956970</v>
      </c>
      <c r="E9" s="30">
        <f t="shared" si="0"/>
        <v>115867115</v>
      </c>
      <c r="F9" s="31">
        <v>44139117</v>
      </c>
      <c r="G9" s="32">
        <v>90136937</v>
      </c>
      <c r="H9" s="33">
        <f t="shared" si="1"/>
        <v>134276054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14316543</v>
      </c>
      <c r="D11" s="29">
        <v>14055590</v>
      </c>
      <c r="E11" s="30">
        <f t="shared" si="0"/>
        <v>28372133</v>
      </c>
      <c r="F11" s="31">
        <v>30490555</v>
      </c>
      <c r="G11" s="32">
        <v>0</v>
      </c>
      <c r="H11" s="33">
        <f t="shared" si="1"/>
        <v>30490555</v>
      </c>
    </row>
    <row r="12" spans="1:8">
      <c r="A12" s="24">
        <v>6.1</v>
      </c>
      <c r="B12" s="34" t="s">
        <v>40</v>
      </c>
      <c r="C12" s="29">
        <v>273599385</v>
      </c>
      <c r="D12" s="29">
        <v>553232587</v>
      </c>
      <c r="E12" s="30">
        <f t="shared" si="0"/>
        <v>826831972</v>
      </c>
      <c r="F12" s="31">
        <v>298642349</v>
      </c>
      <c r="G12" s="32">
        <v>504376354</v>
      </c>
      <c r="H12" s="33">
        <f t="shared" si="1"/>
        <v>803018703</v>
      </c>
    </row>
    <row r="13" spans="1:8">
      <c r="A13" s="24">
        <v>6.2</v>
      </c>
      <c r="B13" s="34" t="s">
        <v>41</v>
      </c>
      <c r="C13" s="29">
        <v>-41200400</v>
      </c>
      <c r="D13" s="29">
        <v>-93003978</v>
      </c>
      <c r="E13" s="30">
        <f t="shared" si="0"/>
        <v>-134204378</v>
      </c>
      <c r="F13" s="31">
        <v>-44528613</v>
      </c>
      <c r="G13" s="32">
        <v>-65322608</v>
      </c>
      <c r="H13" s="33">
        <f t="shared" si="1"/>
        <v>-109851221</v>
      </c>
    </row>
    <row r="14" spans="1:8">
      <c r="A14" s="24">
        <v>6</v>
      </c>
      <c r="B14" s="28" t="s">
        <v>42</v>
      </c>
      <c r="C14" s="30">
        <f>C12+C13</f>
        <v>232398985</v>
      </c>
      <c r="D14" s="30">
        <f>D12+D13</f>
        <v>460228609</v>
      </c>
      <c r="E14" s="30">
        <f t="shared" si="0"/>
        <v>692627594</v>
      </c>
      <c r="F14" s="30">
        <v>254113736</v>
      </c>
      <c r="G14" s="30">
        <v>439053746</v>
      </c>
      <c r="H14" s="33">
        <f t="shared" si="1"/>
        <v>693167482</v>
      </c>
    </row>
    <row r="15" spans="1:8">
      <c r="A15" s="24">
        <v>7</v>
      </c>
      <c r="B15" s="28" t="s">
        <v>43</v>
      </c>
      <c r="C15" s="29">
        <v>2649583</v>
      </c>
      <c r="D15" s="29">
        <v>3569542</v>
      </c>
      <c r="E15" s="30">
        <f t="shared" si="0"/>
        <v>6219125</v>
      </c>
      <c r="F15" s="31">
        <v>6366894</v>
      </c>
      <c r="G15" s="32">
        <v>2948132</v>
      </c>
      <c r="H15" s="33">
        <f t="shared" si="1"/>
        <v>9315026</v>
      </c>
    </row>
    <row r="16" spans="1:8">
      <c r="A16" s="24">
        <v>8</v>
      </c>
      <c r="B16" s="28" t="s">
        <v>204</v>
      </c>
      <c r="C16" s="29">
        <v>24630937</v>
      </c>
      <c r="D16" s="29" t="s">
        <v>491</v>
      </c>
      <c r="E16" s="30">
        <f>C16</f>
        <v>24630937</v>
      </c>
      <c r="F16" s="31">
        <v>36559044</v>
      </c>
      <c r="G16" s="32" t="s">
        <v>491</v>
      </c>
      <c r="H16" s="33">
        <f>F16</f>
        <v>36559044</v>
      </c>
    </row>
    <row r="17" spans="1:8">
      <c r="A17" s="24">
        <v>9</v>
      </c>
      <c r="B17" s="28" t="s">
        <v>44</v>
      </c>
      <c r="C17" s="29">
        <v>4883540</v>
      </c>
      <c r="D17" s="29">
        <v>0</v>
      </c>
      <c r="E17" s="30">
        <f t="shared" si="0"/>
        <v>4883540</v>
      </c>
      <c r="F17" s="31">
        <v>2883540</v>
      </c>
      <c r="G17" s="32">
        <v>0</v>
      </c>
      <c r="H17" s="33">
        <f t="shared" si="1"/>
        <v>2883540</v>
      </c>
    </row>
    <row r="18" spans="1:8">
      <c r="A18" s="24">
        <v>10</v>
      </c>
      <c r="B18" s="28" t="s">
        <v>45</v>
      </c>
      <c r="C18" s="29">
        <v>17593376</v>
      </c>
      <c r="D18" s="29" t="s">
        <v>491</v>
      </c>
      <c r="E18" s="30">
        <f>C18</f>
        <v>17593376</v>
      </c>
      <c r="F18" s="31">
        <v>19187264</v>
      </c>
      <c r="G18" s="32" t="s">
        <v>491</v>
      </c>
      <c r="H18" s="33">
        <f>F18</f>
        <v>19187264</v>
      </c>
    </row>
    <row r="19" spans="1:8">
      <c r="A19" s="24">
        <v>11</v>
      </c>
      <c r="B19" s="28" t="s">
        <v>46</v>
      </c>
      <c r="C19" s="29">
        <v>25144057</v>
      </c>
      <c r="D19" s="29">
        <v>957010</v>
      </c>
      <c r="E19" s="30">
        <f t="shared" si="0"/>
        <v>26101067</v>
      </c>
      <c r="F19" s="31">
        <v>13485037</v>
      </c>
      <c r="G19" s="32">
        <v>716119</v>
      </c>
      <c r="H19" s="33">
        <f t="shared" si="1"/>
        <v>14201156</v>
      </c>
    </row>
    <row r="20" spans="1:8">
      <c r="A20" s="24">
        <v>12</v>
      </c>
      <c r="B20" s="36" t="s">
        <v>47</v>
      </c>
      <c r="C20" s="30">
        <f>SUM(C7:C11)+SUM(C14:C19)</f>
        <v>373364837</v>
      </c>
      <c r="D20" s="30">
        <f>SUM(D7:D11)+SUM(D14:D19)</f>
        <v>776942676</v>
      </c>
      <c r="E20" s="30">
        <f t="shared" si="0"/>
        <v>1150307513</v>
      </c>
      <c r="F20" s="30">
        <v>437722232</v>
      </c>
      <c r="G20" s="30">
        <v>694160117</v>
      </c>
      <c r="H20" s="33">
        <f t="shared" si="1"/>
        <v>1131882349</v>
      </c>
    </row>
    <row r="21" spans="1:8">
      <c r="A21" s="24"/>
      <c r="B21" s="25" t="s">
        <v>48</v>
      </c>
      <c r="C21" s="37" t="s">
        <v>492</v>
      </c>
      <c r="D21" s="37"/>
      <c r="E21" s="37"/>
      <c r="F21" s="38" t="s">
        <v>492</v>
      </c>
      <c r="G21" s="39"/>
      <c r="H21" s="40"/>
    </row>
    <row r="22" spans="1:8">
      <c r="A22" s="24">
        <v>13</v>
      </c>
      <c r="B22" s="28" t="s">
        <v>49</v>
      </c>
      <c r="C22" s="29">
        <v>51970</v>
      </c>
      <c r="D22" s="29">
        <v>7275095</v>
      </c>
      <c r="E22" s="30">
        <f>C22+D22</f>
        <v>7327065</v>
      </c>
      <c r="F22" s="31">
        <v>51998</v>
      </c>
      <c r="G22" s="32">
        <v>13585575</v>
      </c>
      <c r="H22" s="33">
        <f t="shared" si="1"/>
        <v>13637573</v>
      </c>
    </row>
    <row r="23" spans="1:8">
      <c r="A23" s="24">
        <v>14</v>
      </c>
      <c r="B23" s="28" t="s">
        <v>50</v>
      </c>
      <c r="C23" s="29">
        <v>43182590</v>
      </c>
      <c r="D23" s="29">
        <v>269583485</v>
      </c>
      <c r="E23" s="30">
        <f t="shared" ref="E23:E30" si="2">C23+D23</f>
        <v>312766075</v>
      </c>
      <c r="F23" s="31">
        <v>43389548</v>
      </c>
      <c r="G23" s="32">
        <v>203536663</v>
      </c>
      <c r="H23" s="33">
        <f t="shared" si="1"/>
        <v>246926211</v>
      </c>
    </row>
    <row r="24" spans="1:8">
      <c r="A24" s="24">
        <v>15</v>
      </c>
      <c r="B24" s="28" t="s">
        <v>51</v>
      </c>
      <c r="C24" s="29">
        <v>17346321</v>
      </c>
      <c r="D24" s="29">
        <v>31494035</v>
      </c>
      <c r="E24" s="30">
        <f t="shared" si="2"/>
        <v>48840356</v>
      </c>
      <c r="F24" s="31">
        <v>14413862</v>
      </c>
      <c r="G24" s="32">
        <v>38914787</v>
      </c>
      <c r="H24" s="33">
        <f t="shared" si="1"/>
        <v>53328649</v>
      </c>
    </row>
    <row r="25" spans="1:8">
      <c r="A25" s="24">
        <v>16</v>
      </c>
      <c r="B25" s="28" t="s">
        <v>52</v>
      </c>
      <c r="C25" s="29">
        <v>18093162</v>
      </c>
      <c r="D25" s="29">
        <v>321230882</v>
      </c>
      <c r="E25" s="30">
        <f t="shared" si="2"/>
        <v>339324044</v>
      </c>
      <c r="F25" s="31">
        <v>41748216</v>
      </c>
      <c r="G25" s="32">
        <v>296347136</v>
      </c>
      <c r="H25" s="33">
        <f t="shared" si="1"/>
        <v>338095352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14501214</v>
      </c>
      <c r="H27" s="33">
        <f t="shared" si="1"/>
        <v>14501214</v>
      </c>
    </row>
    <row r="28" spans="1:8">
      <c r="A28" s="24">
        <v>19</v>
      </c>
      <c r="B28" s="28" t="s">
        <v>55</v>
      </c>
      <c r="C28" s="29">
        <v>331197</v>
      </c>
      <c r="D28" s="29">
        <v>13048284</v>
      </c>
      <c r="E28" s="30">
        <f t="shared" si="2"/>
        <v>13379481</v>
      </c>
      <c r="F28" s="31">
        <v>1501748</v>
      </c>
      <c r="G28" s="32">
        <v>9572122</v>
      </c>
      <c r="H28" s="33">
        <f t="shared" si="1"/>
        <v>11073870</v>
      </c>
    </row>
    <row r="29" spans="1:8">
      <c r="A29" s="24">
        <v>20</v>
      </c>
      <c r="B29" s="28" t="s">
        <v>56</v>
      </c>
      <c r="C29" s="29">
        <v>14043440</v>
      </c>
      <c r="D29" s="29">
        <v>4276355</v>
      </c>
      <c r="E29" s="30">
        <f t="shared" si="2"/>
        <v>18319795</v>
      </c>
      <c r="F29" s="31">
        <v>6239654</v>
      </c>
      <c r="G29" s="32">
        <v>2970570</v>
      </c>
      <c r="H29" s="33">
        <f t="shared" si="1"/>
        <v>9210224</v>
      </c>
    </row>
    <row r="30" spans="1:8">
      <c r="A30" s="24">
        <v>21</v>
      </c>
      <c r="B30" s="28" t="s">
        <v>57</v>
      </c>
      <c r="C30" s="29">
        <v>0</v>
      </c>
      <c r="D30" s="29">
        <v>216873720</v>
      </c>
      <c r="E30" s="30">
        <f t="shared" si="2"/>
        <v>216873720</v>
      </c>
      <c r="F30" s="31">
        <v>0</v>
      </c>
      <c r="G30" s="32">
        <v>212921460</v>
      </c>
      <c r="H30" s="33">
        <f t="shared" si="1"/>
        <v>212921460</v>
      </c>
    </row>
    <row r="31" spans="1:8">
      <c r="A31" s="24">
        <v>22</v>
      </c>
      <c r="B31" s="36" t="s">
        <v>58</v>
      </c>
      <c r="C31" s="30">
        <f>SUM(C22:C30)</f>
        <v>93048680</v>
      </c>
      <c r="D31" s="30">
        <f>SUM(D22:D30)</f>
        <v>863781856</v>
      </c>
      <c r="E31" s="30">
        <f>C31+D31</f>
        <v>956830536</v>
      </c>
      <c r="F31" s="30">
        <v>107345026</v>
      </c>
      <c r="G31" s="30">
        <v>792349527</v>
      </c>
      <c r="H31" s="33">
        <f t="shared" si="1"/>
        <v>899694553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 t="s">
        <v>491</v>
      </c>
      <c r="E33" s="30">
        <f>C33</f>
        <v>114430000</v>
      </c>
      <c r="F33" s="31">
        <v>114430000</v>
      </c>
      <c r="G33" s="39" t="s">
        <v>491</v>
      </c>
      <c r="H33" s="33">
        <f>F33</f>
        <v>114430000</v>
      </c>
    </row>
    <row r="34" spans="1:8">
      <c r="A34" s="24">
        <v>24</v>
      </c>
      <c r="B34" s="28" t="s">
        <v>61</v>
      </c>
      <c r="C34" s="29">
        <v>0</v>
      </c>
      <c r="D34" s="37" t="s">
        <v>491</v>
      </c>
      <c r="E34" s="30">
        <f t="shared" ref="E34:E40" si="3">C34</f>
        <v>0</v>
      </c>
      <c r="F34" s="31">
        <v>0</v>
      </c>
      <c r="G34" s="39" t="s">
        <v>491</v>
      </c>
      <c r="H34" s="33">
        <f t="shared" ref="H34:H40" si="4">F34</f>
        <v>0</v>
      </c>
    </row>
    <row r="35" spans="1:8">
      <c r="A35" s="24">
        <v>25</v>
      </c>
      <c r="B35" s="35" t="s">
        <v>62</v>
      </c>
      <c r="C35" s="29">
        <v>0</v>
      </c>
      <c r="D35" s="37" t="s">
        <v>491</v>
      </c>
      <c r="E35" s="30">
        <f t="shared" si="3"/>
        <v>0</v>
      </c>
      <c r="F35" s="31">
        <v>0</v>
      </c>
      <c r="G35" s="39" t="s">
        <v>491</v>
      </c>
      <c r="H35" s="33">
        <f t="shared" si="4"/>
        <v>0</v>
      </c>
    </row>
    <row r="36" spans="1:8">
      <c r="A36" s="24">
        <v>26</v>
      </c>
      <c r="B36" s="28" t="s">
        <v>63</v>
      </c>
      <c r="C36" s="29">
        <v>0</v>
      </c>
      <c r="D36" s="37" t="s">
        <v>491</v>
      </c>
      <c r="E36" s="30">
        <f t="shared" si="3"/>
        <v>0</v>
      </c>
      <c r="F36" s="31">
        <v>0</v>
      </c>
      <c r="G36" s="39" t="s">
        <v>491</v>
      </c>
      <c r="H36" s="33">
        <f t="shared" si="4"/>
        <v>0</v>
      </c>
    </row>
    <row r="37" spans="1:8">
      <c r="A37" s="24">
        <v>27</v>
      </c>
      <c r="B37" s="28" t="s">
        <v>64</v>
      </c>
      <c r="C37" s="29">
        <v>7438034</v>
      </c>
      <c r="D37" s="37" t="s">
        <v>491</v>
      </c>
      <c r="E37" s="30">
        <f t="shared" si="3"/>
        <v>7438034</v>
      </c>
      <c r="F37" s="31">
        <v>7438034</v>
      </c>
      <c r="G37" s="39" t="s">
        <v>491</v>
      </c>
      <c r="H37" s="33">
        <f t="shared" si="4"/>
        <v>7438034</v>
      </c>
    </row>
    <row r="38" spans="1:8">
      <c r="A38" s="24">
        <v>28</v>
      </c>
      <c r="B38" s="28" t="s">
        <v>65</v>
      </c>
      <c r="C38" s="29">
        <v>71608943</v>
      </c>
      <c r="D38" s="37" t="s">
        <v>491</v>
      </c>
      <c r="E38" s="30">
        <f t="shared" si="3"/>
        <v>71608943</v>
      </c>
      <c r="F38" s="31">
        <v>110319762</v>
      </c>
      <c r="G38" s="39" t="s">
        <v>491</v>
      </c>
      <c r="H38" s="33">
        <f t="shared" si="4"/>
        <v>110319762</v>
      </c>
    </row>
    <row r="39" spans="1:8">
      <c r="A39" s="24">
        <v>29</v>
      </c>
      <c r="B39" s="28" t="s">
        <v>66</v>
      </c>
      <c r="C39" s="29">
        <v>0</v>
      </c>
      <c r="D39" s="37" t="s">
        <v>491</v>
      </c>
      <c r="E39" s="30">
        <f t="shared" si="3"/>
        <v>0</v>
      </c>
      <c r="F39" s="31">
        <v>0</v>
      </c>
      <c r="G39" s="39" t="s">
        <v>491</v>
      </c>
      <c r="H39" s="33">
        <f t="shared" si="4"/>
        <v>0</v>
      </c>
    </row>
    <row r="40" spans="1:8">
      <c r="A40" s="24">
        <v>30</v>
      </c>
      <c r="B40" s="287" t="s">
        <v>272</v>
      </c>
      <c r="C40" s="29">
        <f>SUM(C33:C39)</f>
        <v>193476977</v>
      </c>
      <c r="D40" s="37">
        <v>0</v>
      </c>
      <c r="E40" s="30">
        <f t="shared" si="3"/>
        <v>193476977</v>
      </c>
      <c r="F40" s="31">
        <f t="shared" ref="F40:G40" si="5">SUM(F33:F39)</f>
        <v>232187796</v>
      </c>
      <c r="G40" s="39">
        <f t="shared" si="5"/>
        <v>0</v>
      </c>
      <c r="H40" s="33">
        <f t="shared" si="4"/>
        <v>232187796</v>
      </c>
    </row>
    <row r="41" spans="1:8" ht="14.4" thickBot="1">
      <c r="A41" s="41">
        <v>31</v>
      </c>
      <c r="B41" s="42" t="s">
        <v>67</v>
      </c>
      <c r="C41" s="43">
        <f>C31+C40</f>
        <v>286525657</v>
      </c>
      <c r="D41" s="43">
        <f>D31+D40</f>
        <v>863781856</v>
      </c>
      <c r="E41" s="43">
        <f>C41+D41</f>
        <v>1150307513</v>
      </c>
      <c r="F41" s="43">
        <f>F31+F40</f>
        <v>339532822</v>
      </c>
      <c r="G41" s="43">
        <f>G31</f>
        <v>792349527</v>
      </c>
      <c r="H41" s="44">
        <f>F41+G41</f>
        <v>1131882349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2"/>
  <cols>
    <col min="1" max="1" width="9.5546875" style="4" bestFit="1" customWidth="1"/>
    <col min="2" max="2" width="52" style="4" bestFit="1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39">
        <f>'1. key ratios '!B2</f>
        <v>43646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47" t="s">
        <v>199</v>
      </c>
      <c r="B4" s="242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23" t="s">
        <v>68</v>
      </c>
      <c r="D5" s="524"/>
      <c r="E5" s="525"/>
      <c r="F5" s="523" t="s">
        <v>72</v>
      </c>
      <c r="G5" s="524"/>
      <c r="H5" s="526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2" t="s">
        <v>198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197</v>
      </c>
      <c r="C8" s="461">
        <v>1494374</v>
      </c>
      <c r="D8" s="461">
        <v>873755</v>
      </c>
      <c r="E8" s="462">
        <f>C8+D8</f>
        <v>2368129</v>
      </c>
      <c r="F8" s="461">
        <v>1992748</v>
      </c>
      <c r="G8" s="461">
        <v>1024600</v>
      </c>
      <c r="H8" s="463">
        <f>F8+G8</f>
        <v>3017348</v>
      </c>
    </row>
    <row r="9" spans="1:8">
      <c r="A9" s="55">
        <v>2</v>
      </c>
      <c r="B9" s="58" t="s">
        <v>196</v>
      </c>
      <c r="C9" s="464">
        <f>SUM(C10:C18)</f>
        <v>12368666</v>
      </c>
      <c r="D9" s="464">
        <f>SUM(D10:D18)</f>
        <v>21281425</v>
      </c>
      <c r="E9" s="462">
        <f t="shared" ref="E9:E67" si="0">C9+D9</f>
        <v>33650091</v>
      </c>
      <c r="F9" s="464">
        <f>SUM(F10:F18)</f>
        <v>10055507</v>
      </c>
      <c r="G9" s="464">
        <f>SUM(G10:G18)</f>
        <v>22815853</v>
      </c>
      <c r="H9" s="463">
        <f t="shared" ref="H9:H67" si="1">F9+G9</f>
        <v>32871360</v>
      </c>
    </row>
    <row r="10" spans="1:8">
      <c r="A10" s="55">
        <v>2.1</v>
      </c>
      <c r="B10" s="59" t="s">
        <v>195</v>
      </c>
      <c r="C10" s="461">
        <v>0</v>
      </c>
      <c r="D10" s="461">
        <v>0</v>
      </c>
      <c r="E10" s="462">
        <f t="shared" si="0"/>
        <v>0</v>
      </c>
      <c r="F10" s="461">
        <v>8114</v>
      </c>
      <c r="G10" s="461">
        <v>0</v>
      </c>
      <c r="H10" s="463">
        <f t="shared" si="1"/>
        <v>8114</v>
      </c>
    </row>
    <row r="11" spans="1:8">
      <c r="A11" s="55">
        <v>2.2000000000000002</v>
      </c>
      <c r="B11" s="59" t="s">
        <v>194</v>
      </c>
      <c r="C11" s="461">
        <v>5762663.9799999995</v>
      </c>
      <c r="D11" s="461">
        <v>8894179.4299999978</v>
      </c>
      <c r="E11" s="462">
        <f t="shared" si="0"/>
        <v>14656843.409999996</v>
      </c>
      <c r="F11" s="461">
        <v>5584312.3600000003</v>
      </c>
      <c r="G11" s="461">
        <v>11461000.65</v>
      </c>
      <c r="H11" s="463">
        <f t="shared" si="1"/>
        <v>17045313.010000002</v>
      </c>
    </row>
    <row r="12" spans="1:8">
      <c r="A12" s="55">
        <v>2.2999999999999998</v>
      </c>
      <c r="B12" s="59" t="s">
        <v>193</v>
      </c>
      <c r="C12" s="461">
        <v>577.45000000000005</v>
      </c>
      <c r="D12" s="461">
        <v>111280.24</v>
      </c>
      <c r="E12" s="462">
        <f t="shared" si="0"/>
        <v>111857.69</v>
      </c>
      <c r="F12" s="461">
        <v>0</v>
      </c>
      <c r="G12" s="461">
        <v>143748.41</v>
      </c>
      <c r="H12" s="463">
        <f t="shared" si="1"/>
        <v>143748.41</v>
      </c>
    </row>
    <row r="13" spans="1:8">
      <c r="A13" s="55">
        <v>2.4</v>
      </c>
      <c r="B13" s="59" t="s">
        <v>192</v>
      </c>
      <c r="C13" s="461">
        <v>886199.06</v>
      </c>
      <c r="D13" s="461">
        <v>2065880.33</v>
      </c>
      <c r="E13" s="462">
        <f t="shared" si="0"/>
        <v>2952079.39</v>
      </c>
      <c r="F13" s="461">
        <v>975618.72</v>
      </c>
      <c r="G13" s="461">
        <v>1635303.7399999998</v>
      </c>
      <c r="H13" s="463">
        <f t="shared" si="1"/>
        <v>2610922.46</v>
      </c>
    </row>
    <row r="14" spans="1:8">
      <c r="A14" s="55">
        <v>2.5</v>
      </c>
      <c r="B14" s="59" t="s">
        <v>191</v>
      </c>
      <c r="C14" s="461">
        <v>2050357.12</v>
      </c>
      <c r="D14" s="461">
        <v>2315686.2399999998</v>
      </c>
      <c r="E14" s="462">
        <f t="shared" si="0"/>
        <v>4366043.3599999994</v>
      </c>
      <c r="F14" s="461">
        <v>1073339.53</v>
      </c>
      <c r="G14" s="461">
        <v>1296702.32</v>
      </c>
      <c r="H14" s="463">
        <f t="shared" si="1"/>
        <v>2370041.85</v>
      </c>
    </row>
    <row r="15" spans="1:8">
      <c r="A15" s="55">
        <v>2.6</v>
      </c>
      <c r="B15" s="59" t="s">
        <v>190</v>
      </c>
      <c r="C15" s="461">
        <v>2128836.6299999994</v>
      </c>
      <c r="D15" s="461">
        <v>4225701.1999999993</v>
      </c>
      <c r="E15" s="462">
        <f t="shared" si="0"/>
        <v>6354537.8299999982</v>
      </c>
      <c r="F15" s="461">
        <v>1551393.3299999998</v>
      </c>
      <c r="G15" s="461">
        <v>2932565.1799999997</v>
      </c>
      <c r="H15" s="463">
        <f t="shared" si="1"/>
        <v>4483958.51</v>
      </c>
    </row>
    <row r="16" spans="1:8">
      <c r="A16" s="55">
        <v>2.7</v>
      </c>
      <c r="B16" s="59" t="s">
        <v>189</v>
      </c>
      <c r="C16" s="461">
        <v>5287.52</v>
      </c>
      <c r="D16" s="461">
        <v>684324.16</v>
      </c>
      <c r="E16" s="462">
        <f t="shared" si="0"/>
        <v>689611.68</v>
      </c>
      <c r="F16" s="461">
        <v>4482.58</v>
      </c>
      <c r="G16" s="461">
        <v>810504.84</v>
      </c>
      <c r="H16" s="463">
        <f t="shared" si="1"/>
        <v>814987.41999999993</v>
      </c>
    </row>
    <row r="17" spans="1:8">
      <c r="A17" s="55">
        <v>2.8</v>
      </c>
      <c r="B17" s="59" t="s">
        <v>188</v>
      </c>
      <c r="C17" s="461">
        <v>295633</v>
      </c>
      <c r="D17" s="461">
        <v>1609644</v>
      </c>
      <c r="E17" s="462">
        <f t="shared" si="0"/>
        <v>1905277</v>
      </c>
      <c r="F17" s="461">
        <v>413993</v>
      </c>
      <c r="G17" s="461">
        <v>2089118</v>
      </c>
      <c r="H17" s="463">
        <f t="shared" si="1"/>
        <v>2503111</v>
      </c>
    </row>
    <row r="18" spans="1:8">
      <c r="A18" s="55">
        <v>2.9</v>
      </c>
      <c r="B18" s="59" t="s">
        <v>187</v>
      </c>
      <c r="C18" s="461">
        <v>1239111.2400000021</v>
      </c>
      <c r="D18" s="461">
        <v>1374729.4000000022</v>
      </c>
      <c r="E18" s="462">
        <f t="shared" si="0"/>
        <v>2613840.6400000043</v>
      </c>
      <c r="F18" s="461">
        <v>444253.48000000045</v>
      </c>
      <c r="G18" s="461">
        <v>2446909.8599999994</v>
      </c>
      <c r="H18" s="463">
        <f t="shared" si="1"/>
        <v>2891163.34</v>
      </c>
    </row>
    <row r="19" spans="1:8">
      <c r="A19" s="55">
        <v>3</v>
      </c>
      <c r="B19" s="58" t="s">
        <v>186</v>
      </c>
      <c r="C19" s="461">
        <v>1761498</v>
      </c>
      <c r="D19" s="461">
        <v>6591804</v>
      </c>
      <c r="E19" s="462">
        <f t="shared" si="0"/>
        <v>8353302</v>
      </c>
      <c r="F19" s="461">
        <v>143883</v>
      </c>
      <c r="G19" s="461">
        <v>989658</v>
      </c>
      <c r="H19" s="463">
        <f t="shared" si="1"/>
        <v>1133541</v>
      </c>
    </row>
    <row r="20" spans="1:8">
      <c r="A20" s="55">
        <v>4</v>
      </c>
      <c r="B20" s="58" t="s">
        <v>185</v>
      </c>
      <c r="C20" s="461">
        <v>489755</v>
      </c>
      <c r="D20" s="461">
        <v>0</v>
      </c>
      <c r="E20" s="462">
        <f t="shared" si="0"/>
        <v>489755</v>
      </c>
      <c r="F20" s="461">
        <v>1013849</v>
      </c>
      <c r="G20" s="461">
        <v>0</v>
      </c>
      <c r="H20" s="463">
        <f t="shared" si="1"/>
        <v>1013849</v>
      </c>
    </row>
    <row r="21" spans="1:8">
      <c r="A21" s="55">
        <v>5</v>
      </c>
      <c r="B21" s="58" t="s">
        <v>184</v>
      </c>
      <c r="C21" s="461">
        <v>0</v>
      </c>
      <c r="D21" s="461">
        <v>40941</v>
      </c>
      <c r="E21" s="462">
        <f t="shared" si="0"/>
        <v>40941</v>
      </c>
      <c r="F21" s="461">
        <v>0</v>
      </c>
      <c r="G21" s="461">
        <v>25634</v>
      </c>
      <c r="H21" s="463">
        <f>F21+G21</f>
        <v>25634</v>
      </c>
    </row>
    <row r="22" spans="1:8">
      <c r="A22" s="55">
        <v>6</v>
      </c>
      <c r="B22" s="60" t="s">
        <v>183</v>
      </c>
      <c r="C22" s="464">
        <f>C8+C9+C19+C20+C21</f>
        <v>16114293</v>
      </c>
      <c r="D22" s="464">
        <f>D8+D9+D19+D20+D21</f>
        <v>28787925</v>
      </c>
      <c r="E22" s="462">
        <f>C22+D22</f>
        <v>44902218</v>
      </c>
      <c r="F22" s="464">
        <f>F8+F9+F19+F20+F21</f>
        <v>13205987</v>
      </c>
      <c r="G22" s="464">
        <f>G8+G9+G19+G20+G21</f>
        <v>24855745</v>
      </c>
      <c r="H22" s="463">
        <f>F22+G22</f>
        <v>38061732</v>
      </c>
    </row>
    <row r="23" spans="1:8">
      <c r="A23" s="55"/>
      <c r="B23" s="242" t="s">
        <v>182</v>
      </c>
      <c r="C23" s="465"/>
      <c r="D23" s="465"/>
      <c r="E23" s="466"/>
      <c r="F23" s="465"/>
      <c r="G23" s="465"/>
      <c r="H23" s="467"/>
    </row>
    <row r="24" spans="1:8">
      <c r="A24" s="55">
        <v>7</v>
      </c>
      <c r="B24" s="58" t="s">
        <v>181</v>
      </c>
      <c r="C24" s="461">
        <v>1094175</v>
      </c>
      <c r="D24" s="461">
        <v>99273</v>
      </c>
      <c r="E24" s="462">
        <f t="shared" si="0"/>
        <v>1193448</v>
      </c>
      <c r="F24" s="461">
        <v>565317</v>
      </c>
      <c r="G24" s="461">
        <v>348401</v>
      </c>
      <c r="H24" s="463">
        <f t="shared" si="1"/>
        <v>913718</v>
      </c>
    </row>
    <row r="25" spans="1:8">
      <c r="A25" s="55">
        <v>8</v>
      </c>
      <c r="B25" s="58" t="s">
        <v>180</v>
      </c>
      <c r="C25" s="461">
        <v>518205</v>
      </c>
      <c r="D25" s="461">
        <v>6845946</v>
      </c>
      <c r="E25" s="462">
        <f t="shared" si="0"/>
        <v>7364151</v>
      </c>
      <c r="F25" s="461">
        <v>1624306</v>
      </c>
      <c r="G25" s="461">
        <v>6567158</v>
      </c>
      <c r="H25" s="463">
        <f t="shared" si="1"/>
        <v>8191464</v>
      </c>
    </row>
    <row r="26" spans="1:8">
      <c r="A26" s="55">
        <v>9</v>
      </c>
      <c r="B26" s="58" t="s">
        <v>179</v>
      </c>
      <c r="C26" s="461">
        <v>12234</v>
      </c>
      <c r="D26" s="461">
        <v>356157</v>
      </c>
      <c r="E26" s="462">
        <f t="shared" si="0"/>
        <v>368391</v>
      </c>
      <c r="F26" s="461">
        <v>1812</v>
      </c>
      <c r="G26" s="461">
        <v>309586</v>
      </c>
      <c r="H26" s="463">
        <f t="shared" si="1"/>
        <v>311398</v>
      </c>
    </row>
    <row r="27" spans="1:8">
      <c r="A27" s="55">
        <v>10</v>
      </c>
      <c r="B27" s="58" t="s">
        <v>178</v>
      </c>
      <c r="C27" s="461">
        <v>0</v>
      </c>
      <c r="D27" s="461">
        <v>0</v>
      </c>
      <c r="E27" s="462">
        <f t="shared" si="0"/>
        <v>0</v>
      </c>
      <c r="F27" s="461">
        <v>0</v>
      </c>
      <c r="G27" s="461">
        <v>0</v>
      </c>
      <c r="H27" s="463">
        <f t="shared" si="1"/>
        <v>0</v>
      </c>
    </row>
    <row r="28" spans="1:8">
      <c r="A28" s="55">
        <v>11</v>
      </c>
      <c r="B28" s="58" t="s">
        <v>177</v>
      </c>
      <c r="C28" s="461">
        <v>0</v>
      </c>
      <c r="D28" s="461">
        <v>4556477</v>
      </c>
      <c r="E28" s="462">
        <f t="shared" si="0"/>
        <v>4556477</v>
      </c>
      <c r="F28" s="461">
        <v>0</v>
      </c>
      <c r="G28" s="461">
        <v>5247579</v>
      </c>
      <c r="H28" s="463">
        <f t="shared" si="1"/>
        <v>5247579</v>
      </c>
    </row>
    <row r="29" spans="1:8">
      <c r="A29" s="55">
        <v>12</v>
      </c>
      <c r="B29" s="58" t="s">
        <v>176</v>
      </c>
      <c r="C29" s="461"/>
      <c r="D29" s="461"/>
      <c r="E29" s="462">
        <f t="shared" si="0"/>
        <v>0</v>
      </c>
      <c r="F29" s="461"/>
      <c r="G29" s="461"/>
      <c r="H29" s="463">
        <f t="shared" si="1"/>
        <v>0</v>
      </c>
    </row>
    <row r="30" spans="1:8">
      <c r="A30" s="55">
        <v>13</v>
      </c>
      <c r="B30" s="61" t="s">
        <v>175</v>
      </c>
      <c r="C30" s="464">
        <f>SUM(C24:C29)</f>
        <v>1624614</v>
      </c>
      <c r="D30" s="464">
        <f>SUM(D24:D29)</f>
        <v>11857853</v>
      </c>
      <c r="E30" s="462">
        <f t="shared" si="0"/>
        <v>13482467</v>
      </c>
      <c r="F30" s="464">
        <f>SUM(F24:F29)</f>
        <v>2191435</v>
      </c>
      <c r="G30" s="464">
        <f>SUM(G24:G29)</f>
        <v>12472724</v>
      </c>
      <c r="H30" s="463">
        <f t="shared" si="1"/>
        <v>14664159</v>
      </c>
    </row>
    <row r="31" spans="1:8">
      <c r="A31" s="55">
        <v>14</v>
      </c>
      <c r="B31" s="61" t="s">
        <v>174</v>
      </c>
      <c r="C31" s="464">
        <f>C22-C30</f>
        <v>14489679</v>
      </c>
      <c r="D31" s="464">
        <f>D22-D30</f>
        <v>16930072</v>
      </c>
      <c r="E31" s="462">
        <f t="shared" si="0"/>
        <v>31419751</v>
      </c>
      <c r="F31" s="464">
        <f>F22-F30</f>
        <v>11014552</v>
      </c>
      <c r="G31" s="464">
        <f>G22-G30</f>
        <v>12383021</v>
      </c>
      <c r="H31" s="463">
        <f t="shared" si="1"/>
        <v>23397573</v>
      </c>
    </row>
    <row r="32" spans="1:8">
      <c r="A32" s="55"/>
      <c r="B32" s="62"/>
      <c r="C32" s="468"/>
      <c r="D32" s="469"/>
      <c r="E32" s="466"/>
      <c r="F32" s="469"/>
      <c r="G32" s="469"/>
      <c r="H32" s="467"/>
    </row>
    <row r="33" spans="1:8">
      <c r="A33" s="55"/>
      <c r="B33" s="62" t="s">
        <v>173</v>
      </c>
      <c r="C33" s="465"/>
      <c r="D33" s="465"/>
      <c r="E33" s="466"/>
      <c r="F33" s="465"/>
      <c r="G33" s="465"/>
      <c r="H33" s="467"/>
    </row>
    <row r="34" spans="1:8">
      <c r="A34" s="55">
        <v>15</v>
      </c>
      <c r="B34" s="63" t="s">
        <v>172</v>
      </c>
      <c r="C34" s="462">
        <f>C35-C36</f>
        <v>238742</v>
      </c>
      <c r="D34" s="462">
        <f>D35-D36</f>
        <v>-2823561</v>
      </c>
      <c r="E34" s="462">
        <f t="shared" si="0"/>
        <v>-2584819</v>
      </c>
      <c r="F34" s="462">
        <f>F35-F36</f>
        <v>369020</v>
      </c>
      <c r="G34" s="462">
        <f>G35-G36</f>
        <v>-2196889</v>
      </c>
      <c r="H34" s="462">
        <f t="shared" si="1"/>
        <v>-1827869</v>
      </c>
    </row>
    <row r="35" spans="1:8">
      <c r="A35" s="55">
        <v>15.1</v>
      </c>
      <c r="B35" s="59" t="s">
        <v>171</v>
      </c>
      <c r="C35" s="461">
        <v>1593916</v>
      </c>
      <c r="D35" s="461">
        <v>905200</v>
      </c>
      <c r="E35" s="462">
        <f t="shared" si="0"/>
        <v>2499116</v>
      </c>
      <c r="F35" s="461">
        <v>1421835</v>
      </c>
      <c r="G35" s="461">
        <v>870674</v>
      </c>
      <c r="H35" s="462">
        <f t="shared" si="1"/>
        <v>2292509</v>
      </c>
    </row>
    <row r="36" spans="1:8">
      <c r="A36" s="55">
        <v>15.2</v>
      </c>
      <c r="B36" s="59" t="s">
        <v>170</v>
      </c>
      <c r="C36" s="461">
        <v>1355174</v>
      </c>
      <c r="D36" s="461">
        <v>3728761</v>
      </c>
      <c r="E36" s="462">
        <f t="shared" si="0"/>
        <v>5083935</v>
      </c>
      <c r="F36" s="461">
        <v>1052815</v>
      </c>
      <c r="G36" s="461">
        <v>3067563</v>
      </c>
      <c r="H36" s="462">
        <f t="shared" si="1"/>
        <v>4120378</v>
      </c>
    </row>
    <row r="37" spans="1:8">
      <c r="A37" s="55">
        <v>16</v>
      </c>
      <c r="B37" s="58" t="s">
        <v>169</v>
      </c>
      <c r="C37" s="461">
        <v>0</v>
      </c>
      <c r="D37" s="461">
        <v>0</v>
      </c>
      <c r="E37" s="462">
        <f t="shared" si="0"/>
        <v>0</v>
      </c>
      <c r="F37" s="461">
        <v>114228</v>
      </c>
      <c r="G37" s="461">
        <v>0</v>
      </c>
      <c r="H37" s="462">
        <f t="shared" si="1"/>
        <v>114228</v>
      </c>
    </row>
    <row r="38" spans="1:8">
      <c r="A38" s="55">
        <v>17</v>
      </c>
      <c r="B38" s="58" t="s">
        <v>168</v>
      </c>
      <c r="C38" s="461">
        <v>6809</v>
      </c>
      <c r="D38" s="461">
        <v>0</v>
      </c>
      <c r="E38" s="462">
        <f t="shared" si="0"/>
        <v>6809</v>
      </c>
      <c r="F38" s="461">
        <v>0</v>
      </c>
      <c r="G38" s="461">
        <v>0</v>
      </c>
      <c r="H38" s="462">
        <f t="shared" si="1"/>
        <v>0</v>
      </c>
    </row>
    <row r="39" spans="1:8">
      <c r="A39" s="55">
        <v>18</v>
      </c>
      <c r="B39" s="58" t="s">
        <v>167</v>
      </c>
      <c r="C39" s="461">
        <v>22393</v>
      </c>
      <c r="D39" s="461">
        <v>372609</v>
      </c>
      <c r="E39" s="462">
        <f t="shared" si="0"/>
        <v>395002</v>
      </c>
      <c r="F39" s="461">
        <v>0</v>
      </c>
      <c r="G39" s="461">
        <v>0</v>
      </c>
      <c r="H39" s="462">
        <f t="shared" si="1"/>
        <v>0</v>
      </c>
    </row>
    <row r="40" spans="1:8">
      <c r="A40" s="55">
        <v>19</v>
      </c>
      <c r="B40" s="58" t="s">
        <v>166</v>
      </c>
      <c r="C40" s="461">
        <v>2352560</v>
      </c>
      <c r="D40" s="461"/>
      <c r="E40" s="462">
        <f t="shared" si="0"/>
        <v>2352560</v>
      </c>
      <c r="F40" s="461">
        <v>2820665</v>
      </c>
      <c r="G40" s="461"/>
      <c r="H40" s="462">
        <f t="shared" si="1"/>
        <v>2820665</v>
      </c>
    </row>
    <row r="41" spans="1:8">
      <c r="A41" s="55">
        <v>20</v>
      </c>
      <c r="B41" s="58" t="s">
        <v>165</v>
      </c>
      <c r="C41" s="461">
        <v>-3559399</v>
      </c>
      <c r="D41" s="461"/>
      <c r="E41" s="462">
        <f t="shared" si="0"/>
        <v>-3559399</v>
      </c>
      <c r="F41" s="461">
        <v>-12582529</v>
      </c>
      <c r="G41" s="461"/>
      <c r="H41" s="462">
        <f t="shared" si="1"/>
        <v>-12582529</v>
      </c>
    </row>
    <row r="42" spans="1:8">
      <c r="A42" s="55">
        <v>21</v>
      </c>
      <c r="B42" s="58" t="s">
        <v>164</v>
      </c>
      <c r="C42" s="461">
        <v>37131</v>
      </c>
      <c r="D42" s="461">
        <v>0</v>
      </c>
      <c r="E42" s="462">
        <f t="shared" si="0"/>
        <v>37131</v>
      </c>
      <c r="F42" s="461">
        <v>492</v>
      </c>
      <c r="G42" s="461">
        <v>0</v>
      </c>
      <c r="H42" s="462">
        <f t="shared" si="1"/>
        <v>492</v>
      </c>
    </row>
    <row r="43" spans="1:8">
      <c r="A43" s="55">
        <v>22</v>
      </c>
      <c r="B43" s="58" t="s">
        <v>163</v>
      </c>
      <c r="C43" s="461">
        <v>895069</v>
      </c>
      <c r="D43" s="461">
        <v>560146</v>
      </c>
      <c r="E43" s="462">
        <f t="shared" si="0"/>
        <v>1455215</v>
      </c>
      <c r="F43" s="461">
        <v>869264</v>
      </c>
      <c r="G43" s="461">
        <v>554919</v>
      </c>
      <c r="H43" s="462">
        <f t="shared" si="1"/>
        <v>1424183</v>
      </c>
    </row>
    <row r="44" spans="1:8">
      <c r="A44" s="55">
        <v>23</v>
      </c>
      <c r="B44" s="58" t="s">
        <v>162</v>
      </c>
      <c r="C44" s="461">
        <v>16724</v>
      </c>
      <c r="D44" s="461">
        <v>6023</v>
      </c>
      <c r="E44" s="462">
        <f t="shared" si="0"/>
        <v>22747</v>
      </c>
      <c r="F44" s="461">
        <v>-6022</v>
      </c>
      <c r="G44" s="461">
        <v>2611</v>
      </c>
      <c r="H44" s="462">
        <f t="shared" si="1"/>
        <v>-3411</v>
      </c>
    </row>
    <row r="45" spans="1:8">
      <c r="A45" s="55">
        <v>24</v>
      </c>
      <c r="B45" s="61" t="s">
        <v>279</v>
      </c>
      <c r="C45" s="464">
        <f>C34+C37+C38+C39+C40+C41+C42+C43+C44</f>
        <v>10029</v>
      </c>
      <c r="D45" s="464">
        <f>D34+D37+D38+D39+D40+D41+D42+D43+D44</f>
        <v>-1884783</v>
      </c>
      <c r="E45" s="462">
        <f t="shared" si="0"/>
        <v>-1874754</v>
      </c>
      <c r="F45" s="464">
        <f>F34+F37+F38+F39+F40+F41+F42+F43+F44</f>
        <v>-8414882</v>
      </c>
      <c r="G45" s="464">
        <f>G34+G37+G38+G39+G40+G41+G42+G43+G44</f>
        <v>-1639359</v>
      </c>
      <c r="H45" s="462">
        <f t="shared" si="1"/>
        <v>-10054241</v>
      </c>
    </row>
    <row r="46" spans="1:8">
      <c r="A46" s="55"/>
      <c r="B46" s="242" t="s">
        <v>161</v>
      </c>
      <c r="C46" s="465"/>
      <c r="D46" s="465"/>
      <c r="E46" s="466"/>
      <c r="F46" s="465"/>
      <c r="G46" s="465"/>
      <c r="H46" s="467"/>
    </row>
    <row r="47" spans="1:8">
      <c r="A47" s="55">
        <v>25</v>
      </c>
      <c r="B47" s="58" t="s">
        <v>160</v>
      </c>
      <c r="C47" s="461">
        <v>451513</v>
      </c>
      <c r="D47" s="461">
        <v>113909</v>
      </c>
      <c r="E47" s="462">
        <f t="shared" si="0"/>
        <v>565422</v>
      </c>
      <c r="F47" s="461">
        <v>1053099</v>
      </c>
      <c r="G47" s="461">
        <v>84000</v>
      </c>
      <c r="H47" s="463">
        <f t="shared" si="1"/>
        <v>1137099</v>
      </c>
    </row>
    <row r="48" spans="1:8">
      <c r="A48" s="55">
        <v>26</v>
      </c>
      <c r="B48" s="58" t="s">
        <v>159</v>
      </c>
      <c r="C48" s="461">
        <v>341701</v>
      </c>
      <c r="D48" s="461">
        <v>74358</v>
      </c>
      <c r="E48" s="462">
        <f t="shared" si="0"/>
        <v>416059</v>
      </c>
      <c r="F48" s="461">
        <v>337350</v>
      </c>
      <c r="G48" s="461">
        <v>56962</v>
      </c>
      <c r="H48" s="463">
        <f t="shared" si="1"/>
        <v>394312</v>
      </c>
    </row>
    <row r="49" spans="1:8">
      <c r="A49" s="55">
        <v>27</v>
      </c>
      <c r="B49" s="58" t="s">
        <v>158</v>
      </c>
      <c r="C49" s="461">
        <v>6137196</v>
      </c>
      <c r="D49" s="461"/>
      <c r="E49" s="462">
        <f t="shared" si="0"/>
        <v>6137196</v>
      </c>
      <c r="F49" s="461">
        <v>4801756</v>
      </c>
      <c r="G49" s="461"/>
      <c r="H49" s="463">
        <f t="shared" si="1"/>
        <v>4801756</v>
      </c>
    </row>
    <row r="50" spans="1:8">
      <c r="A50" s="55">
        <v>28</v>
      </c>
      <c r="B50" s="58" t="s">
        <v>157</v>
      </c>
      <c r="C50" s="461">
        <v>36893</v>
      </c>
      <c r="D50" s="461"/>
      <c r="E50" s="462">
        <f t="shared" si="0"/>
        <v>36893</v>
      </c>
      <c r="F50" s="461">
        <v>42285</v>
      </c>
      <c r="G50" s="461"/>
      <c r="H50" s="463">
        <f t="shared" si="1"/>
        <v>42285</v>
      </c>
    </row>
    <row r="51" spans="1:8">
      <c r="A51" s="55">
        <v>29</v>
      </c>
      <c r="B51" s="58" t="s">
        <v>156</v>
      </c>
      <c r="C51" s="461">
        <v>2015434</v>
      </c>
      <c r="D51" s="461"/>
      <c r="E51" s="462">
        <f t="shared" si="0"/>
        <v>2015434</v>
      </c>
      <c r="F51" s="461">
        <v>1355531</v>
      </c>
      <c r="G51" s="461"/>
      <c r="H51" s="463">
        <f t="shared" si="1"/>
        <v>1355531</v>
      </c>
    </row>
    <row r="52" spans="1:8">
      <c r="A52" s="55">
        <v>30</v>
      </c>
      <c r="B52" s="58" t="s">
        <v>155</v>
      </c>
      <c r="C52" s="461">
        <v>2336285</v>
      </c>
      <c r="D52" s="461">
        <v>340522</v>
      </c>
      <c r="E52" s="462">
        <f t="shared" si="0"/>
        <v>2676807</v>
      </c>
      <c r="F52" s="461">
        <v>2123984</v>
      </c>
      <c r="G52" s="461">
        <v>251234</v>
      </c>
      <c r="H52" s="463">
        <f t="shared" si="1"/>
        <v>2375218</v>
      </c>
    </row>
    <row r="53" spans="1:8">
      <c r="A53" s="55">
        <v>31</v>
      </c>
      <c r="B53" s="61" t="s">
        <v>280</v>
      </c>
      <c r="C53" s="464">
        <f>C47+C48+C49+C50+C51+C52</f>
        <v>11319022</v>
      </c>
      <c r="D53" s="464">
        <f>D47+D48+D49+D50+D51+D52</f>
        <v>528789</v>
      </c>
      <c r="E53" s="462">
        <f t="shared" si="0"/>
        <v>11847811</v>
      </c>
      <c r="F53" s="464">
        <f>F47+F48+F49+F50+F51+F52</f>
        <v>9714005</v>
      </c>
      <c r="G53" s="464">
        <f>G47+G48+G49+G50+G51+G52</f>
        <v>392196</v>
      </c>
      <c r="H53" s="462">
        <f t="shared" si="1"/>
        <v>10106201</v>
      </c>
    </row>
    <row r="54" spans="1:8">
      <c r="A54" s="55">
        <v>32</v>
      </c>
      <c r="B54" s="61" t="s">
        <v>281</v>
      </c>
      <c r="C54" s="464">
        <f>C45-C53</f>
        <v>-11308993</v>
      </c>
      <c r="D54" s="464">
        <f>D45-D53</f>
        <v>-2413572</v>
      </c>
      <c r="E54" s="462">
        <f t="shared" si="0"/>
        <v>-13722565</v>
      </c>
      <c r="F54" s="464">
        <f>F45-F53</f>
        <v>-18128887</v>
      </c>
      <c r="G54" s="464">
        <f>G45-G53</f>
        <v>-2031555</v>
      </c>
      <c r="H54" s="462">
        <f t="shared" si="1"/>
        <v>-20160442</v>
      </c>
    </row>
    <row r="55" spans="1:8">
      <c r="A55" s="55"/>
      <c r="B55" s="62"/>
      <c r="C55" s="469"/>
      <c r="D55" s="469"/>
      <c r="E55" s="466"/>
      <c r="F55" s="469"/>
      <c r="G55" s="469"/>
      <c r="H55" s="467"/>
    </row>
    <row r="56" spans="1:8">
      <c r="A56" s="55">
        <v>33</v>
      </c>
      <c r="B56" s="61" t="s">
        <v>154</v>
      </c>
      <c r="C56" s="464">
        <f>C31+C54</f>
        <v>3180686</v>
      </c>
      <c r="D56" s="464">
        <f>D31+D54</f>
        <v>14516500</v>
      </c>
      <c r="E56" s="462">
        <f t="shared" si="0"/>
        <v>17697186</v>
      </c>
      <c r="F56" s="464">
        <f>F31+F54</f>
        <v>-7114335</v>
      </c>
      <c r="G56" s="464">
        <f>G31+G54</f>
        <v>10351466</v>
      </c>
      <c r="H56" s="463">
        <f t="shared" si="1"/>
        <v>3237131</v>
      </c>
    </row>
    <row r="57" spans="1:8">
      <c r="A57" s="55"/>
      <c r="B57" s="62"/>
      <c r="C57" s="469"/>
      <c r="D57" s="469"/>
      <c r="E57" s="466"/>
      <c r="F57" s="469"/>
      <c r="G57" s="469"/>
      <c r="H57" s="467"/>
    </row>
    <row r="58" spans="1:8">
      <c r="A58" s="55">
        <v>34</v>
      </c>
      <c r="B58" s="58" t="s">
        <v>153</v>
      </c>
      <c r="C58" s="461">
        <v>-220879</v>
      </c>
      <c r="D58" s="461"/>
      <c r="E58" s="462">
        <f>C58</f>
        <v>-220879</v>
      </c>
      <c r="F58" s="461">
        <v>-3075415</v>
      </c>
      <c r="G58" s="461"/>
      <c r="H58" s="463">
        <f>F58</f>
        <v>-3075415</v>
      </c>
    </row>
    <row r="59" spans="1:8" s="243" customFormat="1">
      <c r="A59" s="55">
        <v>35</v>
      </c>
      <c r="B59" s="58" t="s">
        <v>152</v>
      </c>
      <c r="C59" s="461">
        <v>287910</v>
      </c>
      <c r="D59" s="461"/>
      <c r="E59" s="462">
        <f>C59</f>
        <v>287910</v>
      </c>
      <c r="F59" s="461">
        <v>0</v>
      </c>
      <c r="G59" s="461"/>
      <c r="H59" s="463">
        <f>F59</f>
        <v>0</v>
      </c>
    </row>
    <row r="60" spans="1:8">
      <c r="A60" s="55">
        <v>36</v>
      </c>
      <c r="B60" s="58" t="s">
        <v>151</v>
      </c>
      <c r="C60" s="461">
        <v>3160473</v>
      </c>
      <c r="D60" s="461"/>
      <c r="E60" s="462">
        <f>C60</f>
        <v>3160473</v>
      </c>
      <c r="F60" s="461">
        <v>2373892</v>
      </c>
      <c r="G60" s="461"/>
      <c r="H60" s="463">
        <f>F60</f>
        <v>2373892</v>
      </c>
    </row>
    <row r="61" spans="1:8">
      <c r="A61" s="55">
        <v>37</v>
      </c>
      <c r="B61" s="61" t="s">
        <v>150</v>
      </c>
      <c r="C61" s="464">
        <f>C58+C59+C60</f>
        <v>3227504</v>
      </c>
      <c r="D61" s="464">
        <f>D58+D59+D60</f>
        <v>0</v>
      </c>
      <c r="E61" s="462">
        <f t="shared" si="0"/>
        <v>3227504</v>
      </c>
      <c r="F61" s="464">
        <f>F58+F59+F60</f>
        <v>-701523</v>
      </c>
      <c r="G61" s="464">
        <f>G58+G59+G60</f>
        <v>0</v>
      </c>
      <c r="H61" s="463">
        <f t="shared" si="1"/>
        <v>-701523</v>
      </c>
    </row>
    <row r="62" spans="1:8">
      <c r="A62" s="55"/>
      <c r="B62" s="64"/>
      <c r="C62" s="465"/>
      <c r="D62" s="465"/>
      <c r="E62" s="466"/>
      <c r="F62" s="465"/>
      <c r="G62" s="465"/>
      <c r="H62" s="467"/>
    </row>
    <row r="63" spans="1:8">
      <c r="A63" s="55">
        <v>38</v>
      </c>
      <c r="B63" s="65" t="s">
        <v>149</v>
      </c>
      <c r="C63" s="464">
        <f>C56-C61</f>
        <v>-46818</v>
      </c>
      <c r="D63" s="464">
        <f>D56-D61</f>
        <v>14516500</v>
      </c>
      <c r="E63" s="462">
        <f t="shared" si="0"/>
        <v>14469682</v>
      </c>
      <c r="F63" s="464">
        <f>F56-F61</f>
        <v>-6412812</v>
      </c>
      <c r="G63" s="464">
        <f>G56-G61</f>
        <v>10351466</v>
      </c>
      <c r="H63" s="463">
        <f t="shared" si="1"/>
        <v>3938654</v>
      </c>
    </row>
    <row r="64" spans="1:8">
      <c r="A64" s="51">
        <v>39</v>
      </c>
      <c r="B64" s="58" t="s">
        <v>148</v>
      </c>
      <c r="C64" s="470">
        <v>2552414</v>
      </c>
      <c r="D64" s="470"/>
      <c r="E64" s="462">
        <f t="shared" si="0"/>
        <v>2552414</v>
      </c>
      <c r="F64" s="470">
        <v>829772</v>
      </c>
      <c r="G64" s="470"/>
      <c r="H64" s="463">
        <f t="shared" si="1"/>
        <v>829772</v>
      </c>
    </row>
    <row r="65" spans="1:8">
      <c r="A65" s="55">
        <v>40</v>
      </c>
      <c r="B65" s="61" t="s">
        <v>147</v>
      </c>
      <c r="C65" s="464">
        <f>C63-C64</f>
        <v>-2599232</v>
      </c>
      <c r="D65" s="464">
        <f>D63-D64</f>
        <v>14516500</v>
      </c>
      <c r="E65" s="462">
        <f t="shared" si="0"/>
        <v>11917268</v>
      </c>
      <c r="F65" s="464">
        <f>F63-F64</f>
        <v>-7242584</v>
      </c>
      <c r="G65" s="464">
        <f>G63-G64</f>
        <v>10351466</v>
      </c>
      <c r="H65" s="463">
        <f t="shared" si="1"/>
        <v>3108882</v>
      </c>
    </row>
    <row r="66" spans="1:8">
      <c r="A66" s="51">
        <v>41</v>
      </c>
      <c r="B66" s="58" t="s">
        <v>146</v>
      </c>
      <c r="C66" s="470">
        <v>0</v>
      </c>
      <c r="D66" s="470"/>
      <c r="E66" s="462">
        <f t="shared" si="0"/>
        <v>0</v>
      </c>
      <c r="F66" s="470">
        <v>0</v>
      </c>
      <c r="G66" s="470"/>
      <c r="H66" s="463">
        <f t="shared" si="1"/>
        <v>0</v>
      </c>
    </row>
    <row r="67" spans="1:8" ht="13.8" thickBot="1">
      <c r="A67" s="66">
        <v>42</v>
      </c>
      <c r="B67" s="67" t="s">
        <v>145</v>
      </c>
      <c r="C67" s="471">
        <f>C65+C66</f>
        <v>-2599232</v>
      </c>
      <c r="D67" s="471">
        <f>D65+D66</f>
        <v>14516500</v>
      </c>
      <c r="E67" s="472">
        <f t="shared" si="0"/>
        <v>11917268</v>
      </c>
      <c r="F67" s="471">
        <f>F65+F66</f>
        <v>-7242584</v>
      </c>
      <c r="G67" s="471">
        <f>G65+G66</f>
        <v>10351466</v>
      </c>
      <c r="H67" s="473">
        <f t="shared" si="1"/>
        <v>3108882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09375" defaultRowHeight="13.8"/>
  <cols>
    <col min="1" max="1" width="9.5546875" style="5" bestFit="1" customWidth="1"/>
    <col min="2" max="2" width="70.44140625" style="5" customWidth="1"/>
    <col min="3" max="8" width="13.109375" style="5" customWidth="1"/>
    <col min="9" max="16384" width="9.109375" style="5"/>
  </cols>
  <sheetData>
    <row r="1" spans="1:8">
      <c r="A1" s="2" t="s">
        <v>30</v>
      </c>
      <c r="B1" s="5" t="str">
        <f>'Info '!C2</f>
        <v>JSC CARTU BANK</v>
      </c>
    </row>
    <row r="2" spans="1:8">
      <c r="A2" s="2" t="s">
        <v>31</v>
      </c>
      <c r="B2" s="460">
        <f>'1. key ratios '!B2</f>
        <v>43646</v>
      </c>
    </row>
    <row r="3" spans="1:8">
      <c r="A3" s="4"/>
    </row>
    <row r="4" spans="1:8" ht="14.4" thickBot="1">
      <c r="A4" s="4" t="s">
        <v>74</v>
      </c>
      <c r="B4" s="4"/>
      <c r="C4" s="220"/>
      <c r="D4" s="220"/>
      <c r="E4" s="220"/>
      <c r="F4" s="221"/>
      <c r="G4" s="221"/>
      <c r="H4" s="222" t="s">
        <v>73</v>
      </c>
    </row>
    <row r="5" spans="1:8">
      <c r="A5" s="527" t="s">
        <v>6</v>
      </c>
      <c r="B5" s="529" t="s">
        <v>346</v>
      </c>
      <c r="C5" s="523" t="s">
        <v>68</v>
      </c>
      <c r="D5" s="524"/>
      <c r="E5" s="525"/>
      <c r="F5" s="523" t="s">
        <v>72</v>
      </c>
      <c r="G5" s="524"/>
      <c r="H5" s="526"/>
    </row>
    <row r="6" spans="1:8">
      <c r="A6" s="528"/>
      <c r="B6" s="530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8" s="15" customFormat="1">
      <c r="A7" s="223">
        <v>1</v>
      </c>
      <c r="B7" s="224" t="s">
        <v>380</v>
      </c>
      <c r="C7" s="32"/>
      <c r="D7" s="32"/>
      <c r="E7" s="225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3">
        <v>1.1000000000000001</v>
      </c>
      <c r="B8" s="275" t="s">
        <v>311</v>
      </c>
      <c r="C8" s="32">
        <v>23106392</v>
      </c>
      <c r="D8" s="32">
        <v>30791795</v>
      </c>
      <c r="E8" s="225">
        <f>C8+D8</f>
        <v>53898187</v>
      </c>
      <c r="F8" s="32">
        <v>27550308</v>
      </c>
      <c r="G8" s="32">
        <v>24050401</v>
      </c>
      <c r="H8" s="33">
        <f t="shared" si="0"/>
        <v>51600709</v>
      </c>
    </row>
    <row r="9" spans="1:8" s="15" customFormat="1">
      <c r="A9" s="223">
        <v>1.2</v>
      </c>
      <c r="B9" s="275" t="s">
        <v>312</v>
      </c>
      <c r="C9" s="32"/>
      <c r="D9" s="32">
        <v>1490208</v>
      </c>
      <c r="E9" s="225">
        <f t="shared" ref="E9:E53" si="1">C9+D9</f>
        <v>1490208</v>
      </c>
      <c r="F9" s="32"/>
      <c r="G9" s="32">
        <v>12821198</v>
      </c>
      <c r="H9" s="33">
        <f t="shared" si="0"/>
        <v>12821198</v>
      </c>
    </row>
    <row r="10" spans="1:8" s="15" customFormat="1">
      <c r="A10" s="223">
        <v>1.3</v>
      </c>
      <c r="B10" s="275" t="s">
        <v>313</v>
      </c>
      <c r="C10" s="32">
        <v>9632568</v>
      </c>
      <c r="D10" s="32">
        <v>16416557</v>
      </c>
      <c r="E10" s="225">
        <f t="shared" si="1"/>
        <v>26049125</v>
      </c>
      <c r="F10" s="32">
        <v>15866860</v>
      </c>
      <c r="G10" s="32">
        <v>15641840</v>
      </c>
      <c r="H10" s="33">
        <f t="shared" si="0"/>
        <v>31508700</v>
      </c>
    </row>
    <row r="11" spans="1:8" s="15" customFormat="1">
      <c r="A11" s="223">
        <v>1.4</v>
      </c>
      <c r="B11" s="275" t="s">
        <v>294</v>
      </c>
      <c r="C11" s="32">
        <v>10292</v>
      </c>
      <c r="D11" s="32">
        <f>1490208-D9</f>
        <v>0</v>
      </c>
      <c r="E11" s="225">
        <f t="shared" si="1"/>
        <v>10292</v>
      </c>
      <c r="F11" s="32">
        <v>11629</v>
      </c>
      <c r="G11" s="32">
        <f>12821198-G9</f>
        <v>0</v>
      </c>
      <c r="H11" s="33">
        <f t="shared" si="0"/>
        <v>11629</v>
      </c>
    </row>
    <row r="12" spans="1:8" s="15" customFormat="1" ht="29.25" customHeight="1">
      <c r="A12" s="223">
        <v>2</v>
      </c>
      <c r="B12" s="227" t="s">
        <v>315</v>
      </c>
      <c r="C12" s="32"/>
      <c r="D12" s="32"/>
      <c r="E12" s="225">
        <f t="shared" si="1"/>
        <v>0</v>
      </c>
      <c r="F12" s="32"/>
      <c r="G12" s="32"/>
      <c r="H12" s="33">
        <f t="shared" si="0"/>
        <v>0</v>
      </c>
    </row>
    <row r="13" spans="1:8" s="15" customFormat="1" ht="19.95" customHeight="1">
      <c r="A13" s="223">
        <v>3</v>
      </c>
      <c r="B13" s="227" t="s">
        <v>314</v>
      </c>
      <c r="C13" s="32"/>
      <c r="D13" s="32"/>
      <c r="E13" s="225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3">
        <v>3.1</v>
      </c>
      <c r="B14" s="276" t="s">
        <v>295</v>
      </c>
      <c r="C14" s="32"/>
      <c r="D14" s="32"/>
      <c r="E14" s="225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3">
        <v>3.2</v>
      </c>
      <c r="B15" s="276" t="s">
        <v>296</v>
      </c>
      <c r="C15" s="32"/>
      <c r="D15" s="32"/>
      <c r="E15" s="225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3">
        <v>4</v>
      </c>
      <c r="B16" s="279" t="s">
        <v>325</v>
      </c>
      <c r="C16" s="32"/>
      <c r="D16" s="32"/>
      <c r="E16" s="225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3">
        <v>4.0999999999999996</v>
      </c>
      <c r="B17" s="276" t="s">
        <v>316</v>
      </c>
      <c r="C17" s="32">
        <v>5059750.2757910332</v>
      </c>
      <c r="D17" s="32">
        <v>11161021.531329179</v>
      </c>
      <c r="E17" s="225">
        <f t="shared" si="1"/>
        <v>16220771.807120211</v>
      </c>
      <c r="F17" s="32">
        <v>4242463.6907068482</v>
      </c>
      <c r="G17" s="32">
        <v>12404519.934177995</v>
      </c>
      <c r="H17" s="33">
        <f t="shared" si="0"/>
        <v>16646983.624884844</v>
      </c>
    </row>
    <row r="18" spans="1:8" s="15" customFormat="1">
      <c r="A18" s="223">
        <v>4.2</v>
      </c>
      <c r="B18" s="276" t="s">
        <v>310</v>
      </c>
      <c r="C18" s="32">
        <v>150463639.80996031</v>
      </c>
      <c r="D18" s="32">
        <v>290042117.96550715</v>
      </c>
      <c r="E18" s="225">
        <f t="shared" si="1"/>
        <v>440505757.77546746</v>
      </c>
      <c r="F18" s="32">
        <v>152837767.97533455</v>
      </c>
      <c r="G18" s="32">
        <v>282974921.1875791</v>
      </c>
      <c r="H18" s="33">
        <f t="shared" si="0"/>
        <v>435812689.16291368</v>
      </c>
    </row>
    <row r="19" spans="1:8" s="15" customFormat="1">
      <c r="A19" s="223">
        <v>5</v>
      </c>
      <c r="B19" s="227" t="s">
        <v>324</v>
      </c>
      <c r="C19" s="32"/>
      <c r="D19" s="32"/>
      <c r="E19" s="225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3">
        <v>5.0999999999999996</v>
      </c>
      <c r="B20" s="277" t="s">
        <v>299</v>
      </c>
      <c r="C20" s="32">
        <v>71222.210000000006</v>
      </c>
      <c r="D20" s="32">
        <v>14431521.932071004</v>
      </c>
      <c r="E20" s="225">
        <f t="shared" si="1"/>
        <v>14502744.142071005</v>
      </c>
      <c r="F20" s="32">
        <v>303255.92</v>
      </c>
      <c r="G20" s="32">
        <v>15639851.666109998</v>
      </c>
      <c r="H20" s="33">
        <f t="shared" si="0"/>
        <v>15943107.586109998</v>
      </c>
    </row>
    <row r="21" spans="1:8" s="15" customFormat="1">
      <c r="A21" s="223">
        <v>5.2</v>
      </c>
      <c r="B21" s="277" t="s">
        <v>298</v>
      </c>
      <c r="C21" s="32">
        <v>0</v>
      </c>
      <c r="D21" s="32">
        <v>0</v>
      </c>
      <c r="E21" s="225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3">
        <v>5.3</v>
      </c>
      <c r="B22" s="277" t="s">
        <v>297</v>
      </c>
      <c r="C22" s="32">
        <v>16608338.649999999</v>
      </c>
      <c r="D22" s="32">
        <v>1972016745.3230309</v>
      </c>
      <c r="E22" s="225">
        <f t="shared" si="1"/>
        <v>1988625083.973031</v>
      </c>
      <c r="F22" s="32">
        <v>14016988.800000001</v>
      </c>
      <c r="G22" s="32">
        <v>1766832238.3194792</v>
      </c>
      <c r="H22" s="33">
        <f t="shared" si="0"/>
        <v>1780849227.1194792</v>
      </c>
    </row>
    <row r="23" spans="1:8" s="15" customFormat="1">
      <c r="A23" s="223" t="s">
        <v>15</v>
      </c>
      <c r="B23" s="228" t="s">
        <v>75</v>
      </c>
      <c r="C23" s="32">
        <v>238102.09999999998</v>
      </c>
      <c r="D23" s="32">
        <v>157262394.76483005</v>
      </c>
      <c r="E23" s="225">
        <f t="shared" si="1"/>
        <v>157500496.86483005</v>
      </c>
      <c r="F23" s="32">
        <v>262321.2</v>
      </c>
      <c r="G23" s="32">
        <v>153730029.60000002</v>
      </c>
      <c r="H23" s="33">
        <f t="shared" si="0"/>
        <v>153992350.80000001</v>
      </c>
    </row>
    <row r="24" spans="1:8" s="15" customFormat="1">
      <c r="A24" s="223" t="s">
        <v>16</v>
      </c>
      <c r="B24" s="228" t="s">
        <v>76</v>
      </c>
      <c r="C24" s="32">
        <v>817579.5</v>
      </c>
      <c r="D24" s="32">
        <v>915125053.36370099</v>
      </c>
      <c r="E24" s="225">
        <f t="shared" si="1"/>
        <v>915942632.86370099</v>
      </c>
      <c r="F24" s="32">
        <v>5717097</v>
      </c>
      <c r="G24" s="32">
        <v>799408720.75867915</v>
      </c>
      <c r="H24" s="33">
        <f t="shared" si="0"/>
        <v>805125817.75867915</v>
      </c>
    </row>
    <row r="25" spans="1:8" s="15" customFormat="1">
      <c r="A25" s="223" t="s">
        <v>17</v>
      </c>
      <c r="B25" s="228" t="s">
        <v>77</v>
      </c>
      <c r="C25" s="32">
        <v>0</v>
      </c>
      <c r="D25" s="32">
        <v>186697873.30610001</v>
      </c>
      <c r="E25" s="225">
        <f t="shared" si="1"/>
        <v>186697873.30610001</v>
      </c>
      <c r="F25" s="32">
        <v>0</v>
      </c>
      <c r="G25" s="32">
        <v>302809653.48240006</v>
      </c>
      <c r="H25" s="33">
        <f t="shared" si="0"/>
        <v>302809653.48240006</v>
      </c>
    </row>
    <row r="26" spans="1:8" s="15" customFormat="1">
      <c r="A26" s="223" t="s">
        <v>18</v>
      </c>
      <c r="B26" s="228" t="s">
        <v>78</v>
      </c>
      <c r="C26" s="32">
        <v>15552657.049999999</v>
      </c>
      <c r="D26" s="32">
        <v>618684298.69970012</v>
      </c>
      <c r="E26" s="225">
        <f t="shared" si="1"/>
        <v>634236955.74970007</v>
      </c>
      <c r="F26" s="32">
        <v>8037570.5999999996</v>
      </c>
      <c r="G26" s="32">
        <v>450462926.67839992</v>
      </c>
      <c r="H26" s="33">
        <f t="shared" si="0"/>
        <v>458500497.27839994</v>
      </c>
    </row>
    <row r="27" spans="1:8" s="15" customFormat="1">
      <c r="A27" s="223" t="s">
        <v>19</v>
      </c>
      <c r="B27" s="228" t="s">
        <v>79</v>
      </c>
      <c r="C27" s="32">
        <v>0</v>
      </c>
      <c r="D27" s="32">
        <v>94247125.188699976</v>
      </c>
      <c r="E27" s="225">
        <f t="shared" si="1"/>
        <v>94247125.188699976</v>
      </c>
      <c r="F27" s="32">
        <v>0</v>
      </c>
      <c r="G27" s="32">
        <v>60420907.800000004</v>
      </c>
      <c r="H27" s="33">
        <f t="shared" si="0"/>
        <v>60420907.800000004</v>
      </c>
    </row>
    <row r="28" spans="1:8" s="15" customFormat="1">
      <c r="A28" s="223">
        <v>5.4</v>
      </c>
      <c r="B28" s="277" t="s">
        <v>300</v>
      </c>
      <c r="C28" s="32">
        <v>216064226.60504097</v>
      </c>
      <c r="D28" s="32">
        <v>232327463.95909598</v>
      </c>
      <c r="E28" s="225">
        <f t="shared" si="1"/>
        <v>448391690.56413698</v>
      </c>
      <c r="F28" s="32">
        <v>226404693.34698802</v>
      </c>
      <c r="G28" s="32">
        <v>289224107.60382795</v>
      </c>
      <c r="H28" s="33">
        <f t="shared" si="0"/>
        <v>515628800.95081598</v>
      </c>
    </row>
    <row r="29" spans="1:8" s="15" customFormat="1">
      <c r="A29" s="223">
        <v>5.5</v>
      </c>
      <c r="B29" s="277" t="s">
        <v>301</v>
      </c>
      <c r="C29" s="32">
        <v>12681043</v>
      </c>
      <c r="D29" s="32">
        <v>145600874.2374</v>
      </c>
      <c r="E29" s="225">
        <f t="shared" si="1"/>
        <v>158281917.2374</v>
      </c>
      <c r="F29" s="32">
        <v>17358201</v>
      </c>
      <c r="G29" s="32">
        <v>114685848</v>
      </c>
      <c r="H29" s="33">
        <f t="shared" si="0"/>
        <v>132044049</v>
      </c>
    </row>
    <row r="30" spans="1:8" s="15" customFormat="1">
      <c r="A30" s="223">
        <v>5.6</v>
      </c>
      <c r="B30" s="277" t="s">
        <v>302</v>
      </c>
      <c r="C30" s="32">
        <v>3500000</v>
      </c>
      <c r="D30" s="32">
        <v>4446485</v>
      </c>
      <c r="E30" s="225">
        <f t="shared" si="1"/>
        <v>7946485</v>
      </c>
      <c r="F30" s="32">
        <v>3500000</v>
      </c>
      <c r="G30" s="32">
        <v>5613663.8736000005</v>
      </c>
      <c r="H30" s="33">
        <f t="shared" si="0"/>
        <v>9113663.8736000005</v>
      </c>
    </row>
    <row r="31" spans="1:8" s="15" customFormat="1">
      <c r="A31" s="223">
        <v>5.7</v>
      </c>
      <c r="B31" s="277" t="s">
        <v>79</v>
      </c>
      <c r="C31" s="32">
        <v>3392801</v>
      </c>
      <c r="D31" s="32">
        <v>89352167.711600006</v>
      </c>
      <c r="E31" s="225">
        <f t="shared" si="1"/>
        <v>92744968.711600006</v>
      </c>
      <c r="F31" s="32">
        <v>10965561</v>
      </c>
      <c r="G31" s="32">
        <v>127583784.24479997</v>
      </c>
      <c r="H31" s="33">
        <f t="shared" si="0"/>
        <v>138549345.24479997</v>
      </c>
    </row>
    <row r="32" spans="1:8" s="15" customFormat="1">
      <c r="A32" s="223">
        <v>6</v>
      </c>
      <c r="B32" s="227" t="s">
        <v>330</v>
      </c>
      <c r="C32" s="32"/>
      <c r="D32" s="32"/>
      <c r="E32" s="225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3">
        <v>6.1</v>
      </c>
      <c r="B33" s="278" t="s">
        <v>320</v>
      </c>
      <c r="C33" s="32"/>
      <c r="D33" s="32"/>
      <c r="E33" s="225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3">
        <v>6.2</v>
      </c>
      <c r="B34" s="278" t="s">
        <v>321</v>
      </c>
      <c r="C34" s="32"/>
      <c r="D34" s="32"/>
      <c r="E34" s="225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3">
        <v>6.3</v>
      </c>
      <c r="B35" s="278" t="s">
        <v>317</v>
      </c>
      <c r="C35" s="32"/>
      <c r="D35" s="32"/>
      <c r="E35" s="225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3">
        <v>6.4</v>
      </c>
      <c r="B36" s="278" t="s">
        <v>318</v>
      </c>
      <c r="C36" s="32"/>
      <c r="D36" s="32"/>
      <c r="E36" s="225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3">
        <v>6.5</v>
      </c>
      <c r="B37" s="278" t="s">
        <v>319</v>
      </c>
      <c r="C37" s="32"/>
      <c r="D37" s="32"/>
      <c r="E37" s="225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3">
        <v>6.6</v>
      </c>
      <c r="B38" s="278" t="s">
        <v>322</v>
      </c>
      <c r="C38" s="32"/>
      <c r="D38" s="32"/>
      <c r="E38" s="225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3">
        <v>6.7</v>
      </c>
      <c r="B39" s="278" t="s">
        <v>323</v>
      </c>
      <c r="C39" s="32"/>
      <c r="D39" s="32"/>
      <c r="E39" s="225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3">
        <v>7</v>
      </c>
      <c r="B40" s="227" t="s">
        <v>326</v>
      </c>
      <c r="C40" s="32"/>
      <c r="D40" s="32"/>
      <c r="E40" s="225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3">
        <v>7.1</v>
      </c>
      <c r="B41" s="226" t="s">
        <v>327</v>
      </c>
      <c r="C41" s="32">
        <v>558101.59000000008</v>
      </c>
      <c r="D41" s="32">
        <v>330762.32</v>
      </c>
      <c r="E41" s="225">
        <f t="shared" si="1"/>
        <v>888863.91000000015</v>
      </c>
      <c r="F41" s="32">
        <v>0</v>
      </c>
      <c r="G41" s="32">
        <v>2434420.0099999998</v>
      </c>
      <c r="H41" s="33">
        <f t="shared" si="0"/>
        <v>2434420.0099999998</v>
      </c>
    </row>
    <row r="42" spans="1:8" s="15" customFormat="1" ht="26.4">
      <c r="A42" s="223">
        <v>7.2</v>
      </c>
      <c r="B42" s="226" t="s">
        <v>328</v>
      </c>
      <c r="C42" s="32">
        <v>3606031.0800000266</v>
      </c>
      <c r="D42" s="32">
        <v>8122111.9799999734</v>
      </c>
      <c r="E42" s="225">
        <f t="shared" si="1"/>
        <v>11728143.060000001</v>
      </c>
      <c r="F42" s="32">
        <v>3524332.5199999888</v>
      </c>
      <c r="G42" s="32">
        <v>6601737.4199999226</v>
      </c>
      <c r="H42" s="33">
        <f t="shared" si="0"/>
        <v>10126069.939999912</v>
      </c>
    </row>
    <row r="43" spans="1:8" s="15" customFormat="1" ht="26.4">
      <c r="A43" s="223">
        <v>7.3</v>
      </c>
      <c r="B43" s="226" t="s">
        <v>331</v>
      </c>
      <c r="C43" s="32">
        <v>10993889.450000001</v>
      </c>
      <c r="D43" s="32">
        <v>6763713.1999999993</v>
      </c>
      <c r="E43" s="225">
        <f t="shared" si="1"/>
        <v>17757602.649999999</v>
      </c>
      <c r="F43" s="32">
        <v>10345807.790000003</v>
      </c>
      <c r="G43" s="32">
        <v>7303547.7913500005</v>
      </c>
      <c r="H43" s="33">
        <f t="shared" si="0"/>
        <v>17649355.581350002</v>
      </c>
    </row>
    <row r="44" spans="1:8" s="15" customFormat="1" ht="26.4">
      <c r="A44" s="223">
        <v>7.4</v>
      </c>
      <c r="B44" s="226" t="s">
        <v>332</v>
      </c>
      <c r="C44" s="32">
        <v>58468663.919995323</v>
      </c>
      <c r="D44" s="32">
        <v>124381319.0099978</v>
      </c>
      <c r="E44" s="225">
        <f t="shared" si="1"/>
        <v>182849982.92999312</v>
      </c>
      <c r="F44" s="32">
        <v>50046120.099997938</v>
      </c>
      <c r="G44" s="32">
        <v>117151282.89999883</v>
      </c>
      <c r="H44" s="33">
        <f t="shared" si="0"/>
        <v>167197402.99999678</v>
      </c>
    </row>
    <row r="45" spans="1:8" s="15" customFormat="1">
      <c r="A45" s="223">
        <v>8</v>
      </c>
      <c r="B45" s="227" t="s">
        <v>309</v>
      </c>
      <c r="C45" s="32">
        <v>3061848.8124080002</v>
      </c>
      <c r="D45" s="32">
        <v>0</v>
      </c>
      <c r="E45" s="225">
        <f>SUM(E46:E52)</f>
        <v>3061848.8124080002</v>
      </c>
      <c r="F45" s="32">
        <v>4795113.3078720002</v>
      </c>
      <c r="G45" s="32">
        <v>0</v>
      </c>
      <c r="H45" s="33">
        <f t="shared" si="0"/>
        <v>4795113.3078720002</v>
      </c>
    </row>
    <row r="46" spans="1:8" s="15" customFormat="1">
      <c r="A46" s="223">
        <v>8.1</v>
      </c>
      <c r="B46" s="276" t="s">
        <v>333</v>
      </c>
      <c r="C46" s="32">
        <v>56176.661808000004</v>
      </c>
      <c r="D46" s="32">
        <v>0</v>
      </c>
      <c r="E46" s="225">
        <f t="shared" si="1"/>
        <v>56176.661808000004</v>
      </c>
      <c r="F46" s="32">
        <v>39665.366399999999</v>
      </c>
      <c r="G46" s="32">
        <v>0</v>
      </c>
      <c r="H46" s="33">
        <f t="shared" si="0"/>
        <v>39665.366399999999</v>
      </c>
    </row>
    <row r="47" spans="1:8" s="15" customFormat="1">
      <c r="A47" s="223">
        <v>8.1999999999999993</v>
      </c>
      <c r="B47" s="276" t="s">
        <v>334</v>
      </c>
      <c r="C47" s="32">
        <v>1942522.8957999998</v>
      </c>
      <c r="D47" s="32">
        <v>0</v>
      </c>
      <c r="E47" s="225">
        <f t="shared" si="1"/>
        <v>1942522.8957999998</v>
      </c>
      <c r="F47" s="32">
        <v>1930460.8814719999</v>
      </c>
      <c r="G47" s="32">
        <v>0</v>
      </c>
      <c r="H47" s="33">
        <f t="shared" si="0"/>
        <v>1930460.8814719999</v>
      </c>
    </row>
    <row r="48" spans="1:8" s="15" customFormat="1">
      <c r="A48" s="223">
        <v>8.3000000000000007</v>
      </c>
      <c r="B48" s="276" t="s">
        <v>335</v>
      </c>
      <c r="C48" s="32">
        <v>1063149.2548000002</v>
      </c>
      <c r="D48" s="32">
        <v>0</v>
      </c>
      <c r="E48" s="225">
        <f t="shared" si="1"/>
        <v>1063149.2548000002</v>
      </c>
      <c r="F48" s="32">
        <v>1786819.3199999998</v>
      </c>
      <c r="G48" s="32">
        <v>0</v>
      </c>
      <c r="H48" s="33">
        <f t="shared" si="0"/>
        <v>1786819.3199999998</v>
      </c>
    </row>
    <row r="49" spans="1:8" s="15" customFormat="1">
      <c r="A49" s="223">
        <v>8.4</v>
      </c>
      <c r="B49" s="276" t="s">
        <v>336</v>
      </c>
      <c r="C49" s="32">
        <v>0</v>
      </c>
      <c r="D49" s="32">
        <v>0</v>
      </c>
      <c r="E49" s="225">
        <f t="shared" si="1"/>
        <v>0</v>
      </c>
      <c r="F49" s="32">
        <v>1038167.74</v>
      </c>
      <c r="G49" s="32">
        <v>0</v>
      </c>
      <c r="H49" s="33">
        <f t="shared" si="0"/>
        <v>1038167.74</v>
      </c>
    </row>
    <row r="50" spans="1:8" s="15" customFormat="1">
      <c r="A50" s="223">
        <v>8.5</v>
      </c>
      <c r="B50" s="276" t="s">
        <v>337</v>
      </c>
      <c r="C50" s="32">
        <v>0</v>
      </c>
      <c r="D50" s="32">
        <v>0</v>
      </c>
      <c r="E50" s="225">
        <f t="shared" si="1"/>
        <v>0</v>
      </c>
      <c r="F50" s="32">
        <v>0</v>
      </c>
      <c r="G50" s="32">
        <v>0</v>
      </c>
      <c r="H50" s="33">
        <f t="shared" si="0"/>
        <v>0</v>
      </c>
    </row>
    <row r="51" spans="1:8" s="15" customFormat="1">
      <c r="A51" s="223">
        <v>8.6</v>
      </c>
      <c r="B51" s="276" t="s">
        <v>338</v>
      </c>
      <c r="C51" s="32">
        <v>0</v>
      </c>
      <c r="D51" s="32">
        <v>0</v>
      </c>
      <c r="E51" s="225">
        <f t="shared" si="1"/>
        <v>0</v>
      </c>
      <c r="F51" s="32">
        <v>0</v>
      </c>
      <c r="G51" s="32">
        <v>0</v>
      </c>
      <c r="H51" s="33">
        <f t="shared" si="0"/>
        <v>0</v>
      </c>
    </row>
    <row r="52" spans="1:8" s="15" customFormat="1">
      <c r="A52" s="223">
        <v>8.6999999999999993</v>
      </c>
      <c r="B52" s="276" t="s">
        <v>339</v>
      </c>
      <c r="C52" s="32">
        <v>0</v>
      </c>
      <c r="D52" s="32">
        <v>0</v>
      </c>
      <c r="E52" s="225">
        <f t="shared" si="1"/>
        <v>0</v>
      </c>
      <c r="F52" s="32">
        <v>0</v>
      </c>
      <c r="G52" s="32">
        <v>0</v>
      </c>
      <c r="H52" s="33">
        <f t="shared" si="0"/>
        <v>0</v>
      </c>
    </row>
    <row r="53" spans="1:8" s="15" customFormat="1" ht="14.4" thickBot="1">
      <c r="A53" s="229">
        <v>9</v>
      </c>
      <c r="B53" s="230" t="s">
        <v>329</v>
      </c>
      <c r="C53" s="231"/>
      <c r="D53" s="231"/>
      <c r="E53" s="232">
        <f t="shared" si="1"/>
        <v>0</v>
      </c>
      <c r="F53" s="231"/>
      <c r="G53" s="231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D13" sqref="D13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46" customWidth="1"/>
    <col min="12" max="16384" width="9.109375" style="46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39">
        <f>'1. key ratios '!B2</f>
        <v>43646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66" t="s">
        <v>303</v>
      </c>
      <c r="D4" s="69" t="s">
        <v>73</v>
      </c>
    </row>
    <row r="5" spans="1:8" ht="15" customHeight="1">
      <c r="A5" s="261" t="s">
        <v>6</v>
      </c>
      <c r="B5" s="262"/>
      <c r="C5" s="379" t="s">
        <v>519</v>
      </c>
      <c r="D5" s="380" t="s">
        <v>487</v>
      </c>
    </row>
    <row r="6" spans="1:8" ht="15" customHeight="1">
      <c r="A6" s="70">
        <v>1</v>
      </c>
      <c r="B6" s="370" t="s">
        <v>307</v>
      </c>
      <c r="C6" s="372">
        <f>C7+C9+C10</f>
        <v>1198471591.6341867</v>
      </c>
      <c r="D6" s="373">
        <f>D7+D9+D10</f>
        <v>1142049671.6457329</v>
      </c>
    </row>
    <row r="7" spans="1:8" ht="15" customHeight="1">
      <c r="A7" s="70">
        <v>1.1000000000000001</v>
      </c>
      <c r="B7" s="370" t="s">
        <v>202</v>
      </c>
      <c r="C7" s="374">
        <v>1141487350.2416704</v>
      </c>
      <c r="D7" s="375">
        <v>1079883369.0513921</v>
      </c>
    </row>
    <row r="8" spans="1:8">
      <c r="A8" s="70" t="s">
        <v>14</v>
      </c>
      <c r="B8" s="370" t="s">
        <v>201</v>
      </c>
      <c r="C8" s="374">
        <v>25472712.5</v>
      </c>
      <c r="D8" s="375">
        <v>25472712.5</v>
      </c>
    </row>
    <row r="9" spans="1:8" ht="15" customHeight="1">
      <c r="A9" s="70">
        <v>1.2</v>
      </c>
      <c r="B9" s="371" t="s">
        <v>200</v>
      </c>
      <c r="C9" s="374">
        <v>56984241.392516315</v>
      </c>
      <c r="D9" s="375">
        <v>62166302.59434092</v>
      </c>
    </row>
    <row r="10" spans="1:8" ht="15" customHeight="1">
      <c r="A10" s="70">
        <v>1.3</v>
      </c>
      <c r="B10" s="370" t="s">
        <v>28</v>
      </c>
      <c r="C10" s="376">
        <v>0</v>
      </c>
      <c r="D10" s="375">
        <v>0</v>
      </c>
    </row>
    <row r="11" spans="1:8" ht="15" customHeight="1">
      <c r="A11" s="70">
        <v>2</v>
      </c>
      <c r="B11" s="370" t="s">
        <v>304</v>
      </c>
      <c r="C11" s="374">
        <v>39801154.099861532</v>
      </c>
      <c r="D11" s="375">
        <v>1830122.3469170097</v>
      </c>
    </row>
    <row r="12" spans="1:8" ht="15" customHeight="1">
      <c r="A12" s="70">
        <v>3</v>
      </c>
      <c r="B12" s="370" t="s">
        <v>305</v>
      </c>
      <c r="C12" s="376">
        <v>154224196.875</v>
      </c>
      <c r="D12" s="375">
        <v>154224196.875</v>
      </c>
    </row>
    <row r="13" spans="1:8" ht="15" customHeight="1" thickBot="1">
      <c r="A13" s="72">
        <v>4</v>
      </c>
      <c r="B13" s="73" t="s">
        <v>306</v>
      </c>
      <c r="C13" s="377">
        <f>C6+C11+C12</f>
        <v>1392496942.6090484</v>
      </c>
      <c r="D13" s="378">
        <f>D6+D11+D12</f>
        <v>1298103990.8676498</v>
      </c>
    </row>
    <row r="14" spans="1:8">
      <c r="B14" s="76"/>
    </row>
    <row r="15" spans="1:8">
      <c r="B15" s="77"/>
    </row>
    <row r="16" spans="1:8">
      <c r="B16" s="77"/>
    </row>
    <row r="17" spans="1:4" ht="10.199999999999999">
      <c r="A17" s="46"/>
      <c r="B17" s="46"/>
      <c r="C17" s="46"/>
      <c r="D17" s="46"/>
    </row>
    <row r="18" spans="1:4" ht="10.199999999999999">
      <c r="A18" s="46"/>
      <c r="B18" s="46"/>
      <c r="C18" s="46"/>
      <c r="D18" s="46"/>
    </row>
    <row r="19" spans="1:4" ht="10.199999999999999">
      <c r="A19" s="46"/>
      <c r="B19" s="46"/>
      <c r="C19" s="46"/>
      <c r="D19" s="46"/>
    </row>
    <row r="20" spans="1:4" ht="10.199999999999999">
      <c r="A20" s="46"/>
      <c r="B20" s="46"/>
      <c r="C20" s="46"/>
      <c r="D20" s="46"/>
    </row>
    <row r="21" spans="1:4" ht="10.199999999999999">
      <c r="A21" s="46"/>
      <c r="B21" s="46"/>
      <c r="C21" s="46"/>
      <c r="D21" s="46"/>
    </row>
    <row r="22" spans="1:4" ht="10.199999999999999">
      <c r="A22" s="46"/>
      <c r="B22" s="46"/>
      <c r="C22" s="46"/>
      <c r="D22" s="46"/>
    </row>
    <row r="23" spans="1:4" ht="10.199999999999999">
      <c r="A23" s="46"/>
      <c r="B23" s="46"/>
      <c r="C23" s="46"/>
      <c r="D23" s="46"/>
    </row>
    <row r="24" spans="1:4" ht="10.199999999999999">
      <c r="A24" s="46"/>
      <c r="B24" s="46"/>
      <c r="C24" s="46"/>
      <c r="D24" s="46"/>
    </row>
    <row r="25" spans="1:4" ht="10.199999999999999">
      <c r="A25" s="46"/>
      <c r="B25" s="46"/>
      <c r="C25" s="46"/>
      <c r="D25" s="46"/>
    </row>
    <row r="26" spans="1:4" ht="10.199999999999999">
      <c r="A26" s="46"/>
      <c r="B26" s="46"/>
      <c r="C26" s="46"/>
      <c r="D26" s="46"/>
    </row>
    <row r="27" spans="1:4" ht="10.199999999999999">
      <c r="A27" s="46"/>
      <c r="B27" s="46"/>
      <c r="C27" s="46"/>
      <c r="D27" s="46"/>
    </row>
    <row r="28" spans="1:4" ht="10.199999999999999">
      <c r="A28" s="46"/>
      <c r="B28" s="46"/>
      <c r="C28" s="46"/>
      <c r="D28" s="46"/>
    </row>
    <row r="29" spans="1:4" ht="10.199999999999999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09375" defaultRowHeight="13.8"/>
  <cols>
    <col min="1" max="1" width="9.5546875" style="4" bestFit="1" customWidth="1"/>
    <col min="2" max="2" width="90.44140625" style="4" bestFit="1" customWidth="1"/>
    <col min="3" max="3" width="9.109375" style="4"/>
    <col min="4" max="16384" width="9.10937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55">
        <f>'1. key ratios '!B2</f>
        <v>43646</v>
      </c>
    </row>
    <row r="4" spans="1:8" ht="16.5" customHeight="1" thickBot="1">
      <c r="A4" s="78" t="s">
        <v>80</v>
      </c>
      <c r="B4" s="79" t="s">
        <v>273</v>
      </c>
      <c r="C4" s="80"/>
    </row>
    <row r="5" spans="1:8">
      <c r="A5" s="81"/>
      <c r="B5" s="531" t="s">
        <v>81</v>
      </c>
      <c r="C5" s="532"/>
    </row>
    <row r="6" spans="1:8">
      <c r="A6" s="82">
        <v>1</v>
      </c>
      <c r="B6" s="474" t="s">
        <v>493</v>
      </c>
      <c r="C6" s="475"/>
    </row>
    <row r="7" spans="1:8">
      <c r="A7" s="82">
        <v>2</v>
      </c>
      <c r="B7" s="474" t="s">
        <v>496</v>
      </c>
      <c r="C7" s="475"/>
    </row>
    <row r="8" spans="1:8">
      <c r="A8" s="82">
        <v>3</v>
      </c>
      <c r="B8" s="474" t="s">
        <v>497</v>
      </c>
      <c r="C8" s="475"/>
    </row>
    <row r="9" spans="1:8">
      <c r="A9" s="82">
        <v>4</v>
      </c>
      <c r="B9" s="474" t="s">
        <v>498</v>
      </c>
      <c r="C9" s="475"/>
    </row>
    <row r="10" spans="1:8">
      <c r="A10" s="82">
        <v>5</v>
      </c>
      <c r="B10" s="474"/>
      <c r="C10" s="475"/>
    </row>
    <row r="11" spans="1:8">
      <c r="A11" s="82">
        <v>6</v>
      </c>
      <c r="B11" s="474"/>
      <c r="C11" s="475"/>
    </row>
    <row r="12" spans="1:8">
      <c r="A12" s="82">
        <v>7</v>
      </c>
      <c r="B12" s="474"/>
      <c r="C12" s="475"/>
      <c r="H12" s="84"/>
    </row>
    <row r="13" spans="1:8">
      <c r="A13" s="82">
        <v>8</v>
      </c>
      <c r="B13" s="474"/>
      <c r="C13" s="475"/>
    </row>
    <row r="14" spans="1:8">
      <c r="A14" s="82">
        <v>9</v>
      </c>
      <c r="B14" s="474"/>
      <c r="C14" s="475"/>
    </row>
    <row r="15" spans="1:8">
      <c r="A15" s="82">
        <v>10</v>
      </c>
      <c r="B15" s="474"/>
      <c r="C15" s="475"/>
    </row>
    <row r="16" spans="1:8">
      <c r="A16" s="82"/>
      <c r="B16" s="533"/>
      <c r="C16" s="534"/>
    </row>
    <row r="17" spans="1:3">
      <c r="A17" s="82"/>
      <c r="B17" s="535" t="s">
        <v>82</v>
      </c>
      <c r="C17" s="536"/>
    </row>
    <row r="18" spans="1:3">
      <c r="A18" s="82">
        <v>1</v>
      </c>
      <c r="B18" s="474" t="s">
        <v>494</v>
      </c>
      <c r="C18" s="476"/>
    </row>
    <row r="19" spans="1:3">
      <c r="A19" s="82">
        <v>2</v>
      </c>
      <c r="B19" s="474" t="s">
        <v>499</v>
      </c>
      <c r="C19" s="476"/>
    </row>
    <row r="20" spans="1:3">
      <c r="A20" s="82">
        <v>3</v>
      </c>
      <c r="B20" s="474" t="s">
        <v>500</v>
      </c>
      <c r="C20" s="476"/>
    </row>
    <row r="21" spans="1:3">
      <c r="A21" s="82">
        <v>4</v>
      </c>
      <c r="B21" s="474" t="s">
        <v>501</v>
      </c>
      <c r="C21" s="476"/>
    </row>
    <row r="22" spans="1:3">
      <c r="A22" s="82">
        <v>5</v>
      </c>
      <c r="B22" s="474" t="s">
        <v>502</v>
      </c>
      <c r="C22" s="476"/>
    </row>
    <row r="23" spans="1:3">
      <c r="A23" s="82">
        <v>6</v>
      </c>
      <c r="B23" s="83"/>
      <c r="C23" s="85"/>
    </row>
    <row r="24" spans="1:3">
      <c r="A24" s="82">
        <v>7</v>
      </c>
      <c r="B24" s="83"/>
      <c r="C24" s="85"/>
    </row>
    <row r="25" spans="1:3">
      <c r="A25" s="82">
        <v>8</v>
      </c>
      <c r="B25" s="83"/>
      <c r="C25" s="85"/>
    </row>
    <row r="26" spans="1:3">
      <c r="A26" s="82">
        <v>9</v>
      </c>
      <c r="B26" s="83"/>
      <c r="C26" s="85"/>
    </row>
    <row r="27" spans="1:3" ht="15.75" customHeight="1">
      <c r="A27" s="82">
        <v>10</v>
      </c>
      <c r="B27" s="83"/>
      <c r="C27" s="86"/>
    </row>
    <row r="28" spans="1:3" ht="15.75" customHeight="1">
      <c r="A28" s="82"/>
      <c r="B28" s="83"/>
      <c r="C28" s="86"/>
    </row>
    <row r="29" spans="1:3" ht="30" customHeight="1">
      <c r="A29" s="82"/>
      <c r="B29" s="537" t="s">
        <v>83</v>
      </c>
      <c r="C29" s="538"/>
    </row>
    <row r="30" spans="1:3">
      <c r="A30" s="82">
        <v>1</v>
      </c>
      <c r="B30" s="474" t="s">
        <v>517</v>
      </c>
      <c r="C30" s="520">
        <v>1</v>
      </c>
    </row>
    <row r="31" spans="1:3" ht="15.75" customHeight="1">
      <c r="A31" s="82"/>
      <c r="B31" s="474"/>
      <c r="C31" s="475"/>
    </row>
    <row r="32" spans="1:3" ht="29.25" customHeight="1">
      <c r="A32" s="82"/>
      <c r="B32" s="535" t="s">
        <v>84</v>
      </c>
      <c r="C32" s="536"/>
    </row>
    <row r="33" spans="1:3">
      <c r="A33" s="82">
        <v>1</v>
      </c>
      <c r="B33" s="474" t="s">
        <v>518</v>
      </c>
      <c r="C33" s="520">
        <v>1</v>
      </c>
    </row>
    <row r="34" spans="1:3" ht="14.4" thickBot="1">
      <c r="A34" s="87"/>
      <c r="B34" s="88"/>
      <c r="C34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D16" sqref="D16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310" t="s">
        <v>30</v>
      </c>
      <c r="B1" s="311" t="str">
        <f>'Info '!C2</f>
        <v>JSC CARTU BANK</v>
      </c>
      <c r="C1" s="102"/>
      <c r="D1" s="102"/>
      <c r="E1" s="102"/>
      <c r="F1" s="15"/>
    </row>
    <row r="2" spans="1:7" s="90" customFormat="1" ht="15.75" customHeight="1">
      <c r="A2" s="310" t="s">
        <v>31</v>
      </c>
      <c r="B2" s="458">
        <f>'1. key ratios '!B2</f>
        <v>43646</v>
      </c>
    </row>
    <row r="3" spans="1:7" s="90" customFormat="1" ht="15.75" customHeight="1">
      <c r="A3" s="310"/>
    </row>
    <row r="4" spans="1:7" s="90" customFormat="1" ht="15.75" customHeight="1" thickBot="1">
      <c r="A4" s="312" t="s">
        <v>207</v>
      </c>
      <c r="B4" s="543" t="s">
        <v>353</v>
      </c>
      <c r="C4" s="544"/>
      <c r="D4" s="544"/>
      <c r="E4" s="544"/>
    </row>
    <row r="5" spans="1:7" s="94" customFormat="1" ht="17.399999999999999" customHeight="1">
      <c r="A5" s="244"/>
      <c r="B5" s="245"/>
      <c r="C5" s="92" t="s">
        <v>0</v>
      </c>
      <c r="D5" s="92" t="s">
        <v>1</v>
      </c>
      <c r="E5" s="93" t="s">
        <v>2</v>
      </c>
    </row>
    <row r="6" spans="1:7" s="15" customFormat="1" ht="14.4" customHeight="1">
      <c r="A6" s="313"/>
      <c r="B6" s="539" t="s">
        <v>360</v>
      </c>
      <c r="C6" s="539" t="s">
        <v>93</v>
      </c>
      <c r="D6" s="541" t="s">
        <v>206</v>
      </c>
      <c r="E6" s="542"/>
      <c r="G6" s="5"/>
    </row>
    <row r="7" spans="1:7" s="15" customFormat="1" ht="99.6" customHeight="1">
      <c r="A7" s="313"/>
      <c r="B7" s="540"/>
      <c r="C7" s="539"/>
      <c r="D7" s="349" t="s">
        <v>205</v>
      </c>
      <c r="E7" s="350" t="s">
        <v>361</v>
      </c>
      <c r="G7" s="5"/>
    </row>
    <row r="8" spans="1:7">
      <c r="A8" s="314">
        <v>1</v>
      </c>
      <c r="B8" s="351" t="s">
        <v>35</v>
      </c>
      <c r="C8" s="574">
        <v>32227284</v>
      </c>
      <c r="D8" s="574"/>
      <c r="E8" s="575">
        <v>32227284</v>
      </c>
      <c r="F8" s="15"/>
    </row>
    <row r="9" spans="1:7">
      <c r="A9" s="314">
        <v>2</v>
      </c>
      <c r="B9" s="351" t="s">
        <v>36</v>
      </c>
      <c r="C9" s="574">
        <v>201785342</v>
      </c>
      <c r="D9" s="574"/>
      <c r="E9" s="575">
        <v>201785342</v>
      </c>
      <c r="F9" s="15"/>
    </row>
    <row r="10" spans="1:7">
      <c r="A10" s="314">
        <v>3</v>
      </c>
      <c r="B10" s="351" t="s">
        <v>37</v>
      </c>
      <c r="C10" s="574">
        <v>115867115</v>
      </c>
      <c r="D10" s="574"/>
      <c r="E10" s="575">
        <v>115867115</v>
      </c>
      <c r="F10" s="15"/>
    </row>
    <row r="11" spans="1:7">
      <c r="A11" s="314">
        <v>4</v>
      </c>
      <c r="B11" s="351" t="s">
        <v>38</v>
      </c>
      <c r="C11" s="574">
        <v>0</v>
      </c>
      <c r="D11" s="574"/>
      <c r="E11" s="575">
        <v>0</v>
      </c>
      <c r="F11" s="15"/>
    </row>
    <row r="12" spans="1:7">
      <c r="A12" s="314">
        <v>5</v>
      </c>
      <c r="B12" s="351" t="s">
        <v>39</v>
      </c>
      <c r="C12" s="574">
        <v>28372133</v>
      </c>
      <c r="D12" s="574"/>
      <c r="E12" s="575">
        <v>28372133</v>
      </c>
      <c r="F12" s="15"/>
    </row>
    <row r="13" spans="1:7">
      <c r="A13" s="314">
        <v>6.1</v>
      </c>
      <c r="B13" s="352" t="s">
        <v>40</v>
      </c>
      <c r="C13" s="576">
        <v>826831972</v>
      </c>
      <c r="D13" s="574"/>
      <c r="E13" s="575">
        <v>826831972</v>
      </c>
      <c r="F13" s="15"/>
    </row>
    <row r="14" spans="1:7">
      <c r="A14" s="314">
        <v>6.2</v>
      </c>
      <c r="B14" s="353" t="s">
        <v>41</v>
      </c>
      <c r="C14" s="576">
        <v>-134204378</v>
      </c>
      <c r="D14" s="574"/>
      <c r="E14" s="575">
        <v>-134204378</v>
      </c>
      <c r="F14" s="15"/>
    </row>
    <row r="15" spans="1:7">
      <c r="A15" s="314">
        <v>6</v>
      </c>
      <c r="B15" s="351" t="s">
        <v>42</v>
      </c>
      <c r="C15" s="574">
        <v>692627594</v>
      </c>
      <c r="D15" s="574"/>
      <c r="E15" s="575">
        <v>692627594</v>
      </c>
      <c r="F15" s="15"/>
    </row>
    <row r="16" spans="1:7">
      <c r="A16" s="314">
        <v>7</v>
      </c>
      <c r="B16" s="351" t="s">
        <v>43</v>
      </c>
      <c r="C16" s="574">
        <v>6219125</v>
      </c>
      <c r="D16" s="574"/>
      <c r="E16" s="575">
        <v>6219125</v>
      </c>
      <c r="F16" s="15"/>
    </row>
    <row r="17" spans="1:7">
      <c r="A17" s="314">
        <v>8</v>
      </c>
      <c r="B17" s="351" t="s">
        <v>204</v>
      </c>
      <c r="C17" s="574">
        <v>24630937</v>
      </c>
      <c r="D17" s="574"/>
      <c r="E17" s="575">
        <v>24630937</v>
      </c>
      <c r="F17" s="315"/>
      <c r="G17" s="96"/>
    </row>
    <row r="18" spans="1:7">
      <c r="A18" s="314">
        <v>9</v>
      </c>
      <c r="B18" s="351" t="s">
        <v>44</v>
      </c>
      <c r="C18" s="574">
        <v>4883540</v>
      </c>
      <c r="D18" s="574"/>
      <c r="E18" s="575">
        <v>4883540</v>
      </c>
      <c r="F18" s="15"/>
      <c r="G18" s="96"/>
    </row>
    <row r="19" spans="1:7">
      <c r="A19" s="314">
        <v>10</v>
      </c>
      <c r="B19" s="351" t="s">
        <v>45</v>
      </c>
      <c r="C19" s="574">
        <v>17593376</v>
      </c>
      <c r="D19" s="574">
        <v>4905563</v>
      </c>
      <c r="E19" s="575">
        <v>12687813</v>
      </c>
      <c r="F19" s="15"/>
      <c r="G19" s="96"/>
    </row>
    <row r="20" spans="1:7">
      <c r="A20" s="314">
        <v>11</v>
      </c>
      <c r="B20" s="351" t="s">
        <v>46</v>
      </c>
      <c r="C20" s="574">
        <v>26101067</v>
      </c>
      <c r="D20" s="574"/>
      <c r="E20" s="575">
        <v>26101067</v>
      </c>
      <c r="F20" s="15"/>
    </row>
    <row r="21" spans="1:7" ht="27" thickBot="1">
      <c r="A21" s="187"/>
      <c r="B21" s="316" t="s">
        <v>363</v>
      </c>
      <c r="C21" s="246">
        <f>SUM(C8:C12, C15:C20)</f>
        <v>1150307513</v>
      </c>
      <c r="D21" s="246">
        <f>SUM(D8:D12, D15:D20)</f>
        <v>4905563</v>
      </c>
      <c r="E21" s="354">
        <f>SUM(E8:E12, E15:E20)</f>
        <v>1145401950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7"/>
      <c r="F25" s="5"/>
      <c r="G25" s="5"/>
    </row>
    <row r="26" spans="1:7" s="4" customFormat="1">
      <c r="B26" s="97"/>
      <c r="F26" s="5"/>
      <c r="G26" s="5"/>
    </row>
    <row r="27" spans="1:7" s="4" customFormat="1">
      <c r="B27" s="97"/>
      <c r="F27" s="5"/>
      <c r="G27" s="5"/>
    </row>
    <row r="28" spans="1:7" s="4" customFormat="1">
      <c r="B28" s="97"/>
      <c r="F28" s="5"/>
      <c r="G28" s="5"/>
    </row>
    <row r="29" spans="1:7" s="4" customFormat="1">
      <c r="B29" s="97"/>
      <c r="F29" s="5"/>
      <c r="G29" s="5"/>
    </row>
    <row r="30" spans="1:7" s="4" customFormat="1">
      <c r="B30" s="97"/>
      <c r="F30" s="5"/>
      <c r="G30" s="5"/>
    </row>
    <row r="31" spans="1:7" s="4" customFormat="1">
      <c r="B31" s="97"/>
      <c r="F31" s="5"/>
      <c r="G31" s="5"/>
    </row>
    <row r="32" spans="1:7" s="4" customFormat="1">
      <c r="B32" s="97"/>
      <c r="F32" s="5"/>
      <c r="G32" s="5"/>
    </row>
    <row r="33" spans="2:7" s="4" customFormat="1">
      <c r="B33" s="97"/>
      <c r="F33" s="5"/>
      <c r="G33" s="5"/>
    </row>
    <row r="34" spans="2:7" s="4" customFormat="1">
      <c r="B34" s="97"/>
      <c r="F34" s="5"/>
      <c r="G34" s="5"/>
    </row>
    <row r="35" spans="2:7" s="4" customFormat="1">
      <c r="B35" s="97"/>
      <c r="F35" s="5"/>
      <c r="G35" s="5"/>
    </row>
    <row r="36" spans="2:7" s="4" customFormat="1">
      <c r="B36" s="97"/>
      <c r="F36" s="5"/>
      <c r="G36" s="5"/>
    </row>
    <row r="37" spans="2:7" s="4" customFormat="1">
      <c r="B37" s="9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C13" sqref="C13"/>
    </sheetView>
  </sheetViews>
  <sheetFormatPr defaultColWidth="9.109375" defaultRowHeight="13.2" outlineLevelRow="1"/>
  <cols>
    <col min="1" max="1" width="9.5546875" style="4" bestFit="1" customWidth="1"/>
    <col min="2" max="2" width="114.3320312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2" t="s">
        <v>30</v>
      </c>
      <c r="B1" s="4" t="str">
        <f>'Info '!C2</f>
        <v>JSC CARTU BANK</v>
      </c>
    </row>
    <row r="2" spans="1:6" s="90" customFormat="1" ht="15.75" customHeight="1">
      <c r="A2" s="2" t="s">
        <v>31</v>
      </c>
      <c r="B2" s="455">
        <f>'1. key ratios '!B2</f>
        <v>43646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8" thickBot="1">
      <c r="A4" s="90" t="s">
        <v>85</v>
      </c>
      <c r="B4" s="317" t="s">
        <v>340</v>
      </c>
      <c r="C4" s="91" t="s">
        <v>73</v>
      </c>
      <c r="D4" s="4"/>
      <c r="E4" s="4"/>
      <c r="F4" s="4"/>
    </row>
    <row r="5" spans="1:6">
      <c r="A5" s="251">
        <v>1</v>
      </c>
      <c r="B5" s="318" t="s">
        <v>362</v>
      </c>
      <c r="C5" s="477">
        <f>'7. LI1 '!E21</f>
        <v>1145401950</v>
      </c>
    </row>
    <row r="6" spans="1:6" s="252" customFormat="1">
      <c r="A6" s="98">
        <v>2.1</v>
      </c>
      <c r="B6" s="248" t="s">
        <v>341</v>
      </c>
      <c r="C6" s="175">
        <f>'[4]13. CRME'!D22</f>
        <v>85923998.884100899</v>
      </c>
    </row>
    <row r="7" spans="1:6" s="76" customFormat="1" outlineLevel="1">
      <c r="A7" s="70">
        <v>2.2000000000000002</v>
      </c>
      <c r="B7" s="71" t="s">
        <v>342</v>
      </c>
      <c r="C7" s="253">
        <f>'[4]15. CCR'!C21</f>
        <v>0</v>
      </c>
    </row>
    <row r="8" spans="1:6" s="76" customFormat="1">
      <c r="A8" s="70">
        <v>3</v>
      </c>
      <c r="B8" s="249" t="s">
        <v>343</v>
      </c>
      <c r="C8" s="478">
        <f>SUM(C5:C7)</f>
        <v>1231325948.8841009</v>
      </c>
    </row>
    <row r="9" spans="1:6" s="252" customFormat="1">
      <c r="A9" s="98">
        <v>4</v>
      </c>
      <c r="B9" s="100" t="s">
        <v>88</v>
      </c>
      <c r="C9" s="175">
        <v>7588554</v>
      </c>
    </row>
    <row r="10" spans="1:6" s="76" customFormat="1" outlineLevel="1">
      <c r="A10" s="70">
        <v>5.0999999999999996</v>
      </c>
      <c r="B10" s="71" t="s">
        <v>344</v>
      </c>
      <c r="C10" s="253">
        <f>'[4]13. CRME'!E22-'[4]13. CRME'!D22</f>
        <v>-20213925.177140824</v>
      </c>
    </row>
    <row r="11" spans="1:6" s="76" customFormat="1" outlineLevel="1">
      <c r="A11" s="70">
        <v>5.2</v>
      </c>
      <c r="B11" s="71" t="s">
        <v>345</v>
      </c>
      <c r="C11" s="253">
        <f>'[4]15. CCR'!E21-'[4]15. CCR'!C21</f>
        <v>0</v>
      </c>
    </row>
    <row r="12" spans="1:6" s="76" customFormat="1">
      <c r="A12" s="70">
        <v>6</v>
      </c>
      <c r="B12" s="247" t="s">
        <v>87</v>
      </c>
      <c r="C12" s="253"/>
    </row>
    <row r="13" spans="1:6" s="76" customFormat="1" ht="13.8" thickBot="1">
      <c r="A13" s="72">
        <v>7</v>
      </c>
      <c r="B13" s="250" t="s">
        <v>291</v>
      </c>
      <c r="C13" s="479">
        <f>SUM(C8:C12)</f>
        <v>1218700577.7069602</v>
      </c>
    </row>
    <row r="15" spans="1:6">
      <c r="A15" s="268"/>
      <c r="B15" s="268"/>
    </row>
    <row r="16" spans="1:6">
      <c r="A16" s="268"/>
      <c r="B16" s="268"/>
    </row>
    <row r="17" spans="1:5" ht="13.8">
      <c r="A17" s="263"/>
      <c r="B17" s="264"/>
      <c r="C17" s="268"/>
      <c r="D17" s="268"/>
      <c r="E17" s="268"/>
    </row>
    <row r="18" spans="1:5" ht="14.4">
      <c r="A18" s="269"/>
      <c r="B18" s="270"/>
      <c r="C18" s="268"/>
      <c r="D18" s="268"/>
      <c r="E18" s="268"/>
    </row>
    <row r="19" spans="1:5" ht="13.8">
      <c r="A19" s="271"/>
      <c r="B19" s="265"/>
      <c r="C19" s="268"/>
      <c r="D19" s="268"/>
      <c r="E19" s="268"/>
    </row>
    <row r="20" spans="1:5" ht="13.8">
      <c r="A20" s="272"/>
      <c r="B20" s="266"/>
      <c r="C20" s="268"/>
      <c r="D20" s="268"/>
      <c r="E20" s="268"/>
    </row>
    <row r="21" spans="1:5" ht="13.8">
      <c r="A21" s="272"/>
      <c r="B21" s="270"/>
      <c r="C21" s="268"/>
      <c r="D21" s="268"/>
      <c r="E21" s="268"/>
    </row>
    <row r="22" spans="1:5" ht="13.8">
      <c r="A22" s="271"/>
      <c r="B22" s="267"/>
      <c r="C22" s="268"/>
      <c r="D22" s="268"/>
      <c r="E22" s="268"/>
    </row>
    <row r="23" spans="1:5" ht="13.8">
      <c r="A23" s="272"/>
      <c r="B23" s="266"/>
      <c r="C23" s="268"/>
      <c r="D23" s="268"/>
      <c r="E23" s="268"/>
    </row>
    <row r="24" spans="1:5" ht="13.8">
      <c r="A24" s="272"/>
      <c r="B24" s="266"/>
      <c r="C24" s="268"/>
      <c r="D24" s="268"/>
      <c r="E24" s="268"/>
    </row>
    <row r="25" spans="1:5" ht="13.8">
      <c r="A25" s="272"/>
      <c r="B25" s="273"/>
      <c r="C25" s="268"/>
      <c r="D25" s="268"/>
      <c r="E25" s="268"/>
    </row>
    <row r="26" spans="1:5" ht="13.8">
      <c r="A26" s="272"/>
      <c r="B26" s="270"/>
      <c r="C26" s="268"/>
      <c r="D26" s="268"/>
      <c r="E26" s="268"/>
    </row>
    <row r="27" spans="1:5">
      <c r="A27" s="268"/>
      <c r="B27" s="274"/>
      <c r="C27" s="268"/>
      <c r="D27" s="268"/>
      <c r="E27" s="268"/>
    </row>
    <row r="28" spans="1:5">
      <c r="A28" s="268"/>
      <c r="B28" s="274"/>
      <c r="C28" s="268"/>
      <c r="D28" s="268"/>
      <c r="E28" s="268"/>
    </row>
    <row r="29" spans="1:5">
      <c r="A29" s="268"/>
      <c r="B29" s="274"/>
      <c r="C29" s="268"/>
      <c r="D29" s="268"/>
      <c r="E29" s="268"/>
    </row>
    <row r="30" spans="1:5">
      <c r="A30" s="268"/>
      <c r="B30" s="274"/>
      <c r="C30" s="268"/>
      <c r="D30" s="268"/>
      <c r="E30" s="268"/>
    </row>
    <row r="31" spans="1:5">
      <c r="A31" s="268"/>
      <c r="B31" s="274"/>
      <c r="C31" s="268"/>
      <c r="D31" s="268"/>
      <c r="E31" s="268"/>
    </row>
    <row r="32" spans="1:5">
      <c r="A32" s="268"/>
      <c r="B32" s="274"/>
      <c r="C32" s="268"/>
      <c r="D32" s="268"/>
      <c r="E32" s="268"/>
    </row>
    <row r="33" spans="1:5">
      <c r="A33" s="268"/>
      <c r="B33" s="274"/>
      <c r="C33" s="268"/>
      <c r="D33" s="268"/>
      <c r="E33" s="268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YQvsYBhz+UVVRO0X9AMWFOsnTnG+dJpuQ8quypX4u8s=</DigestValue>
    </Reference>
    <Reference Type="http://www.w3.org/2000/09/xmldsig#Object" URI="#idOfficeObject">
      <DigestMethod Algorithm="http://www.w3.org/2001/04/xmlenc#sha256"/>
      <DigestValue>PqVHarpt3YTUJfzv40koH8M0PcL/O6FPcdr6MDx8a4U=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0S7e6gpDndAZ18OlifOM8vnxQ9dPbJXnoF9fpbUKcJI=</DigestValue>
    </Reference>
  </SignedInfo>
  <SignatureValue>HRx050xG2XR0SumKv9Dip8YbLeKXBp3q+33Jtzo6PbOQLdwCfT+Bn81WSbOAxaPYOkrLzsawUnuQ
+8mZ0hjoa8STFXkZWMjbEWZJGUddF4Ce2Rsu9ZseSNT73ISQEyAWO4VmDuuvHJMBdbLCXsFUMQbr
Oq44H/2xjjxDerk9s/S66Ev0U7ipODKKvSQcwiYb0B48mJszmh+yKPKOxJDdhBLrqSF3MdWcIPZS
zRfwFXTiHW/s+KRTCqlh5q8b6Pt6Y83wIJJcUV7vqwoykkhVcwxXrI4qWRml4cKX18mzeDq3eEz1
9PEhtGCgkOZaVCKqg3j6HpPHfzOzsLf9mD573A==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T0n80V/4BsPFJK2UR0DlZOA7fnjqtJsFCKD7x9Me1zs=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1GzRI/cWD3/654L02HLei7i13o0xQJRQB5hB4wqqURE=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Wgdbza1Af9+vNQICVbNVctN65TDj+5jbSnQmE498p7A=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XLd8xvUMgXylr1YBtuqlvNW9r8Divm1Utnke5I5wNsU=</DigestValue>
      </Reference>
      <Reference URI="/xl/styles.xml?ContentType=application/vnd.openxmlformats-officedocument.spreadsheetml.styles+xml">
        <DigestMethod Algorithm="http://www.w3.org/2001/04/xmlenc#sha256"/>
        <DigestValue>OSTCxig+ep+KMT09wE4lW1es7AO59gw4mYUI2oqVUl0=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1QcqcPtFhGpYoLoXbuoBbW9A7LMRBokFSEZ/3KtkuZo=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+skzvgFyr+LTLGDCXwHafWyhPq1kj2abEZ5vagsZVo4=</DigestValue>
      </Reference>
      <Reference URI="/xl/worksheets/sheet10.xml?ContentType=application/vnd.openxmlformats-officedocument.spreadsheetml.worksheet+xml">
        <DigestMethod Algorithm="http://www.w3.org/2001/04/xmlenc#sha256"/>
        <DigestValue>Kmuj6zVh9p8aJx9o4q0F+qDKENnSOy9hP9j6BI/02SM=</DigestValue>
      </Reference>
      <Reference URI="/xl/worksheets/sheet11.xml?ContentType=application/vnd.openxmlformats-officedocument.spreadsheetml.worksheet+xml">
        <DigestMethod Algorithm="http://www.w3.org/2001/04/xmlenc#sha256"/>
        <DigestValue>8vgasjnSipjygDk4iNhWVVMveAyh1ZlEA2ricCHOUkw=</DigestValue>
      </Reference>
      <Reference URI="/xl/worksheets/sheet12.xml?ContentType=application/vnd.openxmlformats-officedocument.spreadsheetml.worksheet+xml">
        <DigestMethod Algorithm="http://www.w3.org/2001/04/xmlenc#sha256"/>
        <DigestValue>MjtsaysB+pwNZz6sdkfhKhFLnwiLe5vy0m7GLIMgt7E=</DigestValue>
      </Reference>
      <Reference URI="/xl/worksheets/sheet13.xml?ContentType=application/vnd.openxmlformats-officedocument.spreadsheetml.worksheet+xml">
        <DigestMethod Algorithm="http://www.w3.org/2001/04/xmlenc#sha256"/>
        <DigestValue>U62HqMwfQboibl+Vg4Ab4LRFznIfmNS7VYt9URrVYrc=</DigestValue>
      </Reference>
      <Reference URI="/xl/worksheets/sheet14.xml?ContentType=application/vnd.openxmlformats-officedocument.spreadsheetml.worksheet+xml">
        <DigestMethod Algorithm="http://www.w3.org/2001/04/xmlenc#sha256"/>
        <DigestValue>VPWn1tR4LSrQJcvaZLV5fT9W3YquJnibXh7dReWZ1TU=</DigestValue>
      </Reference>
      <Reference URI="/xl/worksheets/sheet15.xml?ContentType=application/vnd.openxmlformats-officedocument.spreadsheetml.worksheet+xml">
        <DigestMethod Algorithm="http://www.w3.org/2001/04/xmlenc#sha256"/>
        <DigestValue>DG282ZzQDsqwXgn0YEr2OUweh00PNIR0AdrK6xVmpLA=</DigestValue>
      </Reference>
      <Reference URI="/xl/worksheets/sheet16.xml?ContentType=application/vnd.openxmlformats-officedocument.spreadsheetml.worksheet+xml">
        <DigestMethod Algorithm="http://www.w3.org/2001/04/xmlenc#sha256"/>
        <DigestValue>Us4Laii2IWWofUzPwMa6r54zM2N/RnRXQEntj5GMpDI=</DigestValue>
      </Reference>
      <Reference URI="/xl/worksheets/sheet17.xml?ContentType=application/vnd.openxmlformats-officedocument.spreadsheetml.worksheet+xml">
        <DigestMethod Algorithm="http://www.w3.org/2001/04/xmlenc#sha256"/>
        <DigestValue>U5dLLcWV8WgVtvQ9hyROElP+RCBpmtIUvDzs5Ub7xtI=</DigestValue>
      </Reference>
      <Reference URI="/xl/worksheets/sheet18.xml?ContentType=application/vnd.openxmlformats-officedocument.spreadsheetml.worksheet+xml">
        <DigestMethod Algorithm="http://www.w3.org/2001/04/xmlenc#sha256"/>
        <DigestValue>ZvFVb8lYrGKGEkLKvzAybCkDEBfvD9+VaRxXCaEx7z8=</DigestValue>
      </Reference>
      <Reference URI="/xl/worksheets/sheet2.xml?ContentType=application/vnd.openxmlformats-officedocument.spreadsheetml.worksheet+xml">
        <DigestMethod Algorithm="http://www.w3.org/2001/04/xmlenc#sha256"/>
        <DigestValue>9TICtdecZutEevwzASvZV1GflEK67wCo8wBLTHJ6tLw=</DigestValue>
      </Reference>
      <Reference URI="/xl/worksheets/sheet3.xml?ContentType=application/vnd.openxmlformats-officedocument.spreadsheetml.worksheet+xml">
        <DigestMethod Algorithm="http://www.w3.org/2001/04/xmlenc#sha256"/>
        <DigestValue>xb/15dWcN5rJ+nAvBuLFHLTCl3w8RaSUAEKLm7/tMD4=</DigestValue>
      </Reference>
      <Reference URI="/xl/worksheets/sheet4.xml?ContentType=application/vnd.openxmlformats-officedocument.spreadsheetml.worksheet+xml">
        <DigestMethod Algorithm="http://www.w3.org/2001/04/xmlenc#sha256"/>
        <DigestValue>VUmdS+uU6DQlhSczMsC95kKnF1E1tGF/+oaIopQGAqM=</DigestValue>
      </Reference>
      <Reference URI="/xl/worksheets/sheet5.xml?ContentType=application/vnd.openxmlformats-officedocument.spreadsheetml.worksheet+xml">
        <DigestMethod Algorithm="http://www.w3.org/2001/04/xmlenc#sha256"/>
        <DigestValue>qSGv9zfhgSYmx2vTKx/a4xy9nzAIS6SbusGsQkDL/i8=</DigestValue>
      </Reference>
      <Reference URI="/xl/worksheets/sheet6.xml?ContentType=application/vnd.openxmlformats-officedocument.spreadsheetml.worksheet+xml">
        <DigestMethod Algorithm="http://www.w3.org/2001/04/xmlenc#sha256"/>
        <DigestValue>BSdpkMCYs3VCl9yfAcNdCLmLUFtiZVi/AL5yvA0qDN4=</DigestValue>
      </Reference>
      <Reference URI="/xl/worksheets/sheet7.xml?ContentType=application/vnd.openxmlformats-officedocument.spreadsheetml.worksheet+xml">
        <DigestMethod Algorithm="http://www.w3.org/2001/04/xmlenc#sha256"/>
        <DigestValue>BvA8XbwrnBOB4gnyEffsu5MOZfhtiz+BTPfPNhfTRQ8=</DigestValue>
      </Reference>
      <Reference URI="/xl/worksheets/sheet8.xml?ContentType=application/vnd.openxmlformats-officedocument.spreadsheetml.worksheet+xml">
        <DigestMethod Algorithm="http://www.w3.org/2001/04/xmlenc#sha256"/>
        <DigestValue>v8FKISNydnwblllm8g3ONSJtzYELTeIa2kJc695t080=</DigestValue>
      </Reference>
      <Reference URI="/xl/worksheets/sheet9.xml?ContentType=application/vnd.openxmlformats-officedocument.spreadsheetml.worksheet+xml">
        <DigestMethod Algorithm="http://www.w3.org/2001/04/xmlenc#sha256"/>
        <DigestValue>yxfUeDsa89jx5fOzpvBh2naUJnr/pmAdIlVhrOf8DMQ=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2019-07-30T09:06:05Z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16.0.11727/18</OfficeVersion>
          <ApplicationVersion>16.0.11727</ApplicationVersion>
          <Monitors>1</Monitors>
          <HorizontalResolution>3440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2019-07-30T09:06:05Z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Rgi46CfLp199bRUTzCuTQ4IL7waZoDVjs38tobyZGao=</DigestValue>
    </Reference>
    <Reference Type="http://www.w3.org/2000/09/xmldsig#Object" URI="#idOfficeObject">
      <DigestMethod Algorithm="http://www.w3.org/2001/04/xmlenc#sha256"/>
      <DigestValue>JcqsChV8Ggu5iqrHfAbtENb0jwCMv3QAAN5ctMq3O7k=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RWKQOf1Ahz0YA+Hez+Esy+sAhpg5NllQhlFiS8OYUTc=</DigestValue>
    </Reference>
  </SignedInfo>
  <SignatureValue>INKspd19aj0qMI4OpSLOyVA8EVGyy/f9CCqcAddStQXQIYRucvxveq2vYrwH0Y75PQfhIaHgdBEf
UQ+rdYlRyKgnBdKiCgM1qE35BqO+UeY1/HVMhVISypTFeh8/xK6XclnfhPDfUpM5JIOn/R8t1D9G
qF9WRYHJJtrnUmbOnE27/jNQwmMtO5fzBfY9cNL5b6cUOKanfpJRJJyAddeT193AptH9Z491bEC+
PLT+AjHLP17FVOETxoJD/NrWdjRuk7O8xAWlD9DmjbDsDOaRCe5458B6js/pvZNfxVU0kpovdKpy
RvFztPSe5GIdW8JdGl7QjENMzUuK2K1OMFcPGQ==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T0n80V/4BsPFJK2UR0DlZOA7fnjqtJsFCKD7x9Me1zs=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1GzRI/cWD3/654L02HLei7i13o0xQJRQB5hB4wqqURE=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Wgdbza1Af9+vNQICVbNVctN65TDj+5jbSnQmE498p7A=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XLd8xvUMgXylr1YBtuqlvNW9r8Divm1Utnke5I5wNsU=</DigestValue>
      </Reference>
      <Reference URI="/xl/styles.xml?ContentType=application/vnd.openxmlformats-officedocument.spreadsheetml.styles+xml">
        <DigestMethod Algorithm="http://www.w3.org/2001/04/xmlenc#sha256"/>
        <DigestValue>OSTCxig+ep+KMT09wE4lW1es7AO59gw4mYUI2oqVUl0=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1QcqcPtFhGpYoLoXbuoBbW9A7LMRBokFSEZ/3KtkuZo=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+skzvgFyr+LTLGDCXwHafWyhPq1kj2abEZ5vagsZVo4=</DigestValue>
      </Reference>
      <Reference URI="/xl/worksheets/sheet10.xml?ContentType=application/vnd.openxmlformats-officedocument.spreadsheetml.worksheet+xml">
        <DigestMethod Algorithm="http://www.w3.org/2001/04/xmlenc#sha256"/>
        <DigestValue>Kmuj6zVh9p8aJx9o4q0F+qDKENnSOy9hP9j6BI/02SM=</DigestValue>
      </Reference>
      <Reference URI="/xl/worksheets/sheet11.xml?ContentType=application/vnd.openxmlformats-officedocument.spreadsheetml.worksheet+xml">
        <DigestMethod Algorithm="http://www.w3.org/2001/04/xmlenc#sha256"/>
        <DigestValue>8vgasjnSipjygDk4iNhWVVMveAyh1ZlEA2ricCHOUkw=</DigestValue>
      </Reference>
      <Reference URI="/xl/worksheets/sheet12.xml?ContentType=application/vnd.openxmlformats-officedocument.spreadsheetml.worksheet+xml">
        <DigestMethod Algorithm="http://www.w3.org/2001/04/xmlenc#sha256"/>
        <DigestValue>MjtsaysB+pwNZz6sdkfhKhFLnwiLe5vy0m7GLIMgt7E=</DigestValue>
      </Reference>
      <Reference URI="/xl/worksheets/sheet13.xml?ContentType=application/vnd.openxmlformats-officedocument.spreadsheetml.worksheet+xml">
        <DigestMethod Algorithm="http://www.w3.org/2001/04/xmlenc#sha256"/>
        <DigestValue>U62HqMwfQboibl+Vg4Ab4LRFznIfmNS7VYt9URrVYrc=</DigestValue>
      </Reference>
      <Reference URI="/xl/worksheets/sheet14.xml?ContentType=application/vnd.openxmlformats-officedocument.spreadsheetml.worksheet+xml">
        <DigestMethod Algorithm="http://www.w3.org/2001/04/xmlenc#sha256"/>
        <DigestValue>VPWn1tR4LSrQJcvaZLV5fT9W3YquJnibXh7dReWZ1TU=</DigestValue>
      </Reference>
      <Reference URI="/xl/worksheets/sheet15.xml?ContentType=application/vnd.openxmlformats-officedocument.spreadsheetml.worksheet+xml">
        <DigestMethod Algorithm="http://www.w3.org/2001/04/xmlenc#sha256"/>
        <DigestValue>DG282ZzQDsqwXgn0YEr2OUweh00PNIR0AdrK6xVmpLA=</DigestValue>
      </Reference>
      <Reference URI="/xl/worksheets/sheet16.xml?ContentType=application/vnd.openxmlformats-officedocument.spreadsheetml.worksheet+xml">
        <DigestMethod Algorithm="http://www.w3.org/2001/04/xmlenc#sha256"/>
        <DigestValue>Us4Laii2IWWofUzPwMa6r54zM2N/RnRXQEntj5GMpDI=</DigestValue>
      </Reference>
      <Reference URI="/xl/worksheets/sheet17.xml?ContentType=application/vnd.openxmlformats-officedocument.spreadsheetml.worksheet+xml">
        <DigestMethod Algorithm="http://www.w3.org/2001/04/xmlenc#sha256"/>
        <DigestValue>U5dLLcWV8WgVtvQ9hyROElP+RCBpmtIUvDzs5Ub7xtI=</DigestValue>
      </Reference>
      <Reference URI="/xl/worksheets/sheet18.xml?ContentType=application/vnd.openxmlformats-officedocument.spreadsheetml.worksheet+xml">
        <DigestMethod Algorithm="http://www.w3.org/2001/04/xmlenc#sha256"/>
        <DigestValue>ZvFVb8lYrGKGEkLKvzAybCkDEBfvD9+VaRxXCaEx7z8=</DigestValue>
      </Reference>
      <Reference URI="/xl/worksheets/sheet2.xml?ContentType=application/vnd.openxmlformats-officedocument.spreadsheetml.worksheet+xml">
        <DigestMethod Algorithm="http://www.w3.org/2001/04/xmlenc#sha256"/>
        <DigestValue>9TICtdecZutEevwzASvZV1GflEK67wCo8wBLTHJ6tLw=</DigestValue>
      </Reference>
      <Reference URI="/xl/worksheets/sheet3.xml?ContentType=application/vnd.openxmlformats-officedocument.spreadsheetml.worksheet+xml">
        <DigestMethod Algorithm="http://www.w3.org/2001/04/xmlenc#sha256"/>
        <DigestValue>xb/15dWcN5rJ+nAvBuLFHLTCl3w8RaSUAEKLm7/tMD4=</DigestValue>
      </Reference>
      <Reference URI="/xl/worksheets/sheet4.xml?ContentType=application/vnd.openxmlformats-officedocument.spreadsheetml.worksheet+xml">
        <DigestMethod Algorithm="http://www.w3.org/2001/04/xmlenc#sha256"/>
        <DigestValue>VUmdS+uU6DQlhSczMsC95kKnF1E1tGF/+oaIopQGAqM=</DigestValue>
      </Reference>
      <Reference URI="/xl/worksheets/sheet5.xml?ContentType=application/vnd.openxmlformats-officedocument.spreadsheetml.worksheet+xml">
        <DigestMethod Algorithm="http://www.w3.org/2001/04/xmlenc#sha256"/>
        <DigestValue>qSGv9zfhgSYmx2vTKx/a4xy9nzAIS6SbusGsQkDL/i8=</DigestValue>
      </Reference>
      <Reference URI="/xl/worksheets/sheet6.xml?ContentType=application/vnd.openxmlformats-officedocument.spreadsheetml.worksheet+xml">
        <DigestMethod Algorithm="http://www.w3.org/2001/04/xmlenc#sha256"/>
        <DigestValue>BSdpkMCYs3VCl9yfAcNdCLmLUFtiZVi/AL5yvA0qDN4=</DigestValue>
      </Reference>
      <Reference URI="/xl/worksheets/sheet7.xml?ContentType=application/vnd.openxmlformats-officedocument.spreadsheetml.worksheet+xml">
        <DigestMethod Algorithm="http://www.w3.org/2001/04/xmlenc#sha256"/>
        <DigestValue>BvA8XbwrnBOB4gnyEffsu5MOZfhtiz+BTPfPNhfTRQ8=</DigestValue>
      </Reference>
      <Reference URI="/xl/worksheets/sheet8.xml?ContentType=application/vnd.openxmlformats-officedocument.spreadsheetml.worksheet+xml">
        <DigestMethod Algorithm="http://www.w3.org/2001/04/xmlenc#sha256"/>
        <DigestValue>v8FKISNydnwblllm8g3ONSJtzYELTeIa2kJc695t080=</DigestValue>
      </Reference>
      <Reference URI="/xl/worksheets/sheet9.xml?ContentType=application/vnd.openxmlformats-officedocument.spreadsheetml.worksheet+xml">
        <DigestMethod Algorithm="http://www.w3.org/2001/04/xmlenc#sha256"/>
        <DigestValue>yxfUeDsa89jx5fOzpvBh2naUJnr/pmAdIlVhrOf8DMQ=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2019-07-30T09:09:14Z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2019-07-30T09:09:14Z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2019-07-24T07:25:29Z</dcterms:modified>
</cp:coreProperties>
</file>