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E6A27876-BC2E-4801-B35C-957F0A5D11D9}" xr6:coauthVersionLast="47" xr6:coauthVersionMax="47" xr10:uidLastSave="{00000000-0000-0000-0000-000000000000}"/>
  <bookViews>
    <workbookView xWindow="-108" yWindow="-108" windowWidth="30936" windowHeight="16896" tabRatio="919" xr2:uid="{00000000-000D-0000-FFFF-FFFF00000000}"/>
  </bookViews>
  <sheets>
    <sheet name="Info " sheetId="82" r:id="rId1"/>
    <sheet name="1. key ratios " sheetId="84" r:id="rId2"/>
    <sheet name="2.RC" sheetId="108" r:id="rId3"/>
    <sheet name="3.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 r:id="rId33"/>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9" i="120" l="1"/>
  <c r="P19" i="120"/>
  <c r="L19" i="120"/>
  <c r="J19" i="120"/>
  <c r="I19" i="120"/>
  <c r="G19" i="120"/>
  <c r="F19" i="120"/>
  <c r="E19" i="120"/>
  <c r="D19" i="120"/>
  <c r="C18" i="120"/>
  <c r="C17" i="120"/>
  <c r="C19" i="120" s="1"/>
  <c r="C16" i="120"/>
  <c r="C15" i="120"/>
  <c r="C14" i="120"/>
  <c r="R13" i="120"/>
  <c r="R19" i="120" s="1"/>
  <c r="P13" i="120"/>
  <c r="O13" i="120"/>
  <c r="O19" i="120" s="1"/>
  <c r="N13" i="120"/>
  <c r="N19" i="120" s="1"/>
  <c r="M13" i="120"/>
  <c r="M19" i="120" s="1"/>
  <c r="K13" i="120"/>
  <c r="K19" i="120" s="1"/>
  <c r="J13" i="120"/>
  <c r="I13" i="120"/>
  <c r="H13" i="120"/>
  <c r="H19" i="120" s="1"/>
  <c r="C13" i="120"/>
  <c r="C12" i="120"/>
  <c r="C11" i="120"/>
  <c r="C10" i="120"/>
  <c r="C9" i="120"/>
  <c r="C8" i="120"/>
  <c r="C7" i="120"/>
  <c r="K7" i="119"/>
  <c r="L33" i="118"/>
  <c r="K33" i="118"/>
  <c r="J33" i="118"/>
  <c r="I33" i="118"/>
  <c r="G33" i="118"/>
  <c r="F33" i="118"/>
  <c r="E33" i="118"/>
  <c r="D33" i="118"/>
  <c r="H32" i="118"/>
  <c r="C32" i="118"/>
  <c r="H31" i="118"/>
  <c r="C31" i="118"/>
  <c r="H30" i="118"/>
  <c r="C30" i="118"/>
  <c r="H29" i="118"/>
  <c r="C29" i="118"/>
  <c r="H28" i="118"/>
  <c r="C28" i="118"/>
  <c r="H27" i="118"/>
  <c r="C27" i="118"/>
  <c r="H26" i="118"/>
  <c r="C26" i="118"/>
  <c r="H25" i="118"/>
  <c r="C25" i="118"/>
  <c r="H24" i="118"/>
  <c r="C24" i="118"/>
  <c r="H23" i="118"/>
  <c r="C23" i="118"/>
  <c r="H22" i="118"/>
  <c r="C22" i="118"/>
  <c r="H21" i="118"/>
  <c r="C21" i="118"/>
  <c r="H20" i="118"/>
  <c r="C20" i="118"/>
  <c r="H19" i="118"/>
  <c r="C19" i="118"/>
  <c r="H18" i="118"/>
  <c r="C18" i="118"/>
  <c r="H17" i="118"/>
  <c r="C17" i="118"/>
  <c r="H16" i="118"/>
  <c r="C16" i="118"/>
  <c r="H15" i="118"/>
  <c r="C15" i="118"/>
  <c r="H14" i="118"/>
  <c r="C14" i="118"/>
  <c r="H13" i="118"/>
  <c r="C13" i="118"/>
  <c r="H12" i="118"/>
  <c r="C12" i="118"/>
  <c r="H11" i="118"/>
  <c r="C11" i="118"/>
  <c r="H10" i="118"/>
  <c r="C10" i="118"/>
  <c r="H9" i="118"/>
  <c r="C9" i="118"/>
  <c r="H8" i="118"/>
  <c r="C8" i="118"/>
  <c r="H7" i="118"/>
  <c r="H33" i="118" s="1"/>
  <c r="C7" i="118"/>
  <c r="C22" i="117"/>
  <c r="C21" i="117"/>
  <c r="C20" i="117"/>
  <c r="C19" i="117"/>
  <c r="C18" i="117"/>
  <c r="C17" i="117"/>
  <c r="C15" i="117"/>
  <c r="C14" i="117"/>
  <c r="C13" i="117"/>
  <c r="C12" i="117"/>
  <c r="C11" i="117"/>
  <c r="C10" i="117"/>
  <c r="C9" i="117"/>
  <c r="C8" i="117"/>
  <c r="C28" i="116"/>
  <c r="C27" i="116"/>
  <c r="C26" i="116"/>
  <c r="C25" i="116"/>
  <c r="C24" i="116"/>
  <c r="C23" i="116"/>
  <c r="C22" i="116" s="1"/>
  <c r="L22" i="116"/>
  <c r="H22" i="116"/>
  <c r="D22" i="116"/>
  <c r="C21" i="116"/>
  <c r="C20" i="116"/>
  <c r="C19" i="116"/>
  <c r="C18" i="116"/>
  <c r="C17" i="116"/>
  <c r="C16" i="116"/>
  <c r="AA15" i="116"/>
  <c r="Z15" i="116"/>
  <c r="Y15" i="116"/>
  <c r="X15" i="116"/>
  <c r="W15" i="116"/>
  <c r="V15" i="116"/>
  <c r="U15" i="116"/>
  <c r="T15" i="116"/>
  <c r="S15" i="116"/>
  <c r="R15" i="116"/>
  <c r="Q15" i="116"/>
  <c r="P15" i="116"/>
  <c r="O15" i="116"/>
  <c r="N15" i="116"/>
  <c r="M15" i="116"/>
  <c r="L15" i="116"/>
  <c r="K15" i="116"/>
  <c r="J15" i="116"/>
  <c r="I15" i="116"/>
  <c r="H15" i="116"/>
  <c r="G15" i="116"/>
  <c r="F15" i="116"/>
  <c r="E15" i="116"/>
  <c r="D15" i="116"/>
  <c r="C14" i="116"/>
  <c r="C13" i="116"/>
  <c r="C12" i="116"/>
  <c r="C11" i="116"/>
  <c r="C10" i="116"/>
  <c r="C9" i="116"/>
  <c r="C8" i="116" s="1"/>
  <c r="AA8" i="116"/>
  <c r="Z8" i="116"/>
  <c r="Y8" i="116"/>
  <c r="X8" i="116"/>
  <c r="W8" i="116"/>
  <c r="V8" i="116"/>
  <c r="U8" i="116"/>
  <c r="T8" i="116"/>
  <c r="S8" i="116"/>
  <c r="R8" i="116"/>
  <c r="Q8" i="116"/>
  <c r="P8" i="116"/>
  <c r="O8" i="116"/>
  <c r="N8" i="116"/>
  <c r="M8" i="116"/>
  <c r="L8" i="116"/>
  <c r="K8" i="116"/>
  <c r="J8" i="116"/>
  <c r="I8" i="116"/>
  <c r="H8" i="116"/>
  <c r="G8" i="116"/>
  <c r="F8" i="116"/>
  <c r="E8" i="116"/>
  <c r="D8" i="116"/>
  <c r="C10" i="115"/>
  <c r="C18" i="115" s="1"/>
  <c r="G34" i="113"/>
  <c r="F34" i="113"/>
  <c r="E34" i="113"/>
  <c r="D34" i="113"/>
  <c r="C34" i="113"/>
  <c r="H34" i="113" s="1"/>
  <c r="H33" i="113"/>
  <c r="H32" i="113"/>
  <c r="H31" i="113"/>
  <c r="H30" i="113"/>
  <c r="H29" i="113"/>
  <c r="H28" i="113"/>
  <c r="H27" i="113"/>
  <c r="H26" i="113"/>
  <c r="H25" i="113"/>
  <c r="H24" i="113"/>
  <c r="H23" i="113"/>
  <c r="H22" i="113"/>
  <c r="H21" i="113"/>
  <c r="H20" i="113"/>
  <c r="H19" i="113"/>
  <c r="H18" i="113"/>
  <c r="H17" i="113"/>
  <c r="H16" i="113"/>
  <c r="H15" i="113"/>
  <c r="H14" i="113"/>
  <c r="H13" i="113"/>
  <c r="H12" i="113"/>
  <c r="H11" i="113"/>
  <c r="H10" i="113"/>
  <c r="H9" i="113"/>
  <c r="H8" i="113"/>
  <c r="H7" i="113"/>
  <c r="H23" i="112"/>
  <c r="H22" i="112"/>
  <c r="F21" i="112"/>
  <c r="E21" i="112"/>
  <c r="C21" i="112"/>
  <c r="H20" i="112"/>
  <c r="G20" i="112"/>
  <c r="G21" i="112" s="1"/>
  <c r="H19" i="112"/>
  <c r="H18" i="112"/>
  <c r="H17" i="112"/>
  <c r="H16" i="112"/>
  <c r="G16" i="112"/>
  <c r="H15" i="112"/>
  <c r="H14" i="112"/>
  <c r="H13" i="112"/>
  <c r="D12" i="112"/>
  <c r="D21" i="112" s="1"/>
  <c r="H11" i="112"/>
  <c r="H10" i="112"/>
  <c r="H9" i="112"/>
  <c r="H8" i="112"/>
  <c r="H7" i="112"/>
  <c r="G22" i="111"/>
  <c r="F22" i="111"/>
  <c r="E22" i="111"/>
  <c r="D22" i="111"/>
  <c r="C22" i="111"/>
  <c r="H21" i="111"/>
  <c r="H20" i="111"/>
  <c r="H19" i="111"/>
  <c r="H18" i="111"/>
  <c r="H17" i="111"/>
  <c r="H16" i="111"/>
  <c r="H15" i="111"/>
  <c r="H14" i="111"/>
  <c r="H13" i="111"/>
  <c r="H12" i="111"/>
  <c r="H11" i="111"/>
  <c r="H10" i="111"/>
  <c r="H9" i="111"/>
  <c r="H8" i="111"/>
  <c r="G33" i="97"/>
  <c r="F33" i="97"/>
  <c r="E33" i="97"/>
  <c r="D33" i="97"/>
  <c r="C33" i="97"/>
  <c r="G24" i="97"/>
  <c r="F24" i="97"/>
  <c r="F37" i="97" s="1"/>
  <c r="E24" i="97"/>
  <c r="E37" i="97" s="1"/>
  <c r="D24" i="97"/>
  <c r="C24" i="97"/>
  <c r="G18" i="97"/>
  <c r="F18" i="97"/>
  <c r="E18" i="97"/>
  <c r="D18" i="97"/>
  <c r="C18" i="97"/>
  <c r="G14" i="97"/>
  <c r="F14" i="97"/>
  <c r="E14" i="97"/>
  <c r="D14" i="97"/>
  <c r="C14" i="97"/>
  <c r="G11" i="97"/>
  <c r="F11" i="97"/>
  <c r="F21" i="97" s="1"/>
  <c r="E11" i="97"/>
  <c r="D11" i="97"/>
  <c r="C11" i="97"/>
  <c r="G8" i="97"/>
  <c r="G21" i="97" s="1"/>
  <c r="F8" i="97"/>
  <c r="E8" i="97"/>
  <c r="D8" i="97"/>
  <c r="D21" i="97" s="1"/>
  <c r="C8" i="97"/>
  <c r="C38" i="95"/>
  <c r="C30" i="95"/>
  <c r="C26" i="95"/>
  <c r="C18" i="95"/>
  <c r="C8" i="95"/>
  <c r="N20" i="92"/>
  <c r="N19" i="92"/>
  <c r="E19" i="92"/>
  <c r="N18" i="92"/>
  <c r="E18" i="92"/>
  <c r="N17" i="92"/>
  <c r="E17" i="92"/>
  <c r="N16" i="92"/>
  <c r="E16" i="92"/>
  <c r="N15" i="92"/>
  <c r="E15" i="92"/>
  <c r="M14" i="92"/>
  <c r="L14" i="92"/>
  <c r="K14" i="92"/>
  <c r="J14" i="92"/>
  <c r="I14" i="92"/>
  <c r="H14" i="92"/>
  <c r="G14" i="92"/>
  <c r="F14" i="92"/>
  <c r="C14" i="92"/>
  <c r="C21" i="92" s="1"/>
  <c r="N13" i="92"/>
  <c r="N12" i="92"/>
  <c r="E12" i="92"/>
  <c r="N11" i="92"/>
  <c r="E11" i="92"/>
  <c r="N10" i="92"/>
  <c r="E10" i="92"/>
  <c r="N9" i="92"/>
  <c r="E9" i="92"/>
  <c r="N8" i="92"/>
  <c r="E8" i="92"/>
  <c r="M7" i="92"/>
  <c r="M21" i="92" s="1"/>
  <c r="L7" i="92"/>
  <c r="L21" i="92" s="1"/>
  <c r="K7" i="92"/>
  <c r="K21" i="92" s="1"/>
  <c r="J7" i="92"/>
  <c r="J21" i="92" s="1"/>
  <c r="I7" i="92"/>
  <c r="I21" i="92" s="1"/>
  <c r="H7" i="92"/>
  <c r="G7" i="92"/>
  <c r="G21" i="92" s="1"/>
  <c r="F7" i="92"/>
  <c r="F21" i="92" s="1"/>
  <c r="C7" i="92"/>
  <c r="K24" i="93"/>
  <c r="J24" i="93"/>
  <c r="I24" i="93"/>
  <c r="H24" i="93"/>
  <c r="G24" i="93"/>
  <c r="F24" i="93"/>
  <c r="K23" i="93"/>
  <c r="K25" i="93" s="1"/>
  <c r="J23" i="93"/>
  <c r="J25" i="93" s="1"/>
  <c r="I23" i="93"/>
  <c r="H23" i="93"/>
  <c r="G23" i="93"/>
  <c r="G25" i="93" s="1"/>
  <c r="F23" i="93"/>
  <c r="E22" i="91"/>
  <c r="D22" i="91"/>
  <c r="C22" i="91"/>
  <c r="G21" i="91"/>
  <c r="H21" i="91" s="1"/>
  <c r="F21" i="91"/>
  <c r="G20" i="91"/>
  <c r="H20" i="91" s="1"/>
  <c r="F20" i="91"/>
  <c r="G19" i="91"/>
  <c r="H19" i="91" s="1"/>
  <c r="F19" i="91"/>
  <c r="G18" i="91"/>
  <c r="H18" i="91" s="1"/>
  <c r="F18" i="91"/>
  <c r="G17" i="91"/>
  <c r="H17" i="91" s="1"/>
  <c r="F17" i="91"/>
  <c r="G16" i="91"/>
  <c r="H16" i="91" s="1"/>
  <c r="F16" i="91"/>
  <c r="G15" i="91"/>
  <c r="H15" i="91" s="1"/>
  <c r="F15" i="91"/>
  <c r="G14" i="91"/>
  <c r="H14" i="91" s="1"/>
  <c r="F14" i="91"/>
  <c r="G13" i="91"/>
  <c r="H13" i="91" s="1"/>
  <c r="F13" i="91"/>
  <c r="G12" i="91"/>
  <c r="H12" i="91" s="1"/>
  <c r="F12" i="91"/>
  <c r="G11" i="91"/>
  <c r="H11" i="91" s="1"/>
  <c r="F11" i="91"/>
  <c r="G10" i="91"/>
  <c r="H10" i="91" s="1"/>
  <c r="F10" i="91"/>
  <c r="G9" i="91"/>
  <c r="H9" i="91" s="1"/>
  <c r="F9" i="91"/>
  <c r="G8" i="91"/>
  <c r="H8" i="91" s="1"/>
  <c r="F8" i="91"/>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7" i="64"/>
  <c r="R22" i="90"/>
  <c r="Q22" i="90"/>
  <c r="P22" i="90"/>
  <c r="O22" i="90"/>
  <c r="N22" i="90"/>
  <c r="M22" i="90"/>
  <c r="L22" i="90"/>
  <c r="K22" i="90"/>
  <c r="J22" i="90"/>
  <c r="I22" i="90"/>
  <c r="H22" i="90"/>
  <c r="G22" i="90"/>
  <c r="F22" i="90"/>
  <c r="E22" i="90"/>
  <c r="D22" i="90"/>
  <c r="C22" i="90"/>
  <c r="S21" i="90"/>
  <c r="S20" i="90"/>
  <c r="S19" i="90"/>
  <c r="S18" i="90"/>
  <c r="S17" i="90"/>
  <c r="S16" i="90"/>
  <c r="S15" i="90"/>
  <c r="S14" i="90"/>
  <c r="S13" i="90"/>
  <c r="S12" i="90"/>
  <c r="S11" i="90"/>
  <c r="S10" i="90"/>
  <c r="S9" i="90"/>
  <c r="S8" i="90"/>
  <c r="C71" i="69"/>
  <c r="C70" i="69"/>
  <c r="C67" i="69" s="1"/>
  <c r="C69" i="69"/>
  <c r="C68" i="69"/>
  <c r="C66" i="69"/>
  <c r="C65" i="69"/>
  <c r="C64" i="69"/>
  <c r="C63" i="69"/>
  <c r="C62" i="69"/>
  <c r="C61" i="69"/>
  <c r="C60" i="69"/>
  <c r="C59" i="69"/>
  <c r="C56" i="69"/>
  <c r="C55" i="69"/>
  <c r="C54" i="69"/>
  <c r="C53" i="69"/>
  <c r="C52" i="69"/>
  <c r="C51" i="69"/>
  <c r="C50" i="69"/>
  <c r="C48" i="69"/>
  <c r="C47" i="69"/>
  <c r="C46" i="69"/>
  <c r="C45" i="69"/>
  <c r="C44" i="69"/>
  <c r="C41" i="69"/>
  <c r="C40" i="69"/>
  <c r="C37" i="69"/>
  <c r="C36" i="69"/>
  <c r="C35" i="69"/>
  <c r="C34" i="69"/>
  <c r="C33" i="69"/>
  <c r="C31" i="69"/>
  <c r="C30" i="69"/>
  <c r="C28" i="69"/>
  <c r="C27" i="69"/>
  <c r="C26" i="69"/>
  <c r="C25" i="69"/>
  <c r="C23" i="69"/>
  <c r="C22" i="69"/>
  <c r="C21" i="69"/>
  <c r="C20" i="69"/>
  <c r="C19" i="69"/>
  <c r="C18" i="69"/>
  <c r="C17" i="69"/>
  <c r="C14" i="69" s="1"/>
  <c r="C16" i="69"/>
  <c r="C15" i="69"/>
  <c r="C11" i="69"/>
  <c r="C10" i="69"/>
  <c r="C9" i="69"/>
  <c r="C8" i="69"/>
  <c r="C7" i="69"/>
  <c r="C21" i="94"/>
  <c r="D21" i="94" s="1"/>
  <c r="C20" i="94"/>
  <c r="D20" i="94" s="1"/>
  <c r="C19" i="94"/>
  <c r="D19" i="94" s="1"/>
  <c r="D17" i="94"/>
  <c r="D16" i="94"/>
  <c r="D15" i="94"/>
  <c r="D13" i="94"/>
  <c r="D12" i="94"/>
  <c r="D11" i="94"/>
  <c r="D9" i="94"/>
  <c r="D8" i="94"/>
  <c r="D7" i="94"/>
  <c r="C48" i="89"/>
  <c r="C44" i="89"/>
  <c r="C32" i="89"/>
  <c r="C31" i="89" s="1"/>
  <c r="C42" i="89" s="1"/>
  <c r="C12" i="89"/>
  <c r="C6" i="89"/>
  <c r="C5" i="73"/>
  <c r="C8" i="73" s="1"/>
  <c r="C13" i="73" s="1"/>
  <c r="C36" i="88"/>
  <c r="E36" i="88" s="1"/>
  <c r="C35" i="88"/>
  <c r="E35" i="88" s="1"/>
  <c r="C34" i="88"/>
  <c r="E34" i="88" s="1"/>
  <c r="C33" i="88"/>
  <c r="E33" i="88" s="1"/>
  <c r="C32" i="88"/>
  <c r="E32" i="88" s="1"/>
  <c r="E31" i="88" s="1"/>
  <c r="D31" i="88"/>
  <c r="C31" i="88"/>
  <c r="C30" i="88"/>
  <c r="C29" i="88"/>
  <c r="D29" i="88" s="1"/>
  <c r="C27" i="88"/>
  <c r="E27" i="88" s="1"/>
  <c r="D26" i="88"/>
  <c r="D25" i="88" s="1"/>
  <c r="C26" i="88"/>
  <c r="E26" i="88" s="1"/>
  <c r="E25" i="88" s="1"/>
  <c r="C24" i="88"/>
  <c r="E24" i="88" s="1"/>
  <c r="C23" i="88"/>
  <c r="E23" i="88" s="1"/>
  <c r="C22" i="88"/>
  <c r="C21" i="88"/>
  <c r="E21" i="88" s="1"/>
  <c r="D20" i="88"/>
  <c r="C19" i="88"/>
  <c r="E19" i="88" s="1"/>
  <c r="C18" i="88"/>
  <c r="E18" i="88" s="1"/>
  <c r="D17" i="88"/>
  <c r="C17" i="88"/>
  <c r="D16" i="88"/>
  <c r="C15" i="88"/>
  <c r="E15" i="88" s="1"/>
  <c r="C14" i="88"/>
  <c r="E14" i="88" s="1"/>
  <c r="C13" i="88"/>
  <c r="E13" i="88" s="1"/>
  <c r="C12" i="88"/>
  <c r="E12" i="88" s="1"/>
  <c r="C11" i="88"/>
  <c r="E11" i="88" s="1"/>
  <c r="C10" i="88"/>
  <c r="E10" i="88" s="1"/>
  <c r="C9" i="88"/>
  <c r="E9" i="88" s="1"/>
  <c r="E8" i="88" s="1"/>
  <c r="D8" i="88"/>
  <c r="C6" i="86"/>
  <c r="C13" i="86" s="1"/>
  <c r="H43" i="110"/>
  <c r="E43" i="110"/>
  <c r="H42" i="110"/>
  <c r="E42" i="110"/>
  <c r="H41" i="110"/>
  <c r="E41" i="110"/>
  <c r="H40" i="110"/>
  <c r="E40" i="110"/>
  <c r="H39" i="110"/>
  <c r="E39" i="110"/>
  <c r="G38" i="110"/>
  <c r="F38" i="110"/>
  <c r="H38" i="110" s="1"/>
  <c r="D38" i="110"/>
  <c r="C38" i="110"/>
  <c r="H37" i="110"/>
  <c r="E37" i="110"/>
  <c r="H36" i="110"/>
  <c r="E36" i="110"/>
  <c r="H35" i="110"/>
  <c r="E35" i="110"/>
  <c r="H34" i="110"/>
  <c r="E34" i="110"/>
  <c r="H33" i="110"/>
  <c r="E33" i="110"/>
  <c r="H32" i="110"/>
  <c r="E32" i="110"/>
  <c r="H31" i="110"/>
  <c r="E31" i="110"/>
  <c r="G30" i="110"/>
  <c r="F30" i="110"/>
  <c r="D30" i="110"/>
  <c r="C30" i="110"/>
  <c r="E30" i="110" s="1"/>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G17" i="110"/>
  <c r="F17" i="110"/>
  <c r="D17" i="110"/>
  <c r="C17" i="110"/>
  <c r="H16" i="110"/>
  <c r="E16" i="110"/>
  <c r="H15" i="110"/>
  <c r="E15" i="110"/>
  <c r="G14" i="110"/>
  <c r="F14" i="110"/>
  <c r="H14" i="110" s="1"/>
  <c r="D14" i="110"/>
  <c r="C14" i="110"/>
  <c r="E14" i="110" s="1"/>
  <c r="H13" i="110"/>
  <c r="E13" i="110"/>
  <c r="H12" i="110"/>
  <c r="E12" i="110"/>
  <c r="G11" i="110"/>
  <c r="F11" i="110"/>
  <c r="D11" i="110"/>
  <c r="C11" i="110"/>
  <c r="E11" i="110" s="1"/>
  <c r="H10" i="110"/>
  <c r="E10" i="110"/>
  <c r="H9" i="110"/>
  <c r="E9" i="110"/>
  <c r="G8" i="110"/>
  <c r="F8" i="110"/>
  <c r="H8" i="110" s="1"/>
  <c r="D8" i="110"/>
  <c r="C8" i="110"/>
  <c r="E8" i="110" s="1"/>
  <c r="H7" i="110"/>
  <c r="E7" i="110"/>
  <c r="H6" i="110"/>
  <c r="E6" i="110"/>
  <c r="H45" i="109"/>
  <c r="H44" i="109"/>
  <c r="E44" i="109"/>
  <c r="H43" i="109"/>
  <c r="H42" i="109"/>
  <c r="E42" i="109"/>
  <c r="H41" i="109"/>
  <c r="E41" i="109"/>
  <c r="H40" i="109"/>
  <c r="E40" i="109"/>
  <c r="H39" i="109"/>
  <c r="E39" i="109"/>
  <c r="H38" i="109"/>
  <c r="E38" i="109"/>
  <c r="H37" i="109"/>
  <c r="D37" i="109"/>
  <c r="C37" i="109"/>
  <c r="E37" i="109" s="1"/>
  <c r="H36" i="109"/>
  <c r="E36" i="109"/>
  <c r="H35" i="109"/>
  <c r="E35" i="109"/>
  <c r="H34" i="109"/>
  <c r="D34" i="109"/>
  <c r="C34" i="109"/>
  <c r="E34" i="109" s="1"/>
  <c r="H33" i="109"/>
  <c r="E33" i="109"/>
  <c r="H32" i="109"/>
  <c r="E32" i="109"/>
  <c r="H31" i="109"/>
  <c r="E31" i="109"/>
  <c r="H30" i="109"/>
  <c r="E30" i="109"/>
  <c r="H29" i="109"/>
  <c r="D29" i="109"/>
  <c r="C29" i="109"/>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H13" i="109"/>
  <c r="D13" i="109"/>
  <c r="C13" i="109"/>
  <c r="E13" i="109" s="1"/>
  <c r="H12" i="109"/>
  <c r="E12" i="109"/>
  <c r="H11" i="109"/>
  <c r="E11" i="109"/>
  <c r="H10" i="109"/>
  <c r="E10" i="109"/>
  <c r="H9" i="109"/>
  <c r="E9" i="109"/>
  <c r="H8" i="109"/>
  <c r="E8" i="109"/>
  <c r="H7" i="109"/>
  <c r="E7" i="109"/>
  <c r="H6" i="109"/>
  <c r="D6" i="109"/>
  <c r="C6" i="109"/>
  <c r="E6" i="109" s="1"/>
  <c r="H67" i="108"/>
  <c r="E67" i="108"/>
  <c r="H66" i="108"/>
  <c r="E66" i="108"/>
  <c r="H65" i="108"/>
  <c r="E65" i="108"/>
  <c r="H64" i="108"/>
  <c r="E64" i="108"/>
  <c r="G63" i="108"/>
  <c r="F63" i="108"/>
  <c r="H63" i="108" s="1"/>
  <c r="D63" i="108"/>
  <c r="C63" i="108"/>
  <c r="H62" i="108"/>
  <c r="E62" i="108"/>
  <c r="H61" i="108"/>
  <c r="E61" i="108"/>
  <c r="H60" i="108"/>
  <c r="E60" i="108"/>
  <c r="G59" i="108"/>
  <c r="G68" i="108" s="1"/>
  <c r="F59" i="108"/>
  <c r="H59" i="108" s="1"/>
  <c r="D59" i="108"/>
  <c r="C59" i="108"/>
  <c r="C68" i="108" s="1"/>
  <c r="H58" i="108"/>
  <c r="E58" i="108"/>
  <c r="H57" i="108"/>
  <c r="E57" i="108"/>
  <c r="H56" i="108"/>
  <c r="E56" i="108"/>
  <c r="H55" i="108"/>
  <c r="E55" i="108"/>
  <c r="H52" i="108"/>
  <c r="E52" i="108"/>
  <c r="H51" i="108"/>
  <c r="E51" i="108"/>
  <c r="H50" i="108"/>
  <c r="E50" i="108"/>
  <c r="H49" i="108"/>
  <c r="E49" i="108"/>
  <c r="H48" i="108"/>
  <c r="E48" i="108"/>
  <c r="G47" i="108"/>
  <c r="F47" i="108"/>
  <c r="H47" i="108" s="1"/>
  <c r="D47" i="108"/>
  <c r="C47" i="108"/>
  <c r="E47" i="108" s="1"/>
  <c r="H46" i="108"/>
  <c r="E46" i="108"/>
  <c r="H45" i="108"/>
  <c r="E45" i="108"/>
  <c r="H44" i="108"/>
  <c r="E44" i="108"/>
  <c r="H43" i="108"/>
  <c r="E43" i="108"/>
  <c r="H42" i="108"/>
  <c r="E42" i="108"/>
  <c r="G41" i="108"/>
  <c r="F41" i="108"/>
  <c r="D41" i="108"/>
  <c r="C41" i="108"/>
  <c r="H40" i="108"/>
  <c r="E40" i="108"/>
  <c r="H39" i="108"/>
  <c r="E39" i="108"/>
  <c r="G38" i="108"/>
  <c r="F38" i="108"/>
  <c r="D38" i="108"/>
  <c r="C38" i="108"/>
  <c r="H35" i="108"/>
  <c r="E35" i="108"/>
  <c r="H34" i="108"/>
  <c r="E34" i="108"/>
  <c r="H33" i="108"/>
  <c r="E33" i="108"/>
  <c r="H32" i="108"/>
  <c r="E32" i="108"/>
  <c r="H31" i="108"/>
  <c r="E31" i="108"/>
  <c r="G30" i="108"/>
  <c r="H30" i="108" s="1"/>
  <c r="D30" i="108"/>
  <c r="C30" i="108"/>
  <c r="E30" i="108" s="1"/>
  <c r="H29" i="108"/>
  <c r="E29" i="108"/>
  <c r="H28" i="108"/>
  <c r="E28" i="108"/>
  <c r="G27" i="108"/>
  <c r="F27" i="108"/>
  <c r="H27" i="108" s="1"/>
  <c r="D27" i="108"/>
  <c r="C27" i="108"/>
  <c r="E27" i="108" s="1"/>
  <c r="H26" i="108"/>
  <c r="E26" i="108"/>
  <c r="H25" i="108"/>
  <c r="E25" i="108"/>
  <c r="G24" i="108"/>
  <c r="F24" i="108"/>
  <c r="H24" i="108" s="1"/>
  <c r="D24" i="108"/>
  <c r="C24" i="108"/>
  <c r="E24" i="108" s="1"/>
  <c r="H23" i="108"/>
  <c r="E23" i="108"/>
  <c r="H22" i="108"/>
  <c r="E22" i="108"/>
  <c r="H21" i="108"/>
  <c r="E21" i="108"/>
  <c r="H20" i="108"/>
  <c r="E20" i="108"/>
  <c r="G19" i="108"/>
  <c r="F19" i="108"/>
  <c r="H19" i="108" s="1"/>
  <c r="D19" i="108"/>
  <c r="C19" i="108"/>
  <c r="E19" i="108" s="1"/>
  <c r="H18" i="108"/>
  <c r="E18" i="108"/>
  <c r="H17" i="108"/>
  <c r="E17" i="108"/>
  <c r="H16" i="108"/>
  <c r="E16" i="108"/>
  <c r="G15" i="108"/>
  <c r="F15" i="108"/>
  <c r="H15" i="108" s="1"/>
  <c r="D15" i="108"/>
  <c r="C15" i="108"/>
  <c r="H14" i="108"/>
  <c r="E14" i="108"/>
  <c r="H13" i="108"/>
  <c r="E13" i="108"/>
  <c r="H12" i="108"/>
  <c r="E12" i="108"/>
  <c r="G11" i="108"/>
  <c r="F11" i="108"/>
  <c r="H11" i="108" s="1"/>
  <c r="D11" i="108"/>
  <c r="C11" i="108"/>
  <c r="E11" i="108" s="1"/>
  <c r="H10" i="108"/>
  <c r="E10" i="108"/>
  <c r="H9" i="108"/>
  <c r="E9" i="108"/>
  <c r="H8" i="108"/>
  <c r="E8" i="108"/>
  <c r="G7" i="108"/>
  <c r="H7" i="108" s="1"/>
  <c r="F7" i="108"/>
  <c r="D7" i="108"/>
  <c r="C7" i="108"/>
  <c r="E7" i="108" s="1"/>
  <c r="F53" i="108" l="1"/>
  <c r="G53" i="108"/>
  <c r="N7" i="92"/>
  <c r="H11" i="110"/>
  <c r="E38" i="110"/>
  <c r="I25" i="93"/>
  <c r="E14" i="92"/>
  <c r="G37" i="97"/>
  <c r="G39" i="97" s="1"/>
  <c r="D68" i="108"/>
  <c r="E68" i="108" s="1"/>
  <c r="E7" i="92"/>
  <c r="S22" i="90"/>
  <c r="C43" i="69"/>
  <c r="E15" i="108"/>
  <c r="E41" i="108"/>
  <c r="D43" i="109"/>
  <c r="D45" i="109" s="1"/>
  <c r="H30" i="110"/>
  <c r="C49" i="69"/>
  <c r="C57" i="69" s="1"/>
  <c r="C73" i="69" s="1"/>
  <c r="H41" i="108"/>
  <c r="C33" i="118"/>
  <c r="C16" i="88"/>
  <c r="E17" i="88"/>
  <c r="E16" i="88" s="1"/>
  <c r="C29" i="69"/>
  <c r="G36" i="108"/>
  <c r="E63" i="108"/>
  <c r="E29" i="109"/>
  <c r="C6" i="69"/>
  <c r="H21" i="92"/>
  <c r="C32" i="69"/>
  <c r="V21" i="64"/>
  <c r="E17" i="110"/>
  <c r="C29" i="89"/>
  <c r="C21" i="97"/>
  <c r="C36" i="108"/>
  <c r="C15" i="116"/>
  <c r="C53" i="108"/>
  <c r="C69" i="108" s="1"/>
  <c r="H17" i="110"/>
  <c r="E21" i="97"/>
  <c r="C37" i="97"/>
  <c r="H22" i="111"/>
  <c r="D53" i="108"/>
  <c r="C53" i="89"/>
  <c r="F25" i="93"/>
  <c r="D37" i="97"/>
  <c r="C25" i="88"/>
  <c r="H25" i="93"/>
  <c r="N14" i="92"/>
  <c r="C72" i="69"/>
  <c r="C8" i="88"/>
  <c r="C28" i="88"/>
  <c r="F22" i="91"/>
  <c r="C20" i="88"/>
  <c r="H12" i="112"/>
  <c r="H21" i="112" s="1"/>
  <c r="N21" i="92"/>
  <c r="G22" i="91"/>
  <c r="H22" i="91" s="1"/>
  <c r="C38" i="69"/>
  <c r="C37" i="88"/>
  <c r="E29" i="88"/>
  <c r="D30" i="88"/>
  <c r="D28" i="88" s="1"/>
  <c r="D37" i="88" s="1"/>
  <c r="E30" i="88"/>
  <c r="E22" i="88"/>
  <c r="E20" i="88" s="1"/>
  <c r="C43" i="109"/>
  <c r="G69" i="108"/>
  <c r="H53" i="108"/>
  <c r="D36" i="108"/>
  <c r="F36" i="108"/>
  <c r="H36" i="108" s="1"/>
  <c r="E59" i="108"/>
  <c r="E38" i="108"/>
  <c r="H38" i="108"/>
  <c r="F68" i="108"/>
  <c r="H68" i="108" s="1"/>
  <c r="E21" i="92" l="1"/>
  <c r="E36" i="108"/>
  <c r="E53" i="108"/>
  <c r="D69" i="108"/>
  <c r="E69" i="108" s="1"/>
  <c r="E28" i="88"/>
  <c r="E37" i="88" s="1"/>
  <c r="C45" i="109"/>
  <c r="E45" i="109" s="1"/>
  <c r="E43" i="109"/>
  <c r="F69" i="108"/>
  <c r="H69" i="108" s="1"/>
  <c r="B24" i="69" l="1"/>
  <c r="G5" i="84" l="1"/>
  <c r="F5" i="84"/>
  <c r="E5" i="84"/>
  <c r="D5" i="84"/>
  <c r="C5" i="84"/>
  <c r="B2" i="97" l="1"/>
  <c r="B2" i="95"/>
  <c r="B2" i="92"/>
  <c r="B2" i="93"/>
  <c r="B2" i="91"/>
  <c r="B2" i="64"/>
  <c r="B2" i="90"/>
  <c r="B2" i="69"/>
  <c r="B2" i="94"/>
  <c r="B2" i="89"/>
  <c r="B2" i="73"/>
  <c r="B2" i="88"/>
  <c r="B2" i="52"/>
  <c r="B2" i="86"/>
  <c r="B2" i="110"/>
  <c r="B2" i="109"/>
  <c r="B2" i="108"/>
  <c r="B1" i="110"/>
  <c r="B1" i="109"/>
  <c r="B1" i="108"/>
  <c r="G5" i="86" l="1"/>
  <c r="F5" i="86"/>
  <c r="E5" i="86"/>
  <c r="C5" i="86"/>
  <c r="D5" i="86"/>
  <c r="B2" i="120"/>
  <c r="B1" i="120"/>
  <c r="B2" i="119"/>
  <c r="B1" i="119"/>
  <c r="B2" i="118"/>
  <c r="B1" i="118"/>
  <c r="B2" i="117"/>
  <c r="B1" i="117"/>
  <c r="B2" i="116"/>
  <c r="B1" i="116"/>
  <c r="B2" i="115"/>
  <c r="B1" i="115"/>
  <c r="B2" i="114"/>
  <c r="B1" i="114"/>
  <c r="B2" i="113"/>
  <c r="B1" i="113"/>
  <c r="B2" i="112"/>
  <c r="B1" i="112"/>
  <c r="B2" i="111"/>
  <c r="B1" i="111"/>
  <c r="B1" i="97" l="1"/>
  <c r="B1" i="95" l="1"/>
  <c r="B1" i="92"/>
  <c r="B1" i="93"/>
  <c r="B1" i="64"/>
  <c r="B1" i="90"/>
  <c r="B1" i="69"/>
  <c r="B1" i="94"/>
  <c r="B1" i="89"/>
  <c r="B1" i="73"/>
  <c r="B1" i="88"/>
  <c r="B1" i="52"/>
  <c r="B1" i="86"/>
  <c r="B1" i="91" l="1"/>
  <c r="B1" i="8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8" authorId="0" shapeId="0" xr:uid="{00000000-0006-0000-1700-000001000000}">
      <text>
        <r>
          <rPr>
            <b/>
            <sz val="9"/>
            <color indexed="81"/>
            <rFont val="Tahoma"/>
            <family val="2"/>
          </rPr>
          <t>Author:</t>
        </r>
        <r>
          <rPr>
            <sz val="9"/>
            <color indexed="81"/>
            <rFont val="Tahoma"/>
            <family val="2"/>
          </rPr>
          <t xml:space="preserve">
loans +FLT</t>
        </r>
      </text>
    </comment>
  </commentList>
</comments>
</file>

<file path=xl/sharedStrings.xml><?xml version="1.0" encoding="utf-8"?>
<sst xmlns="http://schemas.openxmlformats.org/spreadsheetml/2006/main" count="1215" uniqueCount="753">
  <si>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</si>
  <si>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</si>
  <si>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</si>
  <si>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</si>
  <si>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</si>
  <si>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</si>
  <si>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</si>
  <si>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</si>
  <si>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</si>
  <si>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</si>
  <si>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</si>
  <si>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</si>
  <si>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</si>
  <si>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</si>
  <si>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</si>
  <si>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</si>
  <si>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</si>
  <si>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</si>
  <si>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</si>
  <si>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</si>
  <si>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</si>
  <si>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</si>
  <si>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</si>
  <si>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</si>
  <si>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</si>
  <si>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</si>
  <si>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</si>
  <si>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</si>
  <si>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</si>
  <si>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</si>
  <si>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</si>
  <si>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</si>
  <si>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</si>
  <si>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</si>
  <si>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</si>
  <si>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</si>
  <si>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</si>
  <si>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</si>
  <si>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</si>
  <si>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</si>
  <si>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</si>
  <si>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</si>
  <si>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</si>
  <si>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</si>
  <si>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</si>
  <si>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</si>
  <si>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</si>
  <si>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</si>
  <si>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</si>
  <si>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</si>
  <si>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</si>
  <si>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</si>
  <si>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</si>
  <si>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</si>
  <si>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</si>
  <si>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</si>
  <si>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</si>
  <si>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</si>
  <si>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</si>
  <si>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</si>
  <si>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</si>
  <si>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</si>
  <si>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</si>
  <si>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</si>
  <si>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</si>
  <si>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</si>
  <si>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</si>
  <si>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</si>
  <si>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</si>
  <si>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</si>
  <si>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</si>
  <si>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</si>
  <si>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</si>
  <si>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</si>
  <si>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</si>
  <si>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</si>
  <si>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</si>
  <si>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</si>
  <si>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</si>
  <si>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</si>
  <si>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</si>
  <si>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</si>
  <si>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</si>
  <si>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</si>
  <si>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</si>
  <si>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</si>
  <si>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</si>
  <si>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</si>
  <si>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</si>
  <si>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</si>
  <si>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</si>
  <si>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</si>
  <si>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</si>
  <si>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</si>
  <si>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</si>
  <si>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</si>
  <si>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</si>
  <si>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</si>
  <si>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</si>
  <si>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</si>
  <si>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</si>
  <si>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</si>
  <si>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</si>
  <si>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</si>
  <si>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</si>
  <si>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</si>
  <si>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</si>
  <si>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</si>
  <si>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</si>
  <si>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</si>
  <si>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</si>
  <si>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</si>
  <si>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</si>
  <si>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</si>
  <si>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</si>
  <si>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</si>
  <si>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</si>
  <si>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</si>
  <si>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</si>
  <si>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</si>
  <si>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</si>
  <si>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</si>
  <si>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</si>
  <si>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</si>
  <si>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</si>
  <si>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</si>
  <si>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</si>
  <si>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</si>
  <si>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</si>
  <si>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</si>
  <si>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</si>
  <si>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</si>
  <si>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</si>
  <si>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</si>
  <si>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</si>
  <si>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</si>
  <si>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</si>
  <si>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</si>
  <si>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</si>
  <si>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</si>
  <si>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</si>
  <si>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</si>
  <si>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</si>
  <si>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</si>
  <si>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</si>
  <si>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</si>
  <si>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</si>
  <si>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</si>
  <si>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</si>
  <si>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</si>
  <si>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</si>
  <si>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</si>
  <si>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</si>
  <si>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</si>
  <si>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</si>
  <si>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</si>
  <si>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</si>
  <si>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</si>
  <si>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</si>
  <si>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</si>
  <si>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</si>
  <si>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</si>
  <si>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</si>
  <si>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</si>
  <si>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</si>
  <si>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</si>
  <si>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</si>
  <si>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</si>
  <si>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</si>
  <si>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</si>
  <si>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</si>
  <si>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</si>
  <si>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</si>
  <si>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</si>
  <si>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</si>
  <si>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</si>
  <si>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</si>
  <si>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</si>
  <si>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</si>
  <si>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</si>
  <si>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</si>
  <si>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</si>
  <si>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</si>
  <si>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</si>
  <si>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</si>
  <si>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</si>
  <si>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</si>
  <si>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</si>
  <si>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</si>
  <si>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</si>
  <si>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</si>
  <si>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</si>
  <si>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</si>
  <si>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</si>
  <si>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</si>
  <si>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</si>
  <si>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</si>
  <si>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</si>
  <si>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</si>
  <si>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</si>
  <si>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</si>
  <si>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</si>
  <si>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</si>
  <si>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</si>
  <si>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</si>
  <si>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</si>
  <si>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</si>
  <si>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</si>
  <si>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</si>
  <si>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</si>
  <si>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</si>
  <si>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</si>
  <si>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</si>
  <si>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</si>
  <si>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</si>
  <si>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</si>
  <si>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</si>
  <si>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</si>
  <si>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</si>
  <si>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</si>
  <si>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</si>
  <si>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</si>
  <si>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</si>
  <si>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</si>
  <si>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</si>
  <si>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</si>
  <si>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</si>
  <si>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</si>
  <si>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</si>
  <si>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</si>
  <si>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</si>
  <si>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</si>
  <si>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</si>
  <si>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</si>
  <si>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</si>
  <si>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</si>
  <si>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</si>
  <si>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</si>
  <si>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</si>
  <si>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</si>
  <si>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</si>
  <si>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</si>
  <si>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</si>
  <si>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</si>
  <si>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</si>
  <si>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</si>
  <si>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</si>
  <si>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</si>
  <si>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</si>
  <si>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</si>
  <si>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</si>
  <si>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</si>
  <si>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</si>
  <si>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</si>
  <si>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</si>
  <si>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</si>
  <si>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</si>
  <si>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</si>
  <si>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</si>
  <si>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</si>
  <si>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</si>
  <si>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</si>
  <si>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</si>
  <si>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</si>
  <si>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</si>
  <si>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</si>
  <si>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</si>
  <si>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</si>
  <si>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</si>
  <si>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</si>
  <si>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</si>
  <si>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</si>
  <si>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</si>
  <si>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</si>
  <si>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</si>
  <si>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</si>
  <si>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</si>
  <si>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</si>
  <si>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</si>
  <si>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</si>
  <si>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</si>
  <si>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</si>
  <si>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</si>
  <si>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</si>
  <si>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</si>
  <si>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</si>
  <si>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</si>
  <si>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</si>
  <si>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</si>
  <si>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</si>
  <si>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</si>
  <si>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</si>
  <si>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</si>
  <si>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</si>
  <si>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</si>
  <si>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</si>
  <si>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</si>
  <si>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</si>
  <si>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</si>
  <si>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</si>
  <si>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</si>
  <si>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</si>
  <si>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</si>
  <si>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</si>
  <si>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</si>
  <si>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</si>
  <si>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</si>
  <si>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</si>
  <si>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</si>
  <si>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</si>
  <si>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</si>
  <si>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</si>
  <si>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</si>
  <si>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</si>
  <si>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</si>
  <si>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</si>
  <si>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</si>
  <si>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</si>
  <si>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</si>
  <si>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</si>
  <si>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</si>
  <si>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</si>
  <si>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</si>
  <si>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</si>
  <si>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</si>
  <si>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</si>
  <si>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</si>
  <si>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</si>
  <si>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</si>
  <si>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</si>
  <si>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</si>
  <si>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</si>
  <si>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</si>
  <si>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</si>
  <si>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</si>
  <si>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</si>
  <si>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</si>
  <si>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</si>
  <si>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</si>
  <si>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</si>
  <si>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</si>
  <si>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</si>
  <si>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</si>
  <si>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</si>
  <si>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</si>
  <si>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</si>
  <si>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</si>
  <si>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</si>
  <si>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</si>
  <si>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</si>
  <si>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</si>
  <si>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</si>
  <si>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</si>
  <si>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</si>
  <si>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</si>
  <si>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</si>
  <si>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</si>
  <si>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</si>
  <si>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</si>
  <si>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</si>
  <si>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</si>
  <si>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</si>
  <si>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</si>
  <si>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</si>
  <si>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</si>
  <si>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</si>
  <si>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</si>
  <si>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</si>
  <si>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</si>
  <si>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</si>
  <si>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</si>
  <si>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</si>
  <si>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</si>
  <si>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</si>
  <si>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</si>
  <si>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</si>
  <si>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</si>
  <si>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</si>
  <si>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</si>
  <si>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</si>
  <si>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</si>
  <si>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</si>
  <si>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</si>
  <si>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</si>
  <si>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</si>
  <si>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</si>
  <si>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</si>
  <si>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</si>
  <si>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</si>
  <si>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</si>
  <si>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</si>
  <si>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</si>
  <si>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</si>
  <si>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</si>
  <si>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</si>
  <si>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</si>
  <si>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</si>
  <si>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</si>
  <si>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</si>
  <si>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</si>
  <si>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</si>
  <si>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</si>
  <si>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</si>
  <si>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</si>
  <si>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</si>
  <si>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</si>
  <si>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</si>
  <si>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</si>
  <si>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</si>
  <si>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</si>
  <si>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</si>
  <si>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</si>
  <si>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</si>
  <si>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</si>
  <si>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</si>
  <si>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</si>
  <si>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</si>
  <si>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</si>
  <si>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</si>
  <si>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</si>
  <si>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</si>
  <si>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</si>
  <si>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</si>
  <si>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</si>
  <si>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</si>
  <si>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</si>
  <si>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</si>
  <si>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</si>
  <si>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</si>
  <si>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</si>
  <si>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</si>
  <si>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</si>
  <si>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</si>
  <si>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</si>
  <si>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</si>
  <si>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</si>
  <si>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</si>
  <si>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</si>
  <si>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</si>
  <si>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</si>
  <si>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</si>
  <si>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</si>
  <si>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</si>
  <si>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</si>
  <si>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</si>
  <si>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</si>
  <si>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</si>
  <si>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</si>
  <si>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</si>
  <si>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</si>
  <si>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</si>
  <si>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</si>
  <si>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</si>
  <si>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</si>
  <si>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</si>
  <si>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</si>
  <si>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</si>
  <si>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</si>
  <si>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</si>
  <si>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</si>
  <si>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</si>
  <si>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</si>
  <si>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</si>
  <si>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</si>
  <si>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</si>
  <si>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</si>
  <si>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</si>
  <si>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</si>
  <si>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</si>
  <si>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</si>
  <si>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</si>
  <si>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</si>
  <si>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</si>
  <si>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</si>
  <si>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</si>
  <si>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</si>
  <si>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</si>
  <si>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</si>
  <si>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</si>
  <si>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</si>
  <si>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</si>
  <si>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</si>
  <si>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</si>
  <si>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</si>
  <si>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</si>
  <si>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</si>
  <si>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</si>
  <si>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</si>
  <si>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</si>
  <si>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</si>
  <si>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</si>
  <si>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</si>
  <si>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</si>
  <si>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</si>
  <si>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</si>
  <si>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</si>
  <si>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</si>
  <si>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</si>
  <si>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</si>
  <si>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</si>
  <si>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</si>
  <si>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</si>
  <si>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</si>
  <si>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</si>
  <si>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</si>
  <si>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</si>
  <si>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</si>
  <si>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</si>
  <si>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</si>
  <si>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</si>
  <si>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</si>
  <si>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</si>
  <si>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</si>
  <si>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</si>
  <si>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</si>
  <si>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</si>
  <si>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</si>
  <si>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</si>
  <si>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</si>
  <si>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</si>
  <si>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</si>
  <si>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</si>
  <si>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</si>
  <si>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</si>
  <si>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</si>
  <si>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</si>
  <si>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</si>
  <si>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</si>
  <si>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</si>
  <si>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</si>
  <si>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</si>
  <si>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</si>
  <si>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</si>
  <si>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</si>
  <si>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</si>
  <si>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</si>
  <si>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</si>
  <si>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</si>
  <si>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</si>
  <si>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</si>
  <si>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</si>
  <si>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</si>
  <si>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</si>
  <si>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</si>
  <si>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</si>
  <si>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</si>
  <si>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</si>
  <si>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</si>
  <si>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</si>
  <si>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</si>
  <si>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</si>
  <si>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</si>
  <si>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</si>
  <si>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</si>
  <si>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</si>
  <si>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</si>
  <si>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</si>
  <si>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</si>
  <si>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</si>
  <si>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</si>
  <si>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</si>
  <si>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</si>
  <si>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</si>
  <si>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</si>
  <si>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</si>
  <si>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</si>
  <si>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</si>
  <si>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</si>
  <si>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</si>
  <si>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</si>
  <si>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</si>
  <si>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</si>
  <si>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</si>
  <si>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</si>
  <si>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</si>
  <si>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</si>
  <si>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</si>
  <si>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</si>
  <si>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</si>
  <si>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</si>
  <si>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</si>
  <si>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</si>
  <si>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</si>
  <si>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</si>
  <si>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</si>
  <si>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</si>
  <si>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</si>
  <si>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</si>
  <si>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</si>
  <si>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</si>
  <si>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</si>
  <si>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</si>
  <si>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</si>
  <si>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</si>
  <si>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</si>
  <si>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</si>
  <si>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</si>
  <si>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</si>
  <si>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</si>
  <si>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</si>
  <si>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</si>
  <si>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</si>
  <si>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</si>
  <si>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</si>
  <si>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</si>
  <si>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</si>
  <si>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</si>
  <si>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</si>
  <si>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</si>
  <si>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</si>
  <si>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</si>
  <si>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</si>
  <si>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</si>
  <si>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</si>
  <si>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</si>
  <si>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</si>
  <si>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</si>
  <si>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</si>
  <si>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</si>
  <si>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</si>
  <si>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</si>
  <si>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</si>
  <si>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</si>
  <si>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</si>
  <si>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</si>
  <si>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</si>
  <si>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</si>
  <si>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</si>
  <si>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</si>
  <si>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</si>
  <si>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</si>
  <si>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</si>
  <si>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</si>
  <si>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</si>
  <si>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</si>
  <si>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</si>
  <si>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</si>
  <si>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</si>
  <si>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</si>
  <si>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</si>
  <si>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</si>
  <si>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</si>
  <si>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</si>
  <si>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</si>
  <si>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</si>
  <si>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</si>
  <si>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</si>
  <si>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</si>
  <si>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</si>
  <si>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</si>
  <si>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</si>
  <si>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</si>
  <si>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</si>
  <si>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</si>
  <si>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</si>
  <si>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</si>
  <si>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</si>
  <si>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</si>
  <si>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</si>
  <si>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</si>
  <si>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</si>
  <si>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</si>
  <si>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</si>
  <si>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</si>
  <si>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</si>
  <si>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</si>
  <si>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</si>
  <si>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</si>
  <si>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</si>
  <si>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</si>
  <si>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</si>
  <si>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</si>
  <si>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</si>
  <si>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</si>
  <si>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</si>
  <si>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</si>
  <si>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</si>
  <si>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</si>
  <si>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</si>
  <si>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</si>
  <si>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</si>
  <si>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</si>
  <si>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</si>
  <si>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</si>
  <si>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</si>
  <si>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</si>
  <si>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</si>
  <si>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</si>
  <si>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</si>
  <si>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</si>
  <si>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</si>
  <si>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</si>
  <si>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</si>
  <si>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</si>
  <si>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</si>
  <si>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</si>
  <si>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</si>
  <si>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</si>
  <si>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</si>
  <si>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</si>
  <si>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</si>
  <si>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</si>
  <si>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</si>
  <si>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</si>
  <si>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</si>
  <si>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</si>
  <si>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</si>
  <si>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</si>
  <si>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</si>
  <si>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 xml:space="preserve">JSC "Bank of Georgia" </t>
  </si>
  <si>
    <t xml:space="preserve">of which:  Mutual ownership in capital of Commercial Banks, insurance companies and other  financial institutions
 </t>
  </si>
  <si>
    <t>Table 9 (Capital), N17</t>
  </si>
  <si>
    <t>Table 9 (Capital),10</t>
  </si>
  <si>
    <t>Mel Gerard Carvill</t>
  </si>
  <si>
    <t>Archil Gachechiladze</t>
  </si>
  <si>
    <t>www.bog.ge</t>
  </si>
  <si>
    <t>Independent chair</t>
  </si>
  <si>
    <t>Tamaz Georgadze</t>
  </si>
  <si>
    <t>Non-independent member</t>
  </si>
  <si>
    <t>Hanna Loikkanen</t>
  </si>
  <si>
    <t>Cecil Quillen</t>
  </si>
  <si>
    <t>Independent member</t>
  </si>
  <si>
    <t>Véronique McCarroll</t>
  </si>
  <si>
    <t>Jonathan Muir</t>
  </si>
  <si>
    <t>Mariam Meghvinetukhutsesi</t>
  </si>
  <si>
    <t>General Director</t>
  </si>
  <si>
    <t>Michael Gomarteli</t>
  </si>
  <si>
    <t>Deputy General Director</t>
  </si>
  <si>
    <t xml:space="preserve"> Sulkhan Gvalia</t>
  </si>
  <si>
    <t>Eter Iremadze</t>
  </si>
  <si>
    <t>Deputy General Director/ SOLO- Premium retail banking, asset management</t>
  </si>
  <si>
    <t>Zurab kokosadze</t>
  </si>
  <si>
    <t>Deputy General Director/ Corporation Banking  services</t>
  </si>
  <si>
    <t>David Davitashvili</t>
  </si>
  <si>
    <t xml:space="preserve">Deputy General Director/ IT Data analysis </t>
  </si>
  <si>
    <t>David Chkonia</t>
  </si>
  <si>
    <t>JSC BGEO Group</t>
  </si>
  <si>
    <t>Georgia Capital JSC</t>
  </si>
  <si>
    <t>Additional funds on instruments that meet additional Tier 1 capital criteria</t>
  </si>
  <si>
    <t>Instruments that meet the criteria for secondary capital</t>
  </si>
  <si>
    <t>including holding shares and otherwise holding more than 10% of the share capital of commercial institutions</t>
  </si>
  <si>
    <t>Table 9 (Capital), 4,8</t>
  </si>
  <si>
    <t>Table 9 (Capital), 6</t>
  </si>
  <si>
    <t>Table 9 (Capital), 2</t>
  </si>
  <si>
    <t>Table 9 (Capital), 3</t>
  </si>
  <si>
    <t>Table 9 (Capital), 12</t>
  </si>
  <si>
    <t>Table 9 (Capital),29</t>
  </si>
  <si>
    <t>Table 9 (Capital),38</t>
  </si>
  <si>
    <t>Table 9 (Capital),13</t>
  </si>
  <si>
    <t>Nutsa Gogilashvili</t>
  </si>
  <si>
    <t>Deputy General Director/ Retail</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</si>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</sst>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0%"/>
    <numFmt numFmtId="195" formatCode="#,##0.0000"/>
  </numFmts>
  <fonts count="152">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
      <sz val="10"/>
      <name val="Times New Roman"/>
      <family val="1"/>
    </font>
    <font>
      <b/>
      <sz val="10"/>
      <color theme="1"/>
      <name val="Times New Roman"/>
      <family val="1"/>
    </font>
    <font>
      <sz val="10"/>
      <color rgb="FF000000"/>
      <name val="Calibri"/>
      <family val="2"/>
      <scheme val="minor"/>
    </font>
    <font>
      <sz val="10"/>
      <color rgb="FF333333"/>
      <name val="Sylfaen"/>
      <family val="1"/>
    </font>
    <font>
      <sz val="11"/>
      <color rgb="FF000000"/>
      <name val="Calibri"/>
      <family val="2"/>
    </font>
    <font>
      <sz val="10"/>
      <color theme="1"/>
      <name val="Sylfaen"/>
      <family val="1"/>
    </font>
    <font>
      <b/>
      <sz val="10"/>
      <color theme="1"/>
      <name val="Sylfaen"/>
      <family val="1"/>
    </font>
    <font>
      <b/>
      <sz val="8"/>
      <name val="Calibri"/>
      <family val="2"/>
      <scheme val="minor"/>
    </font>
    <font>
      <sz val="8"/>
      <name val="Calibri"/>
      <family val="2"/>
      <scheme val="minor"/>
    </font>
    <font>
      <b/>
      <sz val="8"/>
      <color indexed="8"/>
      <name val="Calibri"/>
      <family val="2"/>
      <scheme val="minor"/>
    </font>
    <font>
      <sz val="8"/>
      <color indexed="8"/>
      <name val="Calibri"/>
      <family val="2"/>
      <scheme val="minor"/>
    </font>
    <font>
      <b/>
      <sz val="8"/>
      <color rgb="FF000000"/>
      <name val="Calibri"/>
      <family val="2"/>
      <scheme val="minor"/>
    </font>
    <font>
      <sz val="10"/>
      <color rgb="FF000000"/>
      <name val="Sylfaen"/>
      <family val="1"/>
    </font>
    <font>
      <b/>
      <sz val="9"/>
      <color indexed="81"/>
      <name val="Tahoma"/>
      <family val="2"/>
    </font>
    <font>
      <sz val="9"/>
      <color indexed="81"/>
      <name val="Tahoma"/>
      <family val="2"/>
    </font>
    <font>
      <sz val="9"/>
      <color theme="1"/>
      <name val="Calibri"/>
      <family val="1"/>
      <scheme val="minor"/>
    </font>
    <font>
      <b/>
      <sz val="9"/>
      <color theme="1"/>
      <name val="Calibri"/>
      <family val="2"/>
      <scheme val="minor"/>
    </font>
  </fonts>
  <fills count="8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FFFFFF"/>
        <bgColor rgb="FF000000"/>
      </patternFill>
    </fill>
    <fill>
      <patternFill patternType="solid">
        <fgColor theme="0" tint="-0.14999847407452621"/>
        <bgColor indexed="64"/>
      </patternFill>
    </fill>
  </fills>
  <borders count="11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indexed="64"/>
      </right>
      <top/>
      <bottom style="thin">
        <color indexed="64"/>
      </bottom>
      <diagonal/>
    </border>
  </borders>
  <cellStyleXfs count="2096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3" applyNumberFormat="0" applyAlignment="0" applyProtection="0"/>
    <xf numFmtId="0" fontId="22" fillId="9" borderId="27"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168" fontId="23"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168" fontId="23"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169" fontId="23"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2" fillId="9" borderId="27"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2" fillId="9" borderId="27"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2" fillId="9" borderId="27"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2" fillId="9" borderId="27"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2" fillId="9" borderId="27"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2" fillId="9" borderId="27"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2" fillId="9" borderId="27"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0" fontId="21" fillId="64" borderId="33" applyNumberFormat="0" applyAlignment="0" applyProtection="0"/>
    <xf numFmtId="168" fontId="23" fillId="64" borderId="33" applyNumberFormat="0" applyAlignment="0" applyProtection="0"/>
    <xf numFmtId="169" fontId="23" fillId="64" borderId="33" applyNumberFormat="0" applyAlignment="0" applyProtection="0"/>
    <xf numFmtId="168" fontId="23" fillId="64" borderId="33" applyNumberFormat="0" applyAlignment="0" applyProtection="0"/>
    <xf numFmtId="168" fontId="23" fillId="64" borderId="33" applyNumberFormat="0" applyAlignment="0" applyProtection="0"/>
    <xf numFmtId="169" fontId="23" fillId="64" borderId="33" applyNumberFormat="0" applyAlignment="0" applyProtection="0"/>
    <xf numFmtId="168" fontId="23" fillId="64" borderId="33" applyNumberFormat="0" applyAlignment="0" applyProtection="0"/>
    <xf numFmtId="168" fontId="23" fillId="64" borderId="33" applyNumberFormat="0" applyAlignment="0" applyProtection="0"/>
    <xf numFmtId="169" fontId="23" fillId="64" borderId="33" applyNumberFormat="0" applyAlignment="0" applyProtection="0"/>
    <xf numFmtId="168" fontId="23" fillId="64" borderId="33" applyNumberFormat="0" applyAlignment="0" applyProtection="0"/>
    <xf numFmtId="168" fontId="23" fillId="64" borderId="33" applyNumberFormat="0" applyAlignment="0" applyProtection="0"/>
    <xf numFmtId="169" fontId="23" fillId="64" borderId="33" applyNumberFormat="0" applyAlignment="0" applyProtection="0"/>
    <xf numFmtId="168" fontId="23" fillId="64" borderId="33" applyNumberFormat="0" applyAlignment="0" applyProtection="0"/>
    <xf numFmtId="0" fontId="21" fillId="64" borderId="33" applyNumberFormat="0" applyAlignment="0" applyProtection="0"/>
    <xf numFmtId="0" fontId="24" fillId="65" borderId="34" applyNumberFormat="0" applyAlignment="0" applyProtection="0"/>
    <xf numFmtId="0" fontId="25" fillId="10" borderId="30" applyNumberFormat="0" applyAlignment="0" applyProtection="0"/>
    <xf numFmtId="168"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0" fontId="24"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0" fontId="25" fillId="10" borderId="30"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169" fontId="26" fillId="65" borderId="34" applyNumberFormat="0" applyAlignment="0" applyProtection="0"/>
    <xf numFmtId="168" fontId="26" fillId="65" borderId="34" applyNumberFormat="0" applyAlignment="0" applyProtection="0"/>
    <xf numFmtId="0" fontId="24" fillId="65" borderId="3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35">
      <alignment vertical="center"/>
    </xf>
    <xf numFmtId="38" fontId="9" fillId="0" borderId="35">
      <alignment vertical="center"/>
    </xf>
    <xf numFmtId="38" fontId="9" fillId="0" borderId="35">
      <alignment vertical="center"/>
    </xf>
    <xf numFmtId="38" fontId="9" fillId="0" borderId="35">
      <alignment vertical="center"/>
    </xf>
    <xf numFmtId="38" fontId="9" fillId="0" borderId="35">
      <alignment vertical="center"/>
    </xf>
    <xf numFmtId="38" fontId="9" fillId="0" borderId="35">
      <alignment vertical="center"/>
    </xf>
    <xf numFmtId="38" fontId="9" fillId="0" borderId="3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6" applyNumberFormat="0" applyAlignment="0" applyProtection="0">
      <alignment horizontal="left" vertical="center"/>
    </xf>
    <xf numFmtId="0" fontId="37" fillId="0" borderId="26" applyNumberFormat="0" applyAlignment="0" applyProtection="0">
      <alignment horizontal="left" vertical="center"/>
    </xf>
    <xf numFmtId="168" fontId="37" fillId="0" borderId="26"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36" applyNumberFormat="0" applyFill="0" applyAlignment="0" applyProtection="0"/>
    <xf numFmtId="169" fontId="38" fillId="0" borderId="36" applyNumberFormat="0" applyFill="0" applyAlignment="0" applyProtection="0"/>
    <xf numFmtId="0" fontId="38" fillId="0" borderId="36" applyNumberFormat="0" applyFill="0" applyAlignment="0" applyProtection="0"/>
    <xf numFmtId="168" fontId="38" fillId="0" borderId="36" applyNumberFormat="0" applyFill="0" applyAlignment="0" applyProtection="0"/>
    <xf numFmtId="168" fontId="38" fillId="0" borderId="36" applyNumberFormat="0" applyFill="0" applyAlignment="0" applyProtection="0"/>
    <xf numFmtId="168" fontId="38" fillId="0" borderId="36" applyNumberFormat="0" applyFill="0" applyAlignment="0" applyProtection="0"/>
    <xf numFmtId="169" fontId="38" fillId="0" borderId="36" applyNumberFormat="0" applyFill="0" applyAlignment="0" applyProtection="0"/>
    <xf numFmtId="168" fontId="38" fillId="0" borderId="36" applyNumberFormat="0" applyFill="0" applyAlignment="0" applyProtection="0"/>
    <xf numFmtId="168" fontId="38" fillId="0" borderId="36" applyNumberFormat="0" applyFill="0" applyAlignment="0" applyProtection="0"/>
    <xf numFmtId="169" fontId="38" fillId="0" borderId="36" applyNumberFormat="0" applyFill="0" applyAlignment="0" applyProtection="0"/>
    <xf numFmtId="168" fontId="38" fillId="0" borderId="36" applyNumberFormat="0" applyFill="0" applyAlignment="0" applyProtection="0"/>
    <xf numFmtId="168" fontId="38" fillId="0" borderId="36" applyNumberFormat="0" applyFill="0" applyAlignment="0" applyProtection="0"/>
    <xf numFmtId="169" fontId="38" fillId="0" borderId="36" applyNumberFormat="0" applyFill="0" applyAlignment="0" applyProtection="0"/>
    <xf numFmtId="168" fontId="38" fillId="0" borderId="36" applyNumberFormat="0" applyFill="0" applyAlignment="0" applyProtection="0"/>
    <xf numFmtId="168" fontId="38" fillId="0" borderId="36" applyNumberFormat="0" applyFill="0" applyAlignment="0" applyProtection="0"/>
    <xf numFmtId="169" fontId="38" fillId="0" borderId="36" applyNumberFormat="0" applyFill="0" applyAlignment="0" applyProtection="0"/>
    <xf numFmtId="168" fontId="38" fillId="0" borderId="36" applyNumberFormat="0" applyFill="0" applyAlignment="0" applyProtection="0"/>
    <xf numFmtId="0" fontId="38" fillId="0" borderId="36" applyNumberFormat="0" applyFill="0" applyAlignment="0" applyProtection="0"/>
    <xf numFmtId="0" fontId="39" fillId="0" borderId="37" applyNumberFormat="0" applyFill="0" applyAlignment="0" applyProtection="0"/>
    <xf numFmtId="169" fontId="39" fillId="0" borderId="37" applyNumberFormat="0" applyFill="0" applyAlignment="0" applyProtection="0"/>
    <xf numFmtId="0" fontId="39" fillId="0" borderId="37" applyNumberFormat="0" applyFill="0" applyAlignment="0" applyProtection="0"/>
    <xf numFmtId="168" fontId="39" fillId="0" borderId="37" applyNumberFormat="0" applyFill="0" applyAlignment="0" applyProtection="0"/>
    <xf numFmtId="168" fontId="39" fillId="0" borderId="37" applyNumberFormat="0" applyFill="0" applyAlignment="0" applyProtection="0"/>
    <xf numFmtId="168" fontId="39" fillId="0" borderId="37" applyNumberFormat="0" applyFill="0" applyAlignment="0" applyProtection="0"/>
    <xf numFmtId="169" fontId="39" fillId="0" borderId="37" applyNumberFormat="0" applyFill="0" applyAlignment="0" applyProtection="0"/>
    <xf numFmtId="168" fontId="39" fillId="0" borderId="37" applyNumberFormat="0" applyFill="0" applyAlignment="0" applyProtection="0"/>
    <xf numFmtId="168" fontId="39" fillId="0" borderId="37" applyNumberFormat="0" applyFill="0" applyAlignment="0" applyProtection="0"/>
    <xf numFmtId="169" fontId="39" fillId="0" borderId="37" applyNumberFormat="0" applyFill="0" applyAlignment="0" applyProtection="0"/>
    <xf numFmtId="168" fontId="39" fillId="0" borderId="37" applyNumberFormat="0" applyFill="0" applyAlignment="0" applyProtection="0"/>
    <xf numFmtId="168" fontId="39" fillId="0" borderId="37" applyNumberFormat="0" applyFill="0" applyAlignment="0" applyProtection="0"/>
    <xf numFmtId="169" fontId="39" fillId="0" borderId="37" applyNumberFormat="0" applyFill="0" applyAlignment="0" applyProtection="0"/>
    <xf numFmtId="168" fontId="39" fillId="0" borderId="37" applyNumberFormat="0" applyFill="0" applyAlignment="0" applyProtection="0"/>
    <xf numFmtId="168" fontId="39" fillId="0" borderId="37" applyNumberFormat="0" applyFill="0" applyAlignment="0" applyProtection="0"/>
    <xf numFmtId="169" fontId="39" fillId="0" borderId="37" applyNumberFormat="0" applyFill="0" applyAlignment="0" applyProtection="0"/>
    <xf numFmtId="168" fontId="39" fillId="0" borderId="37" applyNumberFormat="0" applyFill="0" applyAlignment="0" applyProtection="0"/>
    <xf numFmtId="0" fontId="39" fillId="0" borderId="37" applyNumberFormat="0" applyFill="0" applyAlignment="0" applyProtection="0"/>
    <xf numFmtId="0" fontId="40" fillId="0" borderId="38" applyNumberFormat="0" applyFill="0" applyAlignment="0" applyProtection="0"/>
    <xf numFmtId="169" fontId="40" fillId="0" borderId="38" applyNumberFormat="0" applyFill="0" applyAlignment="0" applyProtection="0"/>
    <xf numFmtId="0" fontId="40" fillId="0" borderId="38" applyNumberFormat="0" applyFill="0" applyAlignment="0" applyProtection="0"/>
    <xf numFmtId="168" fontId="40" fillId="0" borderId="38" applyNumberFormat="0" applyFill="0" applyAlignment="0" applyProtection="0"/>
    <xf numFmtId="0" fontId="40" fillId="0" borderId="38" applyNumberFormat="0" applyFill="0" applyAlignment="0" applyProtection="0"/>
    <xf numFmtId="168" fontId="40" fillId="0" borderId="38" applyNumberFormat="0" applyFill="0" applyAlignment="0" applyProtection="0"/>
    <xf numFmtId="0" fontId="40" fillId="0" borderId="38" applyNumberFormat="0" applyFill="0" applyAlignment="0" applyProtection="0"/>
    <xf numFmtId="0" fontId="40" fillId="0" borderId="38" applyNumberFormat="0" applyFill="0" applyAlignment="0" applyProtection="0"/>
    <xf numFmtId="168" fontId="40" fillId="0" borderId="38" applyNumberFormat="0" applyFill="0" applyAlignment="0" applyProtection="0"/>
    <xf numFmtId="169" fontId="40" fillId="0" borderId="38" applyNumberFormat="0" applyFill="0" applyAlignment="0" applyProtection="0"/>
    <xf numFmtId="168" fontId="40" fillId="0" borderId="38" applyNumberFormat="0" applyFill="0" applyAlignment="0" applyProtection="0"/>
    <xf numFmtId="168" fontId="40" fillId="0" borderId="38" applyNumberFormat="0" applyFill="0" applyAlignment="0" applyProtection="0"/>
    <xf numFmtId="169" fontId="40" fillId="0" borderId="38" applyNumberFormat="0" applyFill="0" applyAlignment="0" applyProtection="0"/>
    <xf numFmtId="168" fontId="40" fillId="0" borderId="38" applyNumberFormat="0" applyFill="0" applyAlignment="0" applyProtection="0"/>
    <xf numFmtId="168" fontId="40" fillId="0" borderId="38" applyNumberFormat="0" applyFill="0" applyAlignment="0" applyProtection="0"/>
    <xf numFmtId="169" fontId="40" fillId="0" borderId="38" applyNumberFormat="0" applyFill="0" applyAlignment="0" applyProtection="0"/>
    <xf numFmtId="168" fontId="40" fillId="0" borderId="38" applyNumberFormat="0" applyFill="0" applyAlignment="0" applyProtection="0"/>
    <xf numFmtId="168" fontId="40" fillId="0" borderId="38" applyNumberFormat="0" applyFill="0" applyAlignment="0" applyProtection="0"/>
    <xf numFmtId="169" fontId="40" fillId="0" borderId="38" applyNumberFormat="0" applyFill="0" applyAlignment="0" applyProtection="0"/>
    <xf numFmtId="168" fontId="40" fillId="0" borderId="38" applyNumberFormat="0" applyFill="0" applyAlignment="0" applyProtection="0"/>
    <xf numFmtId="0" fontId="40" fillId="0" borderId="3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3" applyNumberFormat="0" applyAlignment="0" applyProtection="0"/>
    <xf numFmtId="0" fontId="50" fillId="8" borderId="27"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168" fontId="51"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168" fontId="51"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169" fontId="51"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50" fillId="8" borderId="27"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50" fillId="8" borderId="27"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50" fillId="8" borderId="27"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50" fillId="8" borderId="27"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50" fillId="8" borderId="27"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50" fillId="8" borderId="27"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50" fillId="8" borderId="27"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168" fontId="51" fillId="43" borderId="33" applyNumberFormat="0" applyAlignment="0" applyProtection="0"/>
    <xf numFmtId="169" fontId="51" fillId="43" borderId="33" applyNumberFormat="0" applyAlignment="0" applyProtection="0"/>
    <xf numFmtId="168" fontId="51" fillId="43" borderId="33" applyNumberFormat="0" applyAlignment="0" applyProtection="0"/>
    <xf numFmtId="168" fontId="51" fillId="43" borderId="33" applyNumberFormat="0" applyAlignment="0" applyProtection="0"/>
    <xf numFmtId="169" fontId="51" fillId="43" borderId="33" applyNumberFormat="0" applyAlignment="0" applyProtection="0"/>
    <xf numFmtId="168" fontId="51" fillId="43" borderId="33" applyNumberFormat="0" applyAlignment="0" applyProtection="0"/>
    <xf numFmtId="168" fontId="51" fillId="43" borderId="33" applyNumberFormat="0" applyAlignment="0" applyProtection="0"/>
    <xf numFmtId="169" fontId="51" fillId="43" borderId="33" applyNumberFormat="0" applyAlignment="0" applyProtection="0"/>
    <xf numFmtId="168" fontId="51" fillId="43" borderId="33" applyNumberFormat="0" applyAlignment="0" applyProtection="0"/>
    <xf numFmtId="168" fontId="51" fillId="43" borderId="33" applyNumberFormat="0" applyAlignment="0" applyProtection="0"/>
    <xf numFmtId="169" fontId="51" fillId="43" borderId="33" applyNumberFormat="0" applyAlignment="0" applyProtection="0"/>
    <xf numFmtId="168" fontId="51" fillId="43" borderId="33" applyNumberFormat="0" applyAlignment="0" applyProtection="0"/>
    <xf numFmtId="0" fontId="49" fillId="43" borderId="3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39" applyNumberFormat="0" applyFill="0" applyAlignment="0" applyProtection="0"/>
    <xf numFmtId="0" fontId="53" fillId="0" borderId="29" applyNumberFormat="0" applyFill="0" applyAlignment="0" applyProtection="0"/>
    <xf numFmtId="168" fontId="54" fillId="0" borderId="39" applyNumberFormat="0" applyFill="0" applyAlignment="0" applyProtection="0"/>
    <xf numFmtId="168" fontId="54" fillId="0" borderId="39" applyNumberFormat="0" applyFill="0" applyAlignment="0" applyProtection="0"/>
    <xf numFmtId="169" fontId="54" fillId="0" borderId="39" applyNumberFormat="0" applyFill="0" applyAlignment="0" applyProtection="0"/>
    <xf numFmtId="0" fontId="52" fillId="0" borderId="39" applyNumberFormat="0" applyFill="0" applyAlignment="0" applyProtection="0"/>
    <xf numFmtId="0" fontId="53" fillId="0" borderId="29" applyNumberFormat="0" applyFill="0" applyAlignment="0" applyProtection="0"/>
    <xf numFmtId="0" fontId="53" fillId="0" borderId="29" applyNumberFormat="0" applyFill="0" applyAlignment="0" applyProtection="0"/>
    <xf numFmtId="0" fontId="53" fillId="0" borderId="29" applyNumberFormat="0" applyFill="0" applyAlignment="0" applyProtection="0"/>
    <xf numFmtId="0" fontId="53" fillId="0" borderId="29" applyNumberFormat="0" applyFill="0" applyAlignment="0" applyProtection="0"/>
    <xf numFmtId="0" fontId="53" fillId="0" borderId="29" applyNumberFormat="0" applyFill="0" applyAlignment="0" applyProtection="0"/>
    <xf numFmtId="0" fontId="53" fillId="0" borderId="29" applyNumberFormat="0" applyFill="0" applyAlignment="0" applyProtection="0"/>
    <xf numFmtId="0" fontId="53" fillId="0" borderId="29" applyNumberFormat="0" applyFill="0" applyAlignment="0" applyProtection="0"/>
    <xf numFmtId="168" fontId="54" fillId="0" borderId="39" applyNumberFormat="0" applyFill="0" applyAlignment="0" applyProtection="0"/>
    <xf numFmtId="169" fontId="54" fillId="0" borderId="39" applyNumberFormat="0" applyFill="0" applyAlignment="0" applyProtection="0"/>
    <xf numFmtId="168" fontId="54" fillId="0" borderId="39" applyNumberFormat="0" applyFill="0" applyAlignment="0" applyProtection="0"/>
    <xf numFmtId="168" fontId="54" fillId="0" borderId="39" applyNumberFormat="0" applyFill="0" applyAlignment="0" applyProtection="0"/>
    <xf numFmtId="169" fontId="54" fillId="0" borderId="39" applyNumberFormat="0" applyFill="0" applyAlignment="0" applyProtection="0"/>
    <xf numFmtId="168" fontId="54" fillId="0" borderId="39" applyNumberFormat="0" applyFill="0" applyAlignment="0" applyProtection="0"/>
    <xf numFmtId="168" fontId="54" fillId="0" borderId="39" applyNumberFormat="0" applyFill="0" applyAlignment="0" applyProtection="0"/>
    <xf numFmtId="169" fontId="54" fillId="0" borderId="39" applyNumberFormat="0" applyFill="0" applyAlignment="0" applyProtection="0"/>
    <xf numFmtId="168" fontId="54" fillId="0" borderId="39" applyNumberFormat="0" applyFill="0" applyAlignment="0" applyProtection="0"/>
    <xf numFmtId="168" fontId="54" fillId="0" borderId="39" applyNumberFormat="0" applyFill="0" applyAlignment="0" applyProtection="0"/>
    <xf numFmtId="169" fontId="54" fillId="0" borderId="39" applyNumberFormat="0" applyFill="0" applyAlignment="0" applyProtection="0"/>
    <xf numFmtId="168" fontId="54" fillId="0" borderId="39" applyNumberFormat="0" applyFill="0" applyAlignment="0" applyProtection="0"/>
    <xf numFmtId="0" fontId="52" fillId="0" borderId="3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0"/>
    <xf numFmtId="169" fontId="9" fillId="0" borderId="40"/>
    <xf numFmtId="168" fontId="9" fillId="0" borderId="4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1" applyNumberFormat="0" applyFont="0" applyAlignment="0" applyProtection="0"/>
    <xf numFmtId="0" fontId="11" fillId="11" borderId="3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1" fillId="11" borderId="3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1" fillId="11" borderId="3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168" fontId="2" fillId="0" borderId="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2" fillId="74" borderId="41" applyNumberFormat="0" applyFont="0" applyAlignment="0" applyProtection="0"/>
    <xf numFmtId="0" fontId="10" fillId="74" borderId="41" applyNumberFormat="0" applyFont="0" applyAlignment="0" applyProtection="0"/>
    <xf numFmtId="168" fontId="2" fillId="0" borderId="0"/>
    <xf numFmtId="0" fontId="10" fillId="74" borderId="41" applyNumberFormat="0" applyFont="0" applyAlignment="0" applyProtection="0"/>
    <xf numFmtId="0" fontId="10" fillId="74" borderId="41" applyNumberFormat="0" applyFont="0" applyAlignment="0" applyProtection="0"/>
    <xf numFmtId="0" fontId="2" fillId="74" borderId="41" applyNumberFormat="0" applyFont="0" applyAlignment="0" applyProtection="0"/>
    <xf numFmtId="0" fontId="2" fillId="74" borderId="41" applyNumberFormat="0" applyFont="0" applyAlignment="0" applyProtection="0"/>
    <xf numFmtId="0" fontId="10" fillId="74" borderId="41" applyNumberFormat="0" applyFont="0" applyAlignment="0" applyProtection="0"/>
    <xf numFmtId="0" fontId="2"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169" fontId="2" fillId="0" borderId="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2" fillId="74" borderId="41" applyNumberFormat="0" applyFont="0" applyAlignment="0" applyProtection="0"/>
    <xf numFmtId="0" fontId="2" fillId="0" borderId="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1" fillId="11" borderId="31" applyNumberFormat="0" applyFont="0" applyAlignment="0" applyProtection="0"/>
    <xf numFmtId="0" fontId="11" fillId="11" borderId="31" applyNumberFormat="0" applyFont="0" applyAlignment="0" applyProtection="0"/>
    <xf numFmtId="0" fontId="10" fillId="74" borderId="41" applyNumberFormat="0" applyFont="0" applyAlignment="0" applyProtection="0"/>
    <xf numFmtId="0" fontId="11" fillId="11" borderId="31" applyNumberFormat="0" applyFont="0" applyAlignment="0" applyProtection="0"/>
    <xf numFmtId="0" fontId="10" fillId="74" borderId="41" applyNumberFormat="0" applyFont="0" applyAlignment="0" applyProtection="0"/>
    <xf numFmtId="0" fontId="11" fillId="11" borderId="31" applyNumberFormat="0" applyFont="0" applyAlignment="0" applyProtection="0"/>
    <xf numFmtId="0" fontId="10" fillId="74" borderId="41" applyNumberFormat="0" applyFont="0" applyAlignment="0" applyProtection="0"/>
    <xf numFmtId="0" fontId="11" fillId="11" borderId="31" applyNumberFormat="0" applyFont="0" applyAlignment="0" applyProtection="0"/>
    <xf numFmtId="0" fontId="11" fillId="11" borderId="31" applyNumberFormat="0" applyFont="0" applyAlignment="0" applyProtection="0"/>
    <xf numFmtId="0" fontId="10" fillId="74" borderId="41" applyNumberFormat="0" applyFont="0" applyAlignment="0" applyProtection="0"/>
    <xf numFmtId="0" fontId="11" fillId="11" borderId="31" applyNumberFormat="0" applyFont="0" applyAlignment="0" applyProtection="0"/>
    <xf numFmtId="0" fontId="11" fillId="11" borderId="31" applyNumberFormat="0" applyFont="0" applyAlignment="0" applyProtection="0"/>
    <xf numFmtId="0" fontId="10" fillId="74" borderId="41" applyNumberFormat="0" applyFont="0" applyAlignment="0" applyProtection="0"/>
    <xf numFmtId="0" fontId="11" fillId="11" borderId="31" applyNumberFormat="0" applyFont="0" applyAlignment="0" applyProtection="0"/>
    <xf numFmtId="0" fontId="10" fillId="74" borderId="41" applyNumberFormat="0" applyFont="0" applyAlignment="0" applyProtection="0"/>
    <xf numFmtId="0" fontId="11" fillId="11" borderId="31" applyNumberFormat="0" applyFont="0" applyAlignment="0" applyProtection="0"/>
    <xf numFmtId="0" fontId="10" fillId="74" borderId="41" applyNumberFormat="0" applyFont="0" applyAlignment="0" applyProtection="0"/>
    <xf numFmtId="0" fontId="11" fillId="11" borderId="31" applyNumberFormat="0" applyFont="0" applyAlignment="0" applyProtection="0"/>
    <xf numFmtId="0" fontId="11" fillId="11" borderId="31" applyNumberFormat="0" applyFont="0" applyAlignment="0" applyProtection="0"/>
    <xf numFmtId="0" fontId="10" fillId="74" borderId="41" applyNumberFormat="0" applyFont="0" applyAlignment="0" applyProtection="0"/>
    <xf numFmtId="0" fontId="11" fillId="11" borderId="31" applyNumberFormat="0" applyFont="0" applyAlignment="0" applyProtection="0"/>
    <xf numFmtId="0" fontId="11" fillId="11" borderId="31" applyNumberFormat="0" applyFont="0" applyAlignment="0" applyProtection="0"/>
    <xf numFmtId="0" fontId="10" fillId="74" borderId="41" applyNumberFormat="0" applyFont="0" applyAlignment="0" applyProtection="0"/>
    <xf numFmtId="0" fontId="11" fillId="11" borderId="31" applyNumberFormat="0" applyFont="0" applyAlignment="0" applyProtection="0"/>
    <xf numFmtId="0" fontId="10" fillId="74" borderId="41" applyNumberFormat="0" applyFont="0" applyAlignment="0" applyProtection="0"/>
    <xf numFmtId="0" fontId="11" fillId="11" borderId="31" applyNumberFormat="0" applyFont="0" applyAlignment="0" applyProtection="0"/>
    <xf numFmtId="0" fontId="10" fillId="74" borderId="41" applyNumberFormat="0" applyFont="0" applyAlignment="0" applyProtection="0"/>
    <xf numFmtId="0" fontId="11" fillId="11" borderId="31" applyNumberFormat="0" applyFont="0" applyAlignment="0" applyProtection="0"/>
    <xf numFmtId="0" fontId="11" fillId="11" borderId="31" applyNumberFormat="0" applyFont="0" applyAlignment="0" applyProtection="0"/>
    <xf numFmtId="0" fontId="10" fillId="74" borderId="41" applyNumberFormat="0" applyFont="0" applyAlignment="0" applyProtection="0"/>
    <xf numFmtId="0" fontId="11" fillId="11" borderId="31" applyNumberFormat="0" applyFont="0" applyAlignment="0" applyProtection="0"/>
    <xf numFmtId="0" fontId="11" fillId="11" borderId="31" applyNumberFormat="0" applyFont="0" applyAlignment="0" applyProtection="0"/>
    <xf numFmtId="0" fontId="10" fillId="74" borderId="41" applyNumberFormat="0" applyFont="0" applyAlignment="0" applyProtection="0"/>
    <xf numFmtId="0" fontId="11" fillId="11" borderId="31" applyNumberFormat="0" applyFont="0" applyAlignment="0" applyProtection="0"/>
    <xf numFmtId="0" fontId="10" fillId="74" borderId="41" applyNumberFormat="0" applyFont="0" applyAlignment="0" applyProtection="0"/>
    <xf numFmtId="0" fontId="11" fillId="11" borderId="31" applyNumberFormat="0" applyFont="0" applyAlignment="0" applyProtection="0"/>
    <xf numFmtId="0" fontId="10" fillId="74" borderId="41" applyNumberFormat="0" applyFont="0" applyAlignment="0" applyProtection="0"/>
    <xf numFmtId="0" fontId="11" fillId="11" borderId="31" applyNumberFormat="0" applyFont="0" applyAlignment="0" applyProtection="0"/>
    <xf numFmtId="0" fontId="11" fillId="11" borderId="31" applyNumberFormat="0" applyFont="0" applyAlignment="0" applyProtection="0"/>
    <xf numFmtId="0" fontId="10" fillId="74" borderId="41" applyNumberFormat="0" applyFont="0" applyAlignment="0" applyProtection="0"/>
    <xf numFmtId="0" fontId="11" fillId="11" borderId="3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1" fillId="11" borderId="3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10" fillId="74" borderId="41" applyNumberFormat="0" applyFont="0" applyAlignment="0" applyProtection="0"/>
    <xf numFmtId="0" fontId="2" fillId="74" borderId="41" applyNumberFormat="0" applyFont="0" applyAlignment="0" applyProtection="0"/>
    <xf numFmtId="0" fontId="2" fillId="74" borderId="41" applyNumberFormat="0" applyFont="0" applyAlignment="0" applyProtection="0"/>
    <xf numFmtId="169" fontId="2" fillId="0" borderId="0"/>
    <xf numFmtId="0" fontId="2" fillId="74" borderId="41" applyNumberFormat="0" applyFont="0" applyAlignment="0" applyProtection="0"/>
    <xf numFmtId="168" fontId="2" fillId="0" borderId="0"/>
    <xf numFmtId="0" fontId="2" fillId="74" borderId="41" applyNumberFormat="0" applyFont="0" applyAlignment="0" applyProtection="0"/>
    <xf numFmtId="168" fontId="2" fillId="0" borderId="0"/>
    <xf numFmtId="0" fontId="2" fillId="74" borderId="41" applyNumberFormat="0" applyFont="0" applyAlignment="0" applyProtection="0"/>
    <xf numFmtId="0" fontId="2" fillId="74" borderId="41" applyNumberFormat="0" applyFont="0" applyAlignment="0" applyProtection="0"/>
    <xf numFmtId="169" fontId="2" fillId="0" borderId="0"/>
    <xf numFmtId="168" fontId="2" fillId="0" borderId="0"/>
    <xf numFmtId="0" fontId="2" fillId="74" borderId="41" applyNumberFormat="0" applyFont="0" applyAlignment="0" applyProtection="0"/>
    <xf numFmtId="168" fontId="2" fillId="0" borderId="0"/>
    <xf numFmtId="0" fontId="2" fillId="74" borderId="41" applyNumberFormat="0" applyFont="0" applyAlignment="0" applyProtection="0"/>
    <xf numFmtId="0" fontId="2" fillId="74" borderId="41" applyNumberFormat="0" applyFont="0" applyAlignment="0" applyProtection="0"/>
    <xf numFmtId="169" fontId="2" fillId="0" borderId="0"/>
    <xf numFmtId="0" fontId="2" fillId="74" borderId="41" applyNumberFormat="0" applyFont="0" applyAlignment="0" applyProtection="0"/>
    <xf numFmtId="168" fontId="2" fillId="0" borderId="0"/>
    <xf numFmtId="0" fontId="2" fillId="74" borderId="41" applyNumberFormat="0" applyFont="0" applyAlignment="0" applyProtection="0"/>
    <xf numFmtId="168" fontId="2" fillId="0" borderId="0"/>
    <xf numFmtId="0" fontId="2" fillId="74" borderId="41" applyNumberFormat="0" applyFont="0" applyAlignment="0" applyProtection="0"/>
    <xf numFmtId="0" fontId="2" fillId="74" borderId="41" applyNumberFormat="0" applyFont="0" applyAlignment="0" applyProtection="0"/>
    <xf numFmtId="169" fontId="2" fillId="0" borderId="0"/>
    <xf numFmtId="168" fontId="2" fillId="0" borderId="0"/>
    <xf numFmtId="168" fontId="2" fillId="0" borderId="0"/>
    <xf numFmtId="0" fontId="2" fillId="74" borderId="41" applyNumberFormat="0" applyFont="0" applyAlignment="0" applyProtection="0"/>
    <xf numFmtId="0" fontId="2" fillId="74" borderId="41" applyNumberFormat="0" applyFont="0" applyAlignment="0" applyProtection="0"/>
    <xf numFmtId="0" fontId="2" fillId="74" borderId="41" applyNumberFormat="0" applyFont="0" applyAlignment="0" applyProtection="0"/>
    <xf numFmtId="0" fontId="2" fillId="74" borderId="4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2" applyNumberFormat="0" applyAlignment="0" applyProtection="0"/>
    <xf numFmtId="0" fontId="67" fillId="9" borderId="28"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168" fontId="68"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168" fontId="68"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169" fontId="68"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7" fillId="9" borderId="28"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7" fillId="9" borderId="28"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7" fillId="9" borderId="28"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7" fillId="9" borderId="28"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7" fillId="9" borderId="28"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7" fillId="9" borderId="28"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7" fillId="9" borderId="28"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0" fontId="66" fillId="64" borderId="42" applyNumberFormat="0" applyAlignment="0" applyProtection="0"/>
    <xf numFmtId="168" fontId="68" fillId="64" borderId="42" applyNumberFormat="0" applyAlignment="0" applyProtection="0"/>
    <xf numFmtId="169" fontId="68" fillId="64" borderId="42" applyNumberFormat="0" applyAlignment="0" applyProtection="0"/>
    <xf numFmtId="168" fontId="68" fillId="64" borderId="42" applyNumberFormat="0" applyAlignment="0" applyProtection="0"/>
    <xf numFmtId="168" fontId="68" fillId="64" borderId="42" applyNumberFormat="0" applyAlignment="0" applyProtection="0"/>
    <xf numFmtId="169" fontId="68" fillId="64" borderId="42" applyNumberFormat="0" applyAlignment="0" applyProtection="0"/>
    <xf numFmtId="168" fontId="68" fillId="64" borderId="42" applyNumberFormat="0" applyAlignment="0" applyProtection="0"/>
    <xf numFmtId="168" fontId="68" fillId="64" borderId="42" applyNumberFormat="0" applyAlignment="0" applyProtection="0"/>
    <xf numFmtId="169" fontId="68" fillId="64" borderId="42" applyNumberFormat="0" applyAlignment="0" applyProtection="0"/>
    <xf numFmtId="168" fontId="68" fillId="64" borderId="42" applyNumberFormat="0" applyAlignment="0" applyProtection="0"/>
    <xf numFmtId="168" fontId="68" fillId="64" borderId="42" applyNumberFormat="0" applyAlignment="0" applyProtection="0"/>
    <xf numFmtId="169" fontId="68" fillId="64" borderId="42" applyNumberFormat="0" applyAlignment="0" applyProtection="0"/>
    <xf numFmtId="168" fontId="68" fillId="64" borderId="42" applyNumberFormat="0" applyAlignment="0" applyProtection="0"/>
    <xf numFmtId="0" fontId="66" fillId="64" borderId="4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3" applyNumberFormat="0" applyFill="0" applyAlignment="0" applyProtection="0"/>
    <xf numFmtId="0" fontId="4" fillId="0" borderId="32"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168" fontId="77"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168" fontId="77"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169" fontId="77"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4" fillId="0" borderId="32"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4" fillId="0" borderId="32"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4" fillId="0" borderId="32"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4" fillId="0" borderId="32"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4" fillId="0" borderId="32"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4" fillId="0" borderId="32"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4" fillId="0" borderId="32"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168" fontId="77" fillId="0" borderId="43" applyNumberFormat="0" applyFill="0" applyAlignment="0" applyProtection="0"/>
    <xf numFmtId="169" fontId="77" fillId="0" borderId="43" applyNumberFormat="0" applyFill="0" applyAlignment="0" applyProtection="0"/>
    <xf numFmtId="168" fontId="77" fillId="0" borderId="43" applyNumberFormat="0" applyFill="0" applyAlignment="0" applyProtection="0"/>
    <xf numFmtId="168" fontId="77" fillId="0" borderId="43" applyNumberFormat="0" applyFill="0" applyAlignment="0" applyProtection="0"/>
    <xf numFmtId="169" fontId="77" fillId="0" borderId="43" applyNumberFormat="0" applyFill="0" applyAlignment="0" applyProtection="0"/>
    <xf numFmtId="168" fontId="77" fillId="0" borderId="43" applyNumberFormat="0" applyFill="0" applyAlignment="0" applyProtection="0"/>
    <xf numFmtId="168" fontId="77" fillId="0" borderId="43" applyNumberFormat="0" applyFill="0" applyAlignment="0" applyProtection="0"/>
    <xf numFmtId="169" fontId="77" fillId="0" borderId="43" applyNumberFormat="0" applyFill="0" applyAlignment="0" applyProtection="0"/>
    <xf numFmtId="168" fontId="77" fillId="0" borderId="43" applyNumberFormat="0" applyFill="0" applyAlignment="0" applyProtection="0"/>
    <xf numFmtId="168" fontId="77" fillId="0" borderId="43" applyNumberFormat="0" applyFill="0" applyAlignment="0" applyProtection="0"/>
    <xf numFmtId="169" fontId="77" fillId="0" borderId="43" applyNumberFormat="0" applyFill="0" applyAlignment="0" applyProtection="0"/>
    <xf numFmtId="168" fontId="77" fillId="0" borderId="43" applyNumberFormat="0" applyFill="0" applyAlignment="0" applyProtection="0"/>
    <xf numFmtId="0" fontId="30" fillId="0" borderId="43" applyNumberFormat="0" applyFill="0" applyAlignment="0" applyProtection="0"/>
    <xf numFmtId="0" fontId="8" fillId="0" borderId="4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3" fillId="0" borderId="0"/>
  </cellStyleXfs>
  <cellXfs count="832">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5" xfId="0" applyFont="1" applyBorder="1" applyAlignment="1">
      <alignment horizontal="right" vertical="center" wrapText="1"/>
    </xf>
    <xf numFmtId="0" fontId="2" fillId="0" borderId="13" xfId="0" applyFont="1" applyBorder="1" applyAlignment="1">
      <alignment vertical="center" wrapText="1"/>
    </xf>
    <xf numFmtId="0" fontId="2" fillId="0" borderId="15" xfId="0" applyFont="1" applyFill="1" applyBorder="1" applyAlignment="1">
      <alignment horizontal="center" vertical="center" wrapText="1"/>
    </xf>
    <xf numFmtId="0" fontId="85" fillId="0" borderId="0" xfId="0" applyFont="1" applyFill="1"/>
    <xf numFmtId="0" fontId="2" fillId="0" borderId="0" xfId="0" applyFont="1" applyAlignment="1">
      <alignment horizontal="right"/>
    </xf>
    <xf numFmtId="0" fontId="88"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8" fillId="0" borderId="0" xfId="0" applyFont="1" applyBorder="1"/>
    <xf numFmtId="0" fontId="46" fillId="0" borderId="0" xfId="0" applyFont="1" applyFill="1" applyAlignment="1">
      <alignment horizontal="center"/>
    </xf>
    <xf numFmtId="0" fontId="84" fillId="0" borderId="15" xfId="0" applyFont="1" applyBorder="1" applyAlignment="1">
      <alignment horizontal="center" vertical="center" wrapText="1"/>
    </xf>
    <xf numFmtId="0" fontId="84" fillId="0" borderId="3" xfId="0" applyFont="1" applyFill="1" applyBorder="1" applyAlignment="1">
      <alignment vertical="center" wrapText="1"/>
    </xf>
    <xf numFmtId="0" fontId="84" fillId="0" borderId="17" xfId="0" applyFont="1" applyBorder="1" applyAlignment="1">
      <alignment horizontal="center" vertical="center" wrapText="1"/>
    </xf>
    <xf numFmtId="0" fontId="86" fillId="0" borderId="18"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2" xfId="0" applyFont="1" applyBorder="1"/>
    <xf numFmtId="0" fontId="2" fillId="0" borderId="15" xfId="0" applyFont="1" applyBorder="1" applyAlignment="1">
      <alignment vertical="center"/>
    </xf>
    <xf numFmtId="0" fontId="85" fillId="0" borderId="0" xfId="0" applyFont="1" applyAlignment="1">
      <alignment wrapText="1"/>
    </xf>
    <xf numFmtId="0" fontId="2" fillId="0" borderId="17" xfId="0" applyFont="1" applyBorder="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3" xfId="11" applyFont="1" applyFill="1" applyBorder="1" applyAlignment="1" applyProtection="1">
      <alignment horizontal="center" vertical="center"/>
    </xf>
    <xf numFmtId="0" fontId="45" fillId="0" borderId="14"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5" fillId="0" borderId="3" xfId="0" applyFont="1" applyBorder="1"/>
    <xf numFmtId="0" fontId="84" fillId="0" borderId="0" xfId="0" applyFont="1" applyAlignment="1">
      <alignment vertical="center"/>
    </xf>
    <xf numFmtId="0" fontId="84" fillId="0" borderId="15"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2"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4" xfId="2" applyNumberFormat="1" applyFont="1" applyFill="1" applyBorder="1" applyAlignment="1" applyProtection="1">
      <alignment horizontal="center" vertical="center"/>
      <protection locked="0"/>
    </xf>
    <xf numFmtId="0" fontId="2" fillId="0" borderId="15"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5"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18"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53"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4" fillId="0" borderId="54" xfId="0" applyNumberFormat="1" applyFont="1" applyBorder="1" applyAlignment="1">
      <alignment horizontal="center"/>
    </xf>
    <xf numFmtId="167" fontId="85" fillId="0" borderId="0" xfId="0" applyNumberFormat="1" applyFont="1" applyBorder="1" applyAlignment="1">
      <alignment horizontal="center"/>
    </xf>
    <xf numFmtId="167" fontId="84" fillId="0" borderId="52" xfId="0" applyNumberFormat="1" applyFont="1" applyBorder="1" applyAlignment="1">
      <alignment horizontal="center"/>
    </xf>
    <xf numFmtId="167" fontId="91" fillId="0" borderId="0" xfId="0" applyNumberFormat="1" applyFont="1" applyBorder="1" applyAlignment="1">
      <alignment horizontal="center"/>
    </xf>
    <xf numFmtId="167" fontId="84" fillId="0" borderId="55" xfId="0" applyNumberFormat="1" applyFont="1" applyBorder="1" applyAlignment="1">
      <alignment horizontal="center"/>
    </xf>
    <xf numFmtId="167" fontId="89" fillId="0" borderId="0" xfId="0" applyNumberFormat="1" applyFont="1" applyFill="1" applyBorder="1" applyAlignment="1">
      <alignment horizontal="center"/>
    </xf>
    <xf numFmtId="167" fontId="84" fillId="0" borderId="56" xfId="0" applyNumberFormat="1" applyFont="1" applyBorder="1" applyAlignment="1">
      <alignment horizontal="center"/>
    </xf>
    <xf numFmtId="0" fontId="84" fillId="0" borderId="15" xfId="0" applyFont="1" applyBorder="1" applyAlignment="1">
      <alignment vertical="center"/>
    </xf>
    <xf numFmtId="0" fontId="88" fillId="0" borderId="0" xfId="0" applyFont="1" applyAlignment="1"/>
    <xf numFmtId="0" fontId="2" fillId="3" borderId="17" xfId="9" applyFont="1" applyFill="1" applyBorder="1" applyAlignment="1" applyProtection="1">
      <alignment horizontal="left" vertical="center"/>
      <protection locked="0"/>
    </xf>
    <xf numFmtId="0" fontId="45" fillId="3" borderId="18" xfId="16" applyFont="1" applyFill="1" applyBorder="1" applyAlignment="1" applyProtection="1">
      <protection locked="0"/>
    </xf>
    <xf numFmtId="0" fontId="86" fillId="0" borderId="0" xfId="0" applyFont="1" applyAlignment="1">
      <alignment horizontal="center"/>
    </xf>
    <xf numFmtId="0" fontId="84" fillId="0" borderId="12" xfId="0" applyFont="1" applyBorder="1"/>
    <xf numFmtId="0" fontId="84" fillId="0" borderId="14" xfId="0" applyFont="1" applyBorder="1"/>
    <xf numFmtId="0" fontId="84" fillId="0" borderId="16" xfId="0" applyFont="1" applyBorder="1" applyAlignment="1">
      <alignment horizontal="center" vertical="center"/>
    </xf>
    <xf numFmtId="164" fontId="2" fillId="3" borderId="15"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6" xfId="1" applyNumberFormat="1" applyFont="1" applyFill="1" applyBorder="1" applyAlignment="1" applyProtection="1">
      <alignment horizontal="center" vertical="center" wrapText="1"/>
      <protection locked="0"/>
    </xf>
    <xf numFmtId="0" fontId="2" fillId="3" borderId="15" xfId="5" applyFont="1" applyFill="1" applyBorder="1" applyAlignment="1" applyProtection="1">
      <alignment horizontal="right" vertical="center"/>
      <protection locked="0"/>
    </xf>
    <xf numFmtId="0" fontId="45" fillId="3" borderId="19" xfId="16" applyFont="1" applyFill="1" applyBorder="1" applyAlignment="1" applyProtection="1">
      <protection locked="0"/>
    </xf>
    <xf numFmtId="0" fontId="84" fillId="0" borderId="0" xfId="0" applyFont="1" applyBorder="1" applyAlignment="1">
      <alignment vertical="center"/>
    </xf>
    <xf numFmtId="0" fontId="84" fillId="0" borderId="13" xfId="0" applyFont="1" applyBorder="1"/>
    <xf numFmtId="0" fontId="88" fillId="0" borderId="0" xfId="0" applyFont="1" applyAlignment="1">
      <alignment wrapText="1"/>
    </xf>
    <xf numFmtId="0" fontId="84" fillId="0" borderId="15" xfId="0" applyFont="1" applyBorder="1"/>
    <xf numFmtId="0" fontId="84" fillId="0" borderId="3" xfId="0" applyFont="1" applyBorder="1"/>
    <xf numFmtId="0" fontId="84" fillId="0" borderId="57" xfId="0" applyFont="1" applyBorder="1" applyAlignment="1">
      <alignment wrapText="1"/>
    </xf>
    <xf numFmtId="0" fontId="84" fillId="0" borderId="17" xfId="0" applyFont="1" applyBorder="1"/>
    <xf numFmtId="0" fontId="86" fillId="0" borderId="18" xfId="0" applyFont="1" applyBorder="1"/>
    <xf numFmtId="0" fontId="84" fillId="0" borderId="48" xfId="0" applyFont="1" applyBorder="1" applyAlignment="1">
      <alignment horizontal="center"/>
    </xf>
    <xf numFmtId="0" fontId="84" fillId="0" borderId="49" xfId="0" applyFont="1" applyBorder="1" applyAlignment="1">
      <alignment horizontal="center"/>
    </xf>
    <xf numFmtId="0" fontId="84" fillId="0" borderId="13" xfId="0" applyFont="1" applyBorder="1" applyAlignment="1">
      <alignment horizontal="center"/>
    </xf>
    <xf numFmtId="0" fontId="84" fillId="0" borderId="14" xfId="0" applyFont="1" applyBorder="1" applyAlignment="1">
      <alignment horizontal="center"/>
    </xf>
    <xf numFmtId="0" fontId="88" fillId="0" borderId="0" xfId="0" applyFont="1" applyAlignment="1">
      <alignment horizontal="center"/>
    </xf>
    <xf numFmtId="0" fontId="2" fillId="3" borderId="15"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0" fontId="92" fillId="3" borderId="3" xfId="11" applyFont="1" applyFill="1" applyBorder="1" applyAlignment="1">
      <alignment horizontal="left" vertical="center" wrapText="1"/>
    </xf>
    <xf numFmtId="0" fontId="92" fillId="0" borderId="3" xfId="11" applyFont="1" applyFill="1" applyBorder="1" applyAlignment="1">
      <alignment horizontal="left" vertical="center" wrapText="1"/>
    </xf>
    <xf numFmtId="0" fontId="90" fillId="0" borderId="3" xfId="11" applyFont="1" applyFill="1" applyBorder="1" applyAlignment="1">
      <alignment wrapText="1"/>
    </xf>
    <xf numFmtId="0" fontId="92" fillId="3" borderId="3" xfId="9" applyFont="1" applyFill="1" applyBorder="1" applyAlignment="1" applyProtection="1">
      <alignment horizontal="left" vertical="center"/>
      <protection locked="0"/>
    </xf>
    <xf numFmtId="0" fontId="90" fillId="3" borderId="3" xfId="20961" applyFont="1" applyFill="1" applyBorder="1" applyAlignment="1" applyProtection="1"/>
    <xf numFmtId="193" fontId="84" fillId="0" borderId="0" xfId="0" applyNumberFormat="1" applyFont="1"/>
    <xf numFmtId="0" fontId="90"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2" fillId="0" borderId="18" xfId="0" applyFont="1" applyBorder="1" applyAlignment="1">
      <alignment vertical="center" wrapText="1"/>
    </xf>
    <xf numFmtId="0" fontId="2" fillId="0" borderId="12" xfId="11" applyFont="1" applyFill="1" applyBorder="1" applyAlignment="1" applyProtection="1">
      <alignment vertical="center"/>
    </xf>
    <xf numFmtId="0" fontId="2" fillId="0" borderId="13" xfId="11" applyFont="1" applyFill="1" applyBorder="1" applyAlignment="1" applyProtection="1">
      <alignment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18" xfId="0" applyFont="1" applyFill="1" applyBorder="1" applyAlignment="1">
      <alignment wrapText="1"/>
    </xf>
    <xf numFmtId="0" fontId="84" fillId="0" borderId="12" xfId="0" applyFont="1" applyBorder="1" applyAlignment="1">
      <alignment horizontal="center" vertical="center"/>
    </xf>
    <xf numFmtId="0" fontId="84" fillId="0" borderId="0" xfId="0" applyFont="1" applyAlignment="1"/>
    <xf numFmtId="0" fontId="45" fillId="0" borderId="0" xfId="11" applyFont="1" applyFill="1" applyBorder="1" applyAlignment="1" applyProtection="1">
      <alignment horizontal="center"/>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2" xfId="0" applyFont="1" applyBorder="1" applyAlignment="1">
      <alignment horizontal="center" vertical="center" wrapText="1"/>
    </xf>
    <xf numFmtId="0" fontId="84" fillId="0" borderId="13"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6" xfId="1" applyNumberFormat="1" applyFont="1" applyFill="1" applyBorder="1" applyAlignment="1" applyProtection="1">
      <alignment horizontal="center" vertical="center" wrapText="1"/>
      <protection locked="0"/>
    </xf>
    <xf numFmtId="0" fontId="3" fillId="0" borderId="48" xfId="0" applyFont="1" applyBorder="1"/>
    <xf numFmtId="0" fontId="3" fillId="0" borderId="49" xfId="0" applyFont="1" applyBorder="1"/>
    <xf numFmtId="0" fontId="3" fillId="0" borderId="13" xfId="0" applyFont="1" applyBorder="1" applyAlignment="1">
      <alignment horizontal="center" vertical="center"/>
    </xf>
    <xf numFmtId="0" fontId="3" fillId="0" borderId="22" xfId="0" applyFont="1" applyBorder="1" applyAlignment="1">
      <alignment horizontal="center" vertical="center"/>
    </xf>
    <xf numFmtId="0" fontId="3" fillId="0" borderId="14" xfId="0" applyFont="1" applyBorder="1" applyAlignment="1">
      <alignment horizontal="center" vertical="center"/>
    </xf>
    <xf numFmtId="0" fontId="97" fillId="0" borderId="0" xfId="0" applyFont="1"/>
    <xf numFmtId="0" fontId="3" fillId="0" borderId="57" xfId="0" applyFont="1" applyBorder="1"/>
    <xf numFmtId="0" fontId="3" fillId="0" borderId="0" xfId="0" applyFont="1"/>
    <xf numFmtId="0" fontId="3" fillId="0" borderId="13" xfId="0" applyFont="1" applyBorder="1" applyAlignment="1">
      <alignment wrapText="1"/>
    </xf>
    <xf numFmtId="0" fontId="3" fillId="0" borderId="22" xfId="0" applyFont="1" applyBorder="1" applyAlignment="1">
      <alignment wrapText="1"/>
    </xf>
    <xf numFmtId="0" fontId="3" fillId="0" borderId="14" xfId="0" applyFont="1" applyBorder="1" applyAlignment="1">
      <alignment wrapText="1"/>
    </xf>
    <xf numFmtId="0" fontId="3" fillId="0" borderId="3" xfId="0" applyFont="1" applyFill="1" applyBorder="1" applyAlignment="1">
      <alignment horizontal="center" vertical="center" wrapText="1"/>
    </xf>
    <xf numFmtId="193" fontId="3" fillId="36" borderId="18" xfId="0" applyNumberFormat="1" applyFont="1" applyFill="1" applyBorder="1"/>
    <xf numFmtId="9" fontId="3" fillId="36" borderId="19" xfId="20962" applyFont="1" applyFill="1" applyBorder="1"/>
    <xf numFmtId="0" fontId="86" fillId="0" borderId="0" xfId="0" applyFont="1" applyFill="1" applyBorder="1" applyAlignment="1">
      <alignment horizontal="center" wrapText="1"/>
    </xf>
    <xf numFmtId="0" fontId="84" fillId="0" borderId="0" xfId="0" applyFont="1" applyFill="1" applyBorder="1" applyAlignment="1">
      <alignment vertical="center" wrapText="1"/>
    </xf>
    <xf numFmtId="0" fontId="84" fillId="0" borderId="62" xfId="0" applyFont="1" applyFill="1" applyBorder="1" applyAlignment="1">
      <alignment vertical="center" wrapText="1"/>
    </xf>
    <xf numFmtId="0" fontId="84" fillId="0" borderId="15" xfId="0" applyFont="1" applyFill="1" applyBorder="1"/>
    <xf numFmtId="193" fontId="86" fillId="36" borderId="18"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0"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3" fillId="0" borderId="0" xfId="0" applyFont="1" applyFill="1"/>
    <xf numFmtId="0" fontId="99" fillId="3" borderId="72" xfId="0" applyFont="1" applyFill="1" applyBorder="1" applyAlignment="1">
      <alignment horizontal="left"/>
    </xf>
    <xf numFmtId="0" fontId="99" fillId="3" borderId="73" xfId="0" applyFont="1" applyFill="1" applyBorder="1" applyAlignment="1">
      <alignment horizontal="left"/>
    </xf>
    <xf numFmtId="0" fontId="4" fillId="3" borderId="76" xfId="0" applyFont="1" applyFill="1" applyBorder="1" applyAlignment="1">
      <alignment vertical="center"/>
    </xf>
    <xf numFmtId="0" fontId="3" fillId="3" borderId="77" xfId="0" applyFont="1" applyFill="1" applyBorder="1" applyAlignment="1">
      <alignment vertical="center"/>
    </xf>
    <xf numFmtId="0" fontId="3" fillId="3" borderId="78" xfId="0" applyFont="1" applyFill="1" applyBorder="1" applyAlignment="1">
      <alignment vertical="center"/>
    </xf>
    <xf numFmtId="0" fontId="3" fillId="0" borderId="61" xfId="0" applyFont="1" applyFill="1" applyBorder="1" applyAlignment="1">
      <alignment horizontal="center" vertical="center"/>
    </xf>
    <xf numFmtId="0" fontId="3" fillId="0" borderId="7" xfId="0" applyFont="1" applyFill="1" applyBorder="1" applyAlignment="1">
      <alignment vertical="center"/>
    </xf>
    <xf numFmtId="0" fontId="3" fillId="0" borderId="15" xfId="0" applyFont="1" applyFill="1" applyBorder="1" applyAlignment="1">
      <alignment horizontal="center" vertical="center"/>
    </xf>
    <xf numFmtId="0" fontId="3" fillId="0" borderId="74" xfId="0" applyFont="1" applyFill="1" applyBorder="1" applyAlignment="1">
      <alignment vertical="center"/>
    </xf>
    <xf numFmtId="0" fontId="4" fillId="0" borderId="74" xfId="0" applyFont="1" applyFill="1" applyBorder="1" applyAlignment="1">
      <alignment vertical="center"/>
    </xf>
    <xf numFmtId="0" fontId="3" fillId="0" borderId="17" xfId="0" applyFont="1" applyFill="1" applyBorder="1" applyAlignment="1">
      <alignment horizontal="center" vertical="center"/>
    </xf>
    <xf numFmtId="0" fontId="4" fillId="0" borderId="18" xfId="0" applyFont="1" applyFill="1" applyBorder="1" applyAlignment="1">
      <alignment vertical="center"/>
    </xf>
    <xf numFmtId="0" fontId="3" fillId="3" borderId="57" xfId="0" applyFont="1" applyFill="1" applyBorder="1" applyAlignment="1">
      <alignment horizontal="center" vertical="center"/>
    </xf>
    <xf numFmtId="0" fontId="3" fillId="3" borderId="0" xfId="0" applyFont="1" applyFill="1" applyBorder="1" applyAlignment="1">
      <alignment vertical="center"/>
    </xf>
    <xf numFmtId="0" fontId="3" fillId="0" borderId="12" xfId="0" applyFont="1" applyFill="1" applyBorder="1" applyAlignment="1">
      <alignment horizontal="center" vertical="center"/>
    </xf>
    <xf numFmtId="0" fontId="3" fillId="0" borderId="13" xfId="0" applyFont="1" applyFill="1" applyBorder="1" applyAlignment="1">
      <alignment vertical="center"/>
    </xf>
    <xf numFmtId="0" fontId="3" fillId="0" borderId="80" xfId="0" applyFont="1" applyFill="1" applyBorder="1" applyAlignment="1">
      <alignment horizontal="center" vertical="center"/>
    </xf>
    <xf numFmtId="0" fontId="3" fillId="0" borderId="81" xfId="0" applyFont="1" applyFill="1" applyBorder="1" applyAlignment="1">
      <alignment vertical="center"/>
    </xf>
    <xf numFmtId="169" fontId="9" fillId="37" borderId="20" xfId="20" applyBorder="1"/>
    <xf numFmtId="169" fontId="9" fillId="37" borderId="82" xfId="20" applyBorder="1"/>
    <xf numFmtId="169" fontId="9" fillId="37" borderId="21" xfId="20" applyBorder="1"/>
    <xf numFmtId="0" fontId="3" fillId="0" borderId="83" xfId="0" applyFont="1" applyFill="1" applyBorder="1" applyAlignment="1">
      <alignment horizontal="center" vertical="center"/>
    </xf>
    <xf numFmtId="0" fontId="3" fillId="0" borderId="84" xfId="0" applyFont="1" applyFill="1" applyBorder="1" applyAlignment="1">
      <alignment vertical="center"/>
    </xf>
    <xf numFmtId="0" fontId="4" fillId="0" borderId="0" xfId="0" applyFont="1" applyFill="1" applyAlignment="1">
      <alignment horizontal="center"/>
    </xf>
    <xf numFmtId="0" fontId="86" fillId="0" borderId="75" xfId="0" applyFont="1" applyFill="1" applyBorder="1" applyAlignment="1">
      <alignment horizontal="center" vertical="center" wrapText="1"/>
    </xf>
    <xf numFmtId="0" fontId="94" fillId="0" borderId="0" xfId="11" applyFont="1" applyFill="1" applyBorder="1" applyProtection="1"/>
    <xf numFmtId="0" fontId="4" fillId="36" borderId="13" xfId="0" applyFont="1" applyFill="1" applyBorder="1" applyAlignment="1">
      <alignment horizontal="center" vertical="center" wrapText="1"/>
    </xf>
    <xf numFmtId="0" fontId="4" fillId="36" borderId="14" xfId="0" applyFont="1" applyFill="1" applyBorder="1" applyAlignment="1">
      <alignment horizontal="center" vertical="center" wrapText="1"/>
    </xf>
    <xf numFmtId="0" fontId="4" fillId="36" borderId="15" xfId="0" applyFont="1" applyFill="1" applyBorder="1" applyAlignment="1">
      <alignment horizontal="left" vertical="center" wrapText="1"/>
    </xf>
    <xf numFmtId="0" fontId="4" fillId="36" borderId="75" xfId="0" applyFont="1" applyFill="1" applyBorder="1" applyAlignment="1">
      <alignment horizontal="left" vertical="center" wrapText="1"/>
    </xf>
    <xf numFmtId="0" fontId="3" fillId="0" borderId="15" xfId="0" applyFont="1" applyFill="1" applyBorder="1" applyAlignment="1">
      <alignment horizontal="right" vertical="center" wrapText="1"/>
    </xf>
    <xf numFmtId="0" fontId="100" fillId="0" borderId="15" xfId="0" applyFont="1" applyFill="1" applyBorder="1" applyAlignment="1">
      <alignment horizontal="right" vertical="center" wrapText="1"/>
    </xf>
    <xf numFmtId="0" fontId="4" fillId="0" borderId="15"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17" xfId="5" applyNumberFormat="1" applyFont="1" applyFill="1" applyBorder="1" applyAlignment="1" applyProtection="1">
      <alignment horizontal="left" vertical="center"/>
      <protection locked="0"/>
    </xf>
    <xf numFmtId="0" fontId="102" fillId="0" borderId="18" xfId="9" applyFont="1" applyFill="1" applyBorder="1" applyAlignment="1" applyProtection="1">
      <alignment horizontal="left" vertical="center" wrapText="1"/>
      <protection locked="0"/>
    </xf>
    <xf numFmtId="3" fontId="103" fillId="36" borderId="75" xfId="0" applyNumberFormat="1" applyFont="1" applyFill="1" applyBorder="1" applyAlignment="1">
      <alignment vertical="center" wrapText="1"/>
    </xf>
    <xf numFmtId="3" fontId="103" fillId="36" borderId="18" xfId="0" applyNumberFormat="1" applyFont="1" applyFill="1" applyBorder="1" applyAlignment="1">
      <alignment vertical="center" wrapText="1"/>
    </xf>
    <xf numFmtId="3" fontId="103" fillId="36" borderId="19" xfId="0" applyNumberFormat="1" applyFont="1" applyFill="1" applyBorder="1" applyAlignment="1">
      <alignment vertical="center" wrapText="1"/>
    </xf>
    <xf numFmtId="0" fontId="6" fillId="0" borderId="74" xfId="17" applyFill="1" applyBorder="1" applyAlignment="1" applyProtection="1"/>
    <xf numFmtId="49" fontId="84" fillId="0" borderId="74"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6" borderId="89" xfId="20964" applyFont="1" applyFill="1" applyBorder="1" applyAlignment="1">
      <alignment vertical="center"/>
    </xf>
    <xf numFmtId="0" fontId="45" fillId="76" borderId="90" xfId="20964" applyFont="1" applyFill="1" applyBorder="1" applyAlignment="1">
      <alignment vertical="center"/>
    </xf>
    <xf numFmtId="0" fontId="45" fillId="76" borderId="87" xfId="20964" applyFont="1" applyFill="1" applyBorder="1" applyAlignment="1">
      <alignment vertical="center"/>
    </xf>
    <xf numFmtId="0" fontId="105" fillId="70" borderId="86" xfId="20964" applyFont="1" applyFill="1" applyBorder="1" applyAlignment="1">
      <alignment horizontal="center" vertical="center"/>
    </xf>
    <xf numFmtId="0" fontId="105" fillId="70" borderId="87" xfId="20964" applyFont="1" applyFill="1" applyBorder="1" applyAlignment="1">
      <alignment horizontal="left" vertical="center" wrapText="1"/>
    </xf>
    <xf numFmtId="0" fontId="104" fillId="77" borderId="88" xfId="20964" applyFont="1" applyFill="1" applyBorder="1" applyAlignment="1">
      <alignment horizontal="center" vertical="center"/>
    </xf>
    <xf numFmtId="0" fontId="104" fillId="77" borderId="90" xfId="20964" applyFont="1" applyFill="1" applyBorder="1" applyAlignment="1">
      <alignment vertical="top" wrapText="1"/>
    </xf>
    <xf numFmtId="0" fontId="106" fillId="70" borderId="86" xfId="20964" applyFont="1" applyFill="1" applyBorder="1" applyAlignment="1">
      <alignment horizontal="center" vertical="center"/>
    </xf>
    <xf numFmtId="0" fontId="105" fillId="70" borderId="90" xfId="20964" applyFont="1" applyFill="1" applyBorder="1" applyAlignment="1">
      <alignment vertical="center" wrapText="1"/>
    </xf>
    <xf numFmtId="0" fontId="105" fillId="70" borderId="87" xfId="20964" applyFont="1" applyFill="1" applyBorder="1" applyAlignment="1">
      <alignment horizontal="left" vertical="center"/>
    </xf>
    <xf numFmtId="0" fontId="106" fillId="3" borderId="86" xfId="20964" applyFont="1" applyFill="1" applyBorder="1" applyAlignment="1">
      <alignment horizontal="center" vertical="center"/>
    </xf>
    <xf numFmtId="0" fontId="105" fillId="3" borderId="87" xfId="20964" applyFont="1" applyFill="1" applyBorder="1" applyAlignment="1">
      <alignment horizontal="left" vertical="center"/>
    </xf>
    <xf numFmtId="0" fontId="106" fillId="0" borderId="86" xfId="20964" applyFont="1" applyFill="1" applyBorder="1" applyAlignment="1">
      <alignment horizontal="center" vertical="center"/>
    </xf>
    <xf numFmtId="0" fontId="105" fillId="0" borderId="87" xfId="20964" applyFont="1" applyFill="1" applyBorder="1" applyAlignment="1">
      <alignment horizontal="left" vertical="center"/>
    </xf>
    <xf numFmtId="0" fontId="107" fillId="77" borderId="88" xfId="20964" applyFont="1" applyFill="1" applyBorder="1" applyAlignment="1">
      <alignment horizontal="center" vertical="center"/>
    </xf>
    <xf numFmtId="0" fontId="104" fillId="77" borderId="90" xfId="20964" applyFont="1" applyFill="1" applyBorder="1" applyAlignment="1">
      <alignment vertical="center"/>
    </xf>
    <xf numFmtId="0" fontId="104" fillId="76" borderId="89" xfId="20964" applyFont="1" applyFill="1" applyBorder="1" applyAlignment="1">
      <alignment vertical="center"/>
    </xf>
    <xf numFmtId="0" fontId="104" fillId="76" borderId="90" xfId="20964" applyFont="1" applyFill="1" applyBorder="1" applyAlignment="1">
      <alignment vertical="center"/>
    </xf>
    <xf numFmtId="0" fontId="109" fillId="3" borderId="86" xfId="20964" applyFont="1" applyFill="1" applyBorder="1" applyAlignment="1">
      <alignment horizontal="center" vertical="center"/>
    </xf>
    <xf numFmtId="0" fontId="110" fillId="77" borderId="88" xfId="20964" applyFont="1" applyFill="1" applyBorder="1" applyAlignment="1">
      <alignment horizontal="center" vertical="center"/>
    </xf>
    <xf numFmtId="0" fontId="45" fillId="77" borderId="90" xfId="20964" applyFont="1" applyFill="1" applyBorder="1" applyAlignment="1">
      <alignment vertical="center"/>
    </xf>
    <xf numFmtId="0" fontId="109" fillId="70" borderId="86" xfId="20964" applyFont="1" applyFill="1" applyBorder="1" applyAlignment="1">
      <alignment horizontal="center" vertical="center"/>
    </xf>
    <xf numFmtId="0" fontId="110" fillId="3" borderId="88" xfId="20964" applyFont="1" applyFill="1" applyBorder="1" applyAlignment="1">
      <alignment horizontal="center" vertical="center"/>
    </xf>
    <xf numFmtId="0" fontId="45" fillId="3" borderId="90" xfId="20964" applyFont="1" applyFill="1" applyBorder="1" applyAlignment="1">
      <alignment vertical="center"/>
    </xf>
    <xf numFmtId="0" fontId="106" fillId="70" borderId="88" xfId="20964" applyFont="1" applyFill="1" applyBorder="1" applyAlignment="1">
      <alignment horizontal="center" vertical="center"/>
    </xf>
    <xf numFmtId="0" fontId="19" fillId="70" borderId="88" xfId="20964" applyFont="1" applyFill="1" applyBorder="1" applyAlignment="1">
      <alignment horizontal="center" vertical="center"/>
    </xf>
    <xf numFmtId="0" fontId="100" fillId="0" borderId="88" xfId="0" applyFont="1" applyFill="1" applyBorder="1" applyAlignment="1">
      <alignment horizontal="left" vertical="center" wrapText="1"/>
    </xf>
    <xf numFmtId="10" fontId="4" fillId="36" borderId="88" xfId="0" applyNumberFormat="1" applyFont="1" applyFill="1" applyBorder="1" applyAlignment="1">
      <alignment horizontal="center" vertical="center" wrapText="1"/>
    </xf>
    <xf numFmtId="10" fontId="102" fillId="0" borderId="18" xfId="20962" applyNumberFormat="1" applyFont="1" applyFill="1" applyBorder="1" applyAlignment="1" applyProtection="1">
      <alignment horizontal="left" vertical="center"/>
    </xf>
    <xf numFmtId="0" fontId="4" fillId="36" borderId="88" xfId="0" applyFont="1" applyFill="1" applyBorder="1" applyAlignment="1">
      <alignment horizontal="left" vertical="center" wrapText="1"/>
    </xf>
    <xf numFmtId="0" fontId="3" fillId="0" borderId="88" xfId="0" applyFont="1" applyFill="1" applyBorder="1" applyAlignment="1">
      <alignment horizontal="left" vertical="center" wrapText="1"/>
    </xf>
    <xf numFmtId="0" fontId="4" fillId="36" borderId="76" xfId="0" applyFont="1" applyFill="1" applyBorder="1" applyAlignment="1">
      <alignment vertical="center" wrapText="1"/>
    </xf>
    <xf numFmtId="0" fontId="4" fillId="36" borderId="87" xfId="0" applyFont="1" applyFill="1" applyBorder="1" applyAlignment="1">
      <alignment vertical="center" wrapText="1"/>
    </xf>
    <xf numFmtId="0" fontId="4" fillId="36" borderId="63" xfId="0" applyFont="1" applyFill="1" applyBorder="1" applyAlignment="1">
      <alignment vertical="center" wrapText="1"/>
    </xf>
    <xf numFmtId="0" fontId="4" fillId="36" borderId="25" xfId="0" applyFont="1" applyFill="1" applyBorder="1" applyAlignment="1">
      <alignment vertical="center" wrapText="1"/>
    </xf>
    <xf numFmtId="0" fontId="84" fillId="0" borderId="88" xfId="0" applyFont="1" applyBorder="1"/>
    <xf numFmtId="0" fontId="6" fillId="0" borderId="88" xfId="17" applyFill="1" applyBorder="1" applyAlignment="1" applyProtection="1">
      <alignment horizontal="left" vertical="center"/>
    </xf>
    <xf numFmtId="0" fontId="6" fillId="0" borderId="88" xfId="17" applyBorder="1" applyAlignment="1" applyProtection="1"/>
    <xf numFmtId="0" fontId="84" fillId="0" borderId="88" xfId="0" applyFont="1" applyFill="1" applyBorder="1"/>
    <xf numFmtId="0" fontId="6" fillId="0" borderId="88" xfId="17" applyFill="1" applyBorder="1" applyAlignment="1" applyProtection="1">
      <alignment horizontal="left" vertical="center" wrapText="1"/>
    </xf>
    <xf numFmtId="0" fontId="6" fillId="0" borderId="88" xfId="17" applyFill="1" applyBorder="1" applyAlignment="1" applyProtection="1"/>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2" fillId="0" borderId="13" xfId="0" applyNumberFormat="1" applyFont="1" applyFill="1" applyBorder="1" applyAlignment="1">
      <alignment horizontal="left" vertical="center" wrapText="1" indent="1"/>
    </xf>
    <xf numFmtId="0" fontId="2" fillId="0" borderId="14" xfId="0" applyNumberFormat="1" applyFont="1" applyFill="1" applyBorder="1" applyAlignment="1">
      <alignment horizontal="left" vertical="center" wrapText="1" indent="1"/>
    </xf>
    <xf numFmtId="14" fontId="2" fillId="0" borderId="0" xfId="0" applyNumberFormat="1" applyFont="1"/>
    <xf numFmtId="0" fontId="2" fillId="0" borderId="15" xfId="0" applyFont="1" applyFill="1" applyBorder="1" applyAlignment="1">
      <alignment horizontal="right" vertical="center" wrapText="1"/>
    </xf>
    <xf numFmtId="0" fontId="2" fillId="2" borderId="15" xfId="0" applyFont="1" applyFill="1" applyBorder="1" applyAlignment="1">
      <alignment horizontal="right" vertical="center"/>
    </xf>
    <xf numFmtId="0" fontId="45" fillId="0" borderId="15" xfId="0" applyFont="1" applyFill="1" applyBorder="1" applyAlignment="1">
      <alignment horizontal="center" vertical="center" wrapText="1"/>
    </xf>
    <xf numFmtId="0" fontId="2" fillId="2" borderId="17"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48" xfId="0" applyFont="1" applyFill="1" applyBorder="1"/>
    <xf numFmtId="0" fontId="3" fillId="3" borderId="91" xfId="0" applyFont="1" applyFill="1" applyBorder="1" applyAlignment="1">
      <alignment wrapText="1"/>
    </xf>
    <xf numFmtId="0" fontId="3" fillId="3" borderId="92" xfId="0" applyFont="1" applyFill="1" applyBorder="1"/>
    <xf numFmtId="0" fontId="4" fillId="3" borderId="69" xfId="0" applyFont="1" applyFill="1" applyBorder="1" applyAlignment="1">
      <alignment horizontal="center" wrapText="1"/>
    </xf>
    <xf numFmtId="0" fontId="3" fillId="0" borderId="88" xfId="0" applyFont="1" applyFill="1" applyBorder="1" applyAlignment="1">
      <alignment horizontal="center"/>
    </xf>
    <xf numFmtId="0" fontId="3" fillId="0" borderId="88" xfId="0" applyFont="1" applyBorder="1" applyAlignment="1">
      <alignment horizontal="center"/>
    </xf>
    <xf numFmtId="0" fontId="3" fillId="3" borderId="57"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85" xfId="0" applyFont="1" applyFill="1" applyBorder="1" applyAlignment="1">
      <alignment horizontal="center" vertical="center" wrapText="1"/>
    </xf>
    <xf numFmtId="0" fontId="3" fillId="0" borderId="15" xfId="0" applyFont="1" applyBorder="1"/>
    <xf numFmtId="0" fontId="3" fillId="0" borderId="88" xfId="0" applyFont="1" applyBorder="1" applyAlignment="1">
      <alignment wrapText="1"/>
    </xf>
    <xf numFmtId="0" fontId="99" fillId="0" borderId="88" xfId="0" applyFont="1" applyBorder="1" applyAlignment="1">
      <alignment horizontal="left" wrapText="1" indent="2"/>
    </xf>
    <xf numFmtId="0" fontId="4" fillId="0" borderId="15" xfId="0" applyFont="1" applyBorder="1"/>
    <xf numFmtId="0" fontId="4" fillId="0" borderId="88" xfId="0" applyFont="1" applyBorder="1" applyAlignment="1">
      <alignment wrapText="1"/>
    </xf>
    <xf numFmtId="0" fontId="111" fillId="3" borderId="57" xfId="0" applyFont="1" applyFill="1" applyBorder="1" applyAlignment="1">
      <alignment horizontal="left"/>
    </xf>
    <xf numFmtId="0" fontId="111" fillId="3" borderId="0" xfId="0" applyFont="1" applyFill="1" applyBorder="1" applyAlignment="1">
      <alignment horizontal="center"/>
    </xf>
    <xf numFmtId="0" fontId="99" fillId="0" borderId="88"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85" xfId="0" applyFont="1" applyFill="1" applyBorder="1"/>
    <xf numFmtId="0" fontId="4" fillId="0" borderId="17" xfId="0" applyFont="1" applyBorder="1"/>
    <xf numFmtId="0" fontId="4" fillId="0" borderId="18" xfId="0" applyFont="1" applyBorder="1" applyAlignment="1">
      <alignment wrapText="1"/>
    </xf>
    <xf numFmtId="10" fontId="4" fillId="0" borderId="19" xfId="20962" applyNumberFormat="1" applyFont="1" applyBorder="1"/>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3" fillId="0" borderId="0" xfId="0" applyFont="1" applyFill="1"/>
    <xf numFmtId="0" fontId="115" fillId="0" borderId="62" xfId="0" applyNumberFormat="1" applyFont="1" applyFill="1" applyBorder="1" applyAlignment="1">
      <alignment horizontal="left" vertical="center" wrapText="1"/>
    </xf>
    <xf numFmtId="0" fontId="6" fillId="0" borderId="103" xfId="17" applyBorder="1" applyAlignment="1" applyProtection="1"/>
    <xf numFmtId="0" fontId="113" fillId="0" borderId="0" xfId="0" applyFont="1" applyFill="1" applyAlignment="1">
      <alignment horizontal="left" vertical="top" wrapText="1"/>
    </xf>
    <xf numFmtId="0" fontId="0" fillId="0" borderId="103" xfId="0" applyBorder="1" applyAlignment="1">
      <alignment horizontal="center"/>
    </xf>
    <xf numFmtId="0" fontId="124" fillId="3" borderId="103" xfId="20966" applyFont="1" applyFill="1" applyBorder="1" applyAlignment="1">
      <alignment horizontal="left" vertical="center" wrapText="1"/>
    </xf>
    <xf numFmtId="0" fontId="125" fillId="0" borderId="103" xfId="20966" applyFont="1" applyFill="1" applyBorder="1" applyAlignment="1">
      <alignment horizontal="left" vertical="center" wrapText="1" indent="1"/>
    </xf>
    <xf numFmtId="0" fontId="126" fillId="3" borderId="109" xfId="0" applyFont="1" applyFill="1" applyBorder="1" applyAlignment="1">
      <alignment horizontal="left" vertical="center" wrapText="1"/>
    </xf>
    <xf numFmtId="0" fontId="125" fillId="3" borderId="103" xfId="20966" applyFont="1" applyFill="1" applyBorder="1" applyAlignment="1">
      <alignment horizontal="left" vertical="center" wrapText="1" indent="1"/>
    </xf>
    <xf numFmtId="0" fontId="124" fillId="0" borderId="109" xfId="0" applyFont="1" applyFill="1" applyBorder="1" applyAlignment="1">
      <alignment horizontal="left" vertical="center" wrapText="1"/>
    </xf>
    <xf numFmtId="0" fontId="126" fillId="0" borderId="109" xfId="0" applyFont="1" applyFill="1" applyBorder="1" applyAlignment="1">
      <alignment horizontal="left" vertical="center" wrapText="1"/>
    </xf>
    <xf numFmtId="0" fontId="127" fillId="0" borderId="109" xfId="0" applyFont="1" applyFill="1" applyBorder="1" applyAlignment="1">
      <alignment horizontal="left" vertical="center" wrapText="1" indent="1"/>
    </xf>
    <xf numFmtId="0" fontId="127" fillId="3" borderId="109" xfId="0" applyFont="1" applyFill="1" applyBorder="1" applyAlignment="1">
      <alignment horizontal="left" vertical="center" wrapText="1" indent="1"/>
    </xf>
    <xf numFmtId="0" fontId="126" fillId="3" borderId="110" xfId="0" applyFont="1" applyFill="1" applyBorder="1" applyAlignment="1">
      <alignment horizontal="left" vertical="center" wrapText="1"/>
    </xf>
    <xf numFmtId="0" fontId="127" fillId="0" borderId="103" xfId="20966" applyFont="1" applyFill="1" applyBorder="1" applyAlignment="1">
      <alignment horizontal="left" vertical="center" wrapText="1" indent="1"/>
    </xf>
    <xf numFmtId="0" fontId="126" fillId="0" borderId="103" xfId="0" applyFont="1" applyFill="1" applyBorder="1" applyAlignment="1">
      <alignment horizontal="left" vertical="center" wrapText="1"/>
    </xf>
    <xf numFmtId="0" fontId="128" fillId="0" borderId="103" xfId="20966" applyFont="1" applyFill="1" applyBorder="1" applyAlignment="1">
      <alignment horizontal="center" vertical="center" wrapText="1"/>
    </xf>
    <xf numFmtId="0" fontId="126" fillId="3" borderId="111" xfId="0" applyFont="1" applyFill="1" applyBorder="1" applyAlignment="1">
      <alignment horizontal="left" vertical="center" wrapText="1"/>
    </xf>
    <xf numFmtId="0" fontId="0" fillId="0" borderId="112" xfId="0" applyBorder="1" applyAlignment="1">
      <alignment horizontal="center"/>
    </xf>
    <xf numFmtId="0" fontId="125" fillId="3" borderId="112" xfId="20966" applyFont="1" applyFill="1" applyBorder="1" applyAlignment="1">
      <alignment horizontal="left" vertical="center" wrapText="1" indent="1"/>
    </xf>
    <xf numFmtId="0" fontId="125" fillId="3" borderId="109" xfId="0" applyFont="1" applyFill="1" applyBorder="1" applyAlignment="1">
      <alignment horizontal="left" vertical="center" wrapText="1" indent="1"/>
    </xf>
    <xf numFmtId="0" fontId="125" fillId="0" borderId="112" xfId="20966" applyFont="1" applyFill="1" applyBorder="1" applyAlignment="1">
      <alignment horizontal="left" vertical="center" wrapText="1" indent="1"/>
    </xf>
    <xf numFmtId="0" fontId="126" fillId="0" borderId="112" xfId="20966" applyFont="1" applyFill="1" applyBorder="1" applyAlignment="1">
      <alignment horizontal="left" vertical="center" wrapText="1"/>
    </xf>
    <xf numFmtId="0" fontId="126" fillId="0" borderId="112" xfId="0" applyFont="1" applyFill="1" applyBorder="1" applyAlignment="1">
      <alignment vertical="center" wrapText="1"/>
    </xf>
    <xf numFmtId="0" fontId="128" fillId="0" borderId="112" xfId="20966" applyFont="1" applyFill="1" applyBorder="1" applyAlignment="1">
      <alignment horizontal="center" vertical="center" wrapText="1"/>
    </xf>
    <xf numFmtId="0" fontId="126" fillId="3" borderId="112" xfId="20966" applyFont="1" applyFill="1" applyBorder="1" applyAlignment="1">
      <alignment horizontal="left" vertical="center" wrapText="1"/>
    </xf>
    <xf numFmtId="0" fontId="126" fillId="0" borderId="112"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12" xfId="0" applyFont="1" applyFill="1" applyBorder="1" applyAlignment="1" applyProtection="1">
      <alignment horizontal="center" vertical="center" wrapText="1"/>
    </xf>
    <xf numFmtId="193" fontId="94" fillId="0" borderId="112" xfId="0" applyNumberFormat="1" applyFont="1" applyFill="1" applyBorder="1" applyAlignment="1" applyProtection="1">
      <alignment horizontal="right"/>
    </xf>
    <xf numFmtId="193" fontId="94" fillId="36" borderId="112" xfId="0" applyNumberFormat="1" applyFont="1" applyFill="1" applyBorder="1" applyAlignment="1" applyProtection="1">
      <alignment horizontal="right"/>
    </xf>
    <xf numFmtId="0" fontId="2" fillId="0" borderId="112" xfId="0" applyFont="1" applyFill="1" applyBorder="1" applyAlignment="1" applyProtection="1">
      <alignment horizontal="left" vertical="center" indent="11"/>
      <protection locked="0"/>
    </xf>
    <xf numFmtId="0" fontId="46" fillId="0" borderId="112" xfId="0" applyFont="1" applyFill="1" applyBorder="1" applyAlignment="1" applyProtection="1">
      <alignment horizontal="left" vertical="center" indent="17"/>
      <protection locked="0"/>
    </xf>
    <xf numFmtId="0" fontId="111" fillId="0" borderId="112" xfId="0" applyFont="1" applyBorder="1" applyAlignment="1">
      <alignment vertical="center"/>
    </xf>
    <xf numFmtId="0" fontId="95" fillId="0" borderId="112" xfId="0" applyNumberFormat="1" applyFont="1" applyFill="1" applyBorder="1" applyAlignment="1">
      <alignment vertical="center" wrapText="1"/>
    </xf>
    <xf numFmtId="193" fontId="94" fillId="0" borderId="0" xfId="0" applyNumberFormat="1" applyFont="1" applyFill="1" applyBorder="1" applyAlignment="1" applyProtection="1">
      <alignment horizontal="right"/>
    </xf>
    <xf numFmtId="0" fontId="125" fillId="3" borderId="110" xfId="0" applyFont="1" applyFill="1" applyBorder="1" applyAlignment="1">
      <alignment horizontal="left" vertical="center" wrapText="1" indent="1"/>
    </xf>
    <xf numFmtId="0" fontId="125" fillId="3" borderId="112" xfId="0" applyFont="1" applyFill="1" applyBorder="1" applyAlignment="1">
      <alignment horizontal="left" vertical="center" wrapText="1" indent="1"/>
    </xf>
    <xf numFmtId="167" fontId="84" fillId="0" borderId="112" xfId="0" applyNumberFormat="1" applyFont="1" applyBorder="1" applyAlignment="1">
      <alignment horizontal="center"/>
    </xf>
    <xf numFmtId="0" fontId="126" fillId="0" borderId="112" xfId="0" applyFont="1" applyBorder="1" applyAlignment="1">
      <alignment horizontal="left" vertical="center" wrapText="1"/>
    </xf>
    <xf numFmtId="0" fontId="84" fillId="0" borderId="112" xfId="0" applyFont="1" applyBorder="1"/>
    <xf numFmtId="0" fontId="125" fillId="0" borderId="112" xfId="0" applyFont="1" applyBorder="1" applyAlignment="1">
      <alignment horizontal="left" vertical="center" wrapText="1" indent="1"/>
    </xf>
    <xf numFmtId="0" fontId="126" fillId="3" borderId="112" xfId="0" applyFont="1" applyFill="1" applyBorder="1" applyAlignment="1">
      <alignment horizontal="left" vertical="center" wrapText="1"/>
    </xf>
    <xf numFmtId="0" fontId="127" fillId="3" borderId="112" xfId="0" applyFont="1" applyFill="1" applyBorder="1" applyAlignment="1">
      <alignment horizontal="left" vertical="center" wrapText="1" indent="1"/>
    </xf>
    <xf numFmtId="0" fontId="129" fillId="0" borderId="112" xfId="0" applyFont="1" applyBorder="1" applyAlignment="1">
      <alignment horizontal="justify"/>
    </xf>
    <xf numFmtId="167" fontId="86" fillId="0" borderId="112" xfId="0" applyNumberFormat="1" applyFont="1" applyFill="1" applyBorder="1" applyAlignment="1">
      <alignment horizontal="center"/>
    </xf>
    <xf numFmtId="167" fontId="86" fillId="0" borderId="50" xfId="0" applyNumberFormat="1" applyFont="1" applyFill="1" applyBorder="1" applyAlignment="1">
      <alignment horizontal="center"/>
    </xf>
    <xf numFmtId="167" fontId="84" fillId="0" borderId="52" xfId="0" applyNumberFormat="1" applyFont="1" applyFill="1" applyBorder="1" applyAlignment="1">
      <alignment horizontal="center"/>
    </xf>
    <xf numFmtId="167" fontId="87" fillId="0" borderId="52" xfId="0" applyNumberFormat="1" applyFont="1" applyFill="1" applyBorder="1" applyAlignment="1">
      <alignment horizontal="center"/>
    </xf>
    <xf numFmtId="167" fontId="46" fillId="0" borderId="52" xfId="0" applyNumberFormat="1" applyFont="1" applyFill="1" applyBorder="1" applyAlignment="1">
      <alignment horizontal="center"/>
    </xf>
    <xf numFmtId="167" fontId="84" fillId="0" borderId="55" xfId="0" applyNumberFormat="1" applyFont="1" applyFill="1" applyBorder="1" applyAlignment="1">
      <alignment horizontal="center"/>
    </xf>
    <xf numFmtId="0" fontId="125" fillId="0" borderId="112" xfId="0" applyFont="1" applyFill="1" applyBorder="1" applyAlignment="1">
      <alignment horizontal="left" vertical="center" wrapText="1" indent="1"/>
    </xf>
    <xf numFmtId="0" fontId="113" fillId="0" borderId="0" xfId="0" applyFont="1"/>
    <xf numFmtId="0" fontId="116" fillId="0" borderId="112" xfId="0" applyFont="1" applyBorder="1"/>
    <xf numFmtId="49" fontId="118" fillId="0" borderId="112" xfId="5" applyNumberFormat="1" applyFont="1" applyFill="1" applyBorder="1" applyAlignment="1" applyProtection="1">
      <alignment horizontal="right" vertical="center"/>
      <protection locked="0"/>
    </xf>
    <xf numFmtId="0" fontId="117" fillId="3" borderId="112" xfId="13" applyFont="1" applyFill="1" applyBorder="1" applyAlignment="1" applyProtection="1">
      <alignment horizontal="left" vertical="center" wrapText="1"/>
      <protection locked="0"/>
    </xf>
    <xf numFmtId="49" fontId="117" fillId="3" borderId="112" xfId="5" applyNumberFormat="1" applyFont="1" applyFill="1" applyBorder="1" applyAlignment="1" applyProtection="1">
      <alignment horizontal="right" vertical="center"/>
      <protection locked="0"/>
    </xf>
    <xf numFmtId="0" fontId="117" fillId="0" borderId="112" xfId="13" applyFont="1" applyFill="1" applyBorder="1" applyAlignment="1" applyProtection="1">
      <alignment horizontal="left" vertical="center" wrapText="1"/>
      <protection locked="0"/>
    </xf>
    <xf numFmtId="49" fontId="117" fillId="0" borderId="112" xfId="5" applyNumberFormat="1" applyFont="1" applyFill="1" applyBorder="1" applyAlignment="1" applyProtection="1">
      <alignment horizontal="right" vertical="center"/>
      <protection locked="0"/>
    </xf>
    <xf numFmtId="0" fontId="119" fillId="0" borderId="112" xfId="13" applyFont="1" applyFill="1" applyBorder="1" applyAlignment="1" applyProtection="1">
      <alignment horizontal="left" vertical="center" wrapText="1"/>
      <protection locked="0"/>
    </xf>
    <xf numFmtId="0" fontId="116" fillId="0" borderId="112" xfId="0" applyFont="1" applyFill="1" applyBorder="1" applyAlignment="1">
      <alignment horizontal="center" vertical="center" wrapText="1"/>
    </xf>
    <xf numFmtId="14" fontId="113" fillId="0" borderId="0" xfId="0" applyNumberFormat="1" applyFont="1"/>
    <xf numFmtId="43" fontId="96" fillId="0" borderId="0" xfId="7" applyFont="1"/>
    <xf numFmtId="0" fontId="113" fillId="0" borderId="0" xfId="0" applyFont="1" applyAlignment="1">
      <alignment wrapText="1"/>
    </xf>
    <xf numFmtId="0" fontId="112" fillId="0" borderId="112" xfId="0" applyFont="1" applyBorder="1"/>
    <xf numFmtId="0" fontId="112" fillId="0" borderId="112" xfId="0" applyFont="1" applyFill="1" applyBorder="1"/>
    <xf numFmtId="0" fontId="112" fillId="0" borderId="112" xfId="0" applyFont="1" applyBorder="1" applyAlignment="1">
      <alignment horizontal="left" indent="8"/>
    </xf>
    <xf numFmtId="0" fontId="112" fillId="0" borderId="112" xfId="0" applyFont="1" applyBorder="1" applyAlignment="1">
      <alignment wrapText="1"/>
    </xf>
    <xf numFmtId="0" fontId="116" fillId="0" borderId="0" xfId="0" applyFont="1"/>
    <xf numFmtId="0" fontId="115" fillId="0" borderId="112" xfId="0" applyFont="1" applyBorder="1"/>
    <xf numFmtId="49" fontId="118" fillId="0" borderId="112" xfId="5" applyNumberFormat="1" applyFont="1" applyFill="1" applyBorder="1" applyAlignment="1" applyProtection="1">
      <alignment horizontal="right" vertical="center" wrapText="1"/>
      <protection locked="0"/>
    </xf>
    <xf numFmtId="49" fontId="117" fillId="3" borderId="112" xfId="5" applyNumberFormat="1" applyFont="1" applyFill="1" applyBorder="1" applyAlignment="1" applyProtection="1">
      <alignment horizontal="right" vertical="center" wrapText="1"/>
      <protection locked="0"/>
    </xf>
    <xf numFmtId="49" fontId="117" fillId="0" borderId="112" xfId="5" applyNumberFormat="1" applyFont="1" applyFill="1" applyBorder="1" applyAlignment="1" applyProtection="1">
      <alignment horizontal="right" vertical="center" wrapText="1"/>
      <protection locked="0"/>
    </xf>
    <xf numFmtId="0" fontId="112" fillId="0" borderId="112" xfId="0" applyFont="1" applyBorder="1" applyAlignment="1">
      <alignment horizontal="center" vertical="center" wrapText="1"/>
    </xf>
    <xf numFmtId="0" fontId="112" fillId="0" borderId="116" xfId="0" applyFont="1" applyFill="1" applyBorder="1" applyAlignment="1">
      <alignment horizontal="center" vertical="center" wrapText="1"/>
    </xf>
    <xf numFmtId="0" fontId="112" fillId="0" borderId="112" xfId="0" applyFont="1" applyBorder="1" applyAlignment="1">
      <alignment horizontal="center" vertical="center"/>
    </xf>
    <xf numFmtId="0" fontId="112" fillId="0" borderId="0" xfId="0" applyFont="1"/>
    <xf numFmtId="0" fontId="112" fillId="0" borderId="0" xfId="0" applyFont="1" applyAlignment="1">
      <alignment wrapText="1"/>
    </xf>
    <xf numFmtId="14" fontId="112" fillId="0" borderId="0" xfId="0" applyNumberFormat="1" applyFont="1"/>
    <xf numFmtId="0" fontId="113" fillId="0" borderId="0" xfId="0" applyFont="1" applyBorder="1"/>
    <xf numFmtId="0" fontId="113" fillId="0" borderId="0" xfId="0" applyFont="1" applyBorder="1" applyAlignment="1">
      <alignment horizontal="left"/>
    </xf>
    <xf numFmtId="0" fontId="115" fillId="0" borderId="112" xfId="0" applyFont="1" applyFill="1" applyBorder="1"/>
    <xf numFmtId="0" fontId="112" fillId="0" borderId="112" xfId="0" applyNumberFormat="1" applyFont="1" applyFill="1" applyBorder="1" applyAlignment="1">
      <alignment horizontal="left" vertical="center" wrapText="1"/>
    </xf>
    <xf numFmtId="0" fontId="115" fillId="0" borderId="112" xfId="0" applyFont="1" applyFill="1" applyBorder="1" applyAlignment="1">
      <alignment horizontal="left" wrapText="1" indent="1"/>
    </xf>
    <xf numFmtId="0" fontId="115" fillId="0" borderId="112" xfId="0" applyFont="1" applyFill="1" applyBorder="1" applyAlignment="1">
      <alignment horizontal="left" vertical="center" indent="1"/>
    </xf>
    <xf numFmtId="0" fontId="112" fillId="0" borderId="112" xfId="0" applyFont="1" applyFill="1" applyBorder="1" applyAlignment="1">
      <alignment horizontal="left" wrapText="1" indent="1"/>
    </xf>
    <xf numFmtId="0" fontId="112" fillId="0" borderId="112" xfId="0" applyFont="1" applyFill="1" applyBorder="1" applyAlignment="1">
      <alignment horizontal="left" indent="1"/>
    </xf>
    <xf numFmtId="0" fontId="112" fillId="0" borderId="112" xfId="0" applyFont="1" applyFill="1" applyBorder="1" applyAlignment="1">
      <alignment horizontal="left" wrapText="1" indent="4"/>
    </xf>
    <xf numFmtId="0" fontId="112" fillId="0" borderId="112" xfId="0" applyNumberFormat="1" applyFont="1" applyFill="1" applyBorder="1" applyAlignment="1">
      <alignment horizontal="left" indent="3"/>
    </xf>
    <xf numFmtId="0" fontId="115" fillId="0" borderId="112" xfId="0" applyFont="1" applyFill="1" applyBorder="1" applyAlignment="1">
      <alignment horizontal="left" indent="1"/>
    </xf>
    <xf numFmtId="0" fontId="113" fillId="78" borderId="112" xfId="0" applyFont="1" applyFill="1" applyBorder="1"/>
    <xf numFmtId="0" fontId="116" fillId="0" borderId="7" xfId="0" applyFont="1" applyBorder="1"/>
    <xf numFmtId="0" fontId="116" fillId="0" borderId="112" xfId="0" applyFont="1" applyFill="1" applyBorder="1"/>
    <xf numFmtId="0" fontId="113" fillId="0" borderId="112" xfId="0" applyFont="1" applyFill="1" applyBorder="1" applyAlignment="1">
      <alignment horizontal="left" wrapText="1" indent="2"/>
    </xf>
    <xf numFmtId="0" fontId="113" fillId="0" borderId="112" xfId="0" applyFont="1" applyFill="1" applyBorder="1"/>
    <xf numFmtId="0" fontId="113" fillId="0" borderId="112" xfId="0" applyFont="1" applyFill="1" applyBorder="1" applyAlignment="1">
      <alignment horizontal="left" wrapText="1"/>
    </xf>
    <xf numFmtId="0" fontId="112" fillId="0" borderId="0" xfId="0" applyFont="1" applyBorder="1"/>
    <xf numFmtId="0" fontId="112" fillId="0" borderId="112" xfId="0" applyFont="1" applyBorder="1" applyAlignment="1">
      <alignment horizontal="left" indent="1"/>
    </xf>
    <xf numFmtId="0" fontId="112" fillId="0" borderId="112" xfId="0" applyFont="1" applyBorder="1" applyAlignment="1">
      <alignment horizontal="center"/>
    </xf>
    <xf numFmtId="0" fontId="112" fillId="0" borderId="0" xfId="0" applyFont="1" applyBorder="1" applyAlignment="1">
      <alignment horizontal="center" vertical="center"/>
    </xf>
    <xf numFmtId="0" fontId="112" fillId="0" borderId="112" xfId="0" applyFont="1" applyFill="1" applyBorder="1" applyAlignment="1">
      <alignment horizontal="center" vertical="center" wrapText="1"/>
    </xf>
    <xf numFmtId="0" fontId="112" fillId="0" borderId="7" xfId="0" applyFont="1" applyBorder="1" applyAlignment="1">
      <alignment horizontal="center" vertical="center" wrapText="1"/>
    </xf>
    <xf numFmtId="0" fontId="112" fillId="0" borderId="7" xfId="0" applyFont="1" applyBorder="1" applyAlignment="1">
      <alignment wrapText="1"/>
    </xf>
    <xf numFmtId="0" fontId="112" fillId="0" borderId="0" xfId="0" applyFont="1" applyBorder="1" applyAlignment="1">
      <alignment horizontal="center" vertical="center" wrapText="1"/>
    </xf>
    <xf numFmtId="0" fontId="112" fillId="0" borderId="95" xfId="0" applyFont="1" applyFill="1" applyBorder="1" applyAlignment="1">
      <alignment horizontal="center" vertical="center" wrapText="1"/>
    </xf>
    <xf numFmtId="0" fontId="112" fillId="0" borderId="0" xfId="0" applyFont="1" applyFill="1" applyBorder="1" applyAlignment="1">
      <alignment horizontal="center" vertical="center" wrapText="1"/>
    </xf>
    <xf numFmtId="0" fontId="112" fillId="0" borderId="115" xfId="0" applyFont="1" applyFill="1" applyBorder="1" applyAlignment="1">
      <alignment horizontal="center" vertical="center" wrapText="1"/>
    </xf>
    <xf numFmtId="0" fontId="112" fillId="0" borderId="96" xfId="0" applyFont="1" applyFill="1" applyBorder="1" applyAlignment="1">
      <alignment horizontal="center" vertical="center" wrapText="1"/>
    </xf>
    <xf numFmtId="0" fontId="112" fillId="0" borderId="0" xfId="0" applyFont="1" applyFill="1"/>
    <xf numFmtId="49" fontId="112" fillId="0" borderId="19" xfId="0" applyNumberFormat="1" applyFont="1" applyFill="1" applyBorder="1" applyAlignment="1">
      <alignment horizontal="left" wrapText="1" indent="1"/>
    </xf>
    <xf numFmtId="0" fontId="112" fillId="0" borderId="17" xfId="0" applyNumberFormat="1" applyFont="1" applyFill="1" applyBorder="1" applyAlignment="1">
      <alignment horizontal="left" wrapText="1" indent="1"/>
    </xf>
    <xf numFmtId="49" fontId="112" fillId="0" borderId="75" xfId="0" applyNumberFormat="1" applyFont="1" applyFill="1" applyBorder="1" applyAlignment="1">
      <alignment horizontal="left" wrapText="1" indent="1"/>
    </xf>
    <xf numFmtId="0" fontId="112" fillId="0" borderId="15" xfId="0" applyNumberFormat="1" applyFont="1" applyFill="1" applyBorder="1" applyAlignment="1">
      <alignment horizontal="left" wrapText="1" indent="1"/>
    </xf>
    <xf numFmtId="49" fontId="112" fillId="0" borderId="15" xfId="0" applyNumberFormat="1" applyFont="1" applyFill="1" applyBorder="1" applyAlignment="1">
      <alignment horizontal="left" wrapText="1" indent="3"/>
    </xf>
    <xf numFmtId="49" fontId="112" fillId="0" borderId="75" xfId="0" applyNumberFormat="1" applyFont="1" applyFill="1" applyBorder="1" applyAlignment="1">
      <alignment horizontal="left" wrapText="1" indent="3"/>
    </xf>
    <xf numFmtId="49" fontId="112" fillId="0" borderId="75" xfId="0" applyNumberFormat="1" applyFont="1" applyFill="1" applyBorder="1" applyAlignment="1">
      <alignment horizontal="left" wrapText="1" indent="2"/>
    </xf>
    <xf numFmtId="49" fontId="112" fillId="0" borderId="15" xfId="0" applyNumberFormat="1" applyFont="1" applyBorder="1" applyAlignment="1">
      <alignment horizontal="left" wrapText="1" indent="2"/>
    </xf>
    <xf numFmtId="49" fontId="112" fillId="0" borderId="75" xfId="0" applyNumberFormat="1" applyFont="1" applyFill="1" applyBorder="1" applyAlignment="1">
      <alignment horizontal="left" vertical="top" wrapText="1" indent="2"/>
    </xf>
    <xf numFmtId="49" fontId="112" fillId="0" borderId="75" xfId="0" applyNumberFormat="1" applyFont="1" applyFill="1" applyBorder="1" applyAlignment="1">
      <alignment horizontal="left" indent="1"/>
    </xf>
    <xf numFmtId="0" fontId="112" fillId="0" borderId="15" xfId="0" applyNumberFormat="1" applyFont="1" applyBorder="1" applyAlignment="1">
      <alignment horizontal="left" indent="1"/>
    </xf>
    <xf numFmtId="49" fontId="112" fillId="0" borderId="15" xfId="0" applyNumberFormat="1" applyFont="1" applyBorder="1" applyAlignment="1">
      <alignment horizontal="left" indent="1"/>
    </xf>
    <xf numFmtId="49" fontId="112" fillId="0" borderId="75" xfId="0" applyNumberFormat="1" applyFont="1" applyFill="1" applyBorder="1" applyAlignment="1">
      <alignment horizontal="left" indent="3"/>
    </xf>
    <xf numFmtId="49" fontId="112" fillId="0" borderId="15" xfId="0" applyNumberFormat="1" applyFont="1" applyBorder="1" applyAlignment="1">
      <alignment horizontal="left" indent="3"/>
    </xf>
    <xf numFmtId="0" fontId="112" fillId="0" borderId="15" xfId="0" applyFont="1" applyBorder="1" applyAlignment="1">
      <alignment horizontal="left" indent="2"/>
    </xf>
    <xf numFmtId="0" fontId="112" fillId="0" borderId="75" xfId="0" applyFont="1" applyBorder="1" applyAlignment="1">
      <alignment horizontal="left" indent="2"/>
    </xf>
    <xf numFmtId="0" fontId="112" fillId="0" borderId="15" xfId="0" applyFont="1" applyBorder="1" applyAlignment="1">
      <alignment horizontal="left" indent="1"/>
    </xf>
    <xf numFmtId="0" fontId="112" fillId="0" borderId="75" xfId="0" applyFont="1" applyBorder="1" applyAlignment="1">
      <alignment horizontal="left" indent="1"/>
    </xf>
    <xf numFmtId="0" fontId="115" fillId="0" borderId="58" xfId="0" applyFont="1" applyBorder="1"/>
    <xf numFmtId="0" fontId="112" fillId="0" borderId="61" xfId="0" applyFont="1" applyBorder="1"/>
    <xf numFmtId="0" fontId="112" fillId="0" borderId="69" xfId="0" applyFont="1" applyBorder="1" applyAlignment="1">
      <alignment horizontal="center" vertical="center" wrapText="1"/>
    </xf>
    <xf numFmtId="0" fontId="112" fillId="0" borderId="75" xfId="0" applyFont="1" applyFill="1" applyBorder="1" applyAlignment="1">
      <alignment horizontal="center" vertical="center" wrapText="1"/>
    </xf>
    <xf numFmtId="0" fontId="112" fillId="0" borderId="0" xfId="0" applyFont="1" applyBorder="1" applyAlignment="1">
      <alignment wrapText="1"/>
    </xf>
    <xf numFmtId="14" fontId="112" fillId="0" borderId="0" xfId="0" applyNumberFormat="1" applyFont="1" applyBorder="1"/>
    <xf numFmtId="0" fontId="112" fillId="0" borderId="0" xfId="0" applyFont="1" applyAlignment="1">
      <alignment horizontal="center" vertical="center"/>
    </xf>
    <xf numFmtId="0" fontId="112" fillId="0" borderId="0" xfId="0" applyFont="1" applyBorder="1" applyAlignment="1">
      <alignment horizontal="left"/>
    </xf>
    <xf numFmtId="0" fontId="115" fillId="0" borderId="112" xfId="0" applyNumberFormat="1" applyFont="1" applyFill="1" applyBorder="1" applyAlignment="1">
      <alignment horizontal="left" vertical="center" wrapText="1"/>
    </xf>
    <xf numFmtId="0" fontId="112" fillId="0" borderId="7" xfId="0" applyFont="1" applyFill="1" applyBorder="1" applyAlignment="1">
      <alignment horizontal="center" vertical="center" wrapText="1"/>
    </xf>
    <xf numFmtId="0" fontId="117" fillId="0" borderId="0" xfId="0" applyFont="1"/>
    <xf numFmtId="0" fontId="94" fillId="0" borderId="0" xfId="0" applyFont="1" applyFill="1" applyBorder="1" applyAlignment="1">
      <alignment wrapText="1"/>
    </xf>
    <xf numFmtId="0" fontId="117" fillId="0" borderId="112" xfId="0" applyFont="1" applyBorder="1"/>
    <xf numFmtId="0" fontId="115" fillId="0" borderId="112" xfId="0" applyFont="1" applyBorder="1" applyAlignment="1">
      <alignment horizontal="center" vertical="center" wrapText="1"/>
    </xf>
    <xf numFmtId="0" fontId="117" fillId="0" borderId="0" xfId="0" applyFont="1" applyAlignment="1">
      <alignment horizontal="center" vertical="center"/>
    </xf>
    <xf numFmtId="0" fontId="133" fillId="0" borderId="0" xfId="0" applyFont="1"/>
    <xf numFmtId="0" fontId="112" fillId="0" borderId="107" xfId="0" applyNumberFormat="1" applyFont="1" applyFill="1" applyBorder="1" applyAlignment="1">
      <alignment horizontal="left" vertical="center" wrapText="1" indent="1" readingOrder="1"/>
    </xf>
    <xf numFmtId="0" fontId="133" fillId="0" borderId="112" xfId="0" applyFont="1" applyBorder="1" applyAlignment="1">
      <alignment horizontal="left" indent="3"/>
    </xf>
    <xf numFmtId="0" fontId="115" fillId="0" borderId="112" xfId="0" applyNumberFormat="1" applyFont="1" applyFill="1" applyBorder="1" applyAlignment="1">
      <alignment vertical="center" wrapText="1" readingOrder="1"/>
    </xf>
    <xf numFmtId="0" fontId="133" fillId="0" borderId="112" xfId="0" applyFont="1" applyFill="1" applyBorder="1" applyAlignment="1">
      <alignment horizontal="left" indent="2"/>
    </xf>
    <xf numFmtId="0" fontId="112" fillId="0" borderId="108" xfId="0" applyNumberFormat="1" applyFont="1" applyFill="1" applyBorder="1" applyAlignment="1">
      <alignment vertical="center" wrapText="1" readingOrder="1"/>
    </xf>
    <xf numFmtId="0" fontId="133" fillId="0" borderId="116" xfId="0" applyFont="1" applyBorder="1" applyAlignment="1">
      <alignment horizontal="left" indent="2"/>
    </xf>
    <xf numFmtId="0" fontId="112" fillId="0" borderId="107" xfId="0" applyNumberFormat="1" applyFont="1" applyFill="1" applyBorder="1" applyAlignment="1">
      <alignment vertical="center" wrapText="1" readingOrder="1"/>
    </xf>
    <xf numFmtId="0" fontId="133" fillId="0" borderId="112" xfId="0" applyFont="1" applyBorder="1" applyAlignment="1">
      <alignment horizontal="left" indent="2"/>
    </xf>
    <xf numFmtId="0" fontId="112" fillId="0" borderId="106" xfId="0" applyNumberFormat="1" applyFont="1" applyFill="1" applyBorder="1" applyAlignment="1">
      <alignment vertical="center" wrapText="1" readingOrder="1"/>
    </xf>
    <xf numFmtId="0" fontId="133" fillId="0" borderId="7" xfId="0" applyFont="1" applyBorder="1"/>
    <xf numFmtId="167" fontId="134" fillId="80" borderId="51" xfId="0" applyNumberFormat="1" applyFont="1" applyFill="1" applyBorder="1" applyAlignment="1">
      <alignment horizontal="center"/>
    </xf>
    <xf numFmtId="164" fontId="84" fillId="0" borderId="0" xfId="7" applyNumberFormat="1" applyFont="1"/>
    <xf numFmtId="164" fontId="84" fillId="0" borderId="0" xfId="7" applyNumberFormat="1" applyFont="1" applyBorder="1"/>
    <xf numFmtId="164" fontId="0" fillId="0" borderId="0" xfId="7" applyNumberFormat="1" applyFont="1"/>
    <xf numFmtId="3" fontId="0" fillId="36" borderId="18" xfId="0" applyNumberFormat="1" applyFill="1" applyBorder="1"/>
    <xf numFmtId="4" fontId="0" fillId="0" borderId="112" xfId="0" applyNumberFormat="1" applyBorder="1"/>
    <xf numFmtId="3" fontId="0" fillId="36" borderId="112" xfId="0" applyNumberFormat="1" applyFill="1" applyBorder="1"/>
    <xf numFmtId="4" fontId="0" fillId="36" borderId="75" xfId="0" applyNumberFormat="1" applyFill="1" applyBorder="1"/>
    <xf numFmtId="195" fontId="0" fillId="0" borderId="112" xfId="0" applyNumberFormat="1" applyBorder="1"/>
    <xf numFmtId="4" fontId="0" fillId="0" borderId="112" xfId="0" applyNumberFormat="1" applyBorder="1" applyAlignment="1">
      <alignment vertical="center"/>
    </xf>
    <xf numFmtId="3" fontId="0" fillId="36" borderId="112" xfId="0" applyNumberFormat="1" applyFill="1" applyBorder="1" applyAlignment="1">
      <alignment vertical="center"/>
    </xf>
    <xf numFmtId="4" fontId="111" fillId="0" borderId="112" xfId="0" applyNumberFormat="1" applyFont="1" applyBorder="1"/>
    <xf numFmtId="4" fontId="0" fillId="0" borderId="18" xfId="0" applyNumberFormat="1" applyBorder="1"/>
    <xf numFmtId="0" fontId="126" fillId="0" borderId="112" xfId="0" applyFont="1" applyFill="1" applyBorder="1" applyAlignment="1">
      <alignment horizontal="justify" vertical="center" wrapText="1"/>
    </xf>
    <xf numFmtId="0" fontId="124" fillId="0" borderId="112" xfId="0" applyFont="1" applyFill="1" applyBorder="1" applyAlignment="1">
      <alignment horizontal="justify" vertical="center" wrapText="1"/>
    </xf>
    <xf numFmtId="0" fontId="126" fillId="3" borderId="112" xfId="0" applyFont="1" applyFill="1" applyBorder="1" applyAlignment="1">
      <alignment horizontal="justify" vertical="center" wrapText="1"/>
    </xf>
    <xf numFmtId="0" fontId="127" fillId="0" borderId="112" xfId="0" applyFont="1" applyFill="1" applyBorder="1" applyAlignment="1">
      <alignment horizontal="left" vertical="center" wrapText="1" indent="1"/>
    </xf>
    <xf numFmtId="0" fontId="124" fillId="0" borderId="112" xfId="0" applyFont="1" applyFill="1" applyBorder="1" applyAlignment="1">
      <alignment vertical="center" wrapText="1"/>
    </xf>
    <xf numFmtId="0" fontId="125" fillId="0" borderId="112" xfId="0" applyFont="1" applyFill="1" applyBorder="1" applyAlignment="1">
      <alignment horizontal="left" vertical="center" wrapText="1"/>
    </xf>
    <xf numFmtId="3" fontId="103" fillId="0" borderId="112" xfId="7" applyNumberFormat="1" applyFont="1" applyFill="1" applyBorder="1" applyAlignment="1">
      <alignment horizontal="left" vertical="center" wrapText="1"/>
    </xf>
    <xf numFmtId="3" fontId="103" fillId="0" borderId="75" xfId="7" applyNumberFormat="1" applyFont="1" applyFill="1" applyBorder="1" applyAlignment="1">
      <alignment horizontal="left" vertical="center" wrapText="1"/>
    </xf>
    <xf numFmtId="3" fontId="103" fillId="0" borderId="75" xfId="0" applyNumberFormat="1" applyFont="1" applyBorder="1" applyAlignment="1">
      <alignment horizontal="left" vertical="center"/>
    </xf>
    <xf numFmtId="3" fontId="103" fillId="0" borderId="112" xfId="7" applyNumberFormat="1" applyFont="1" applyBorder="1" applyAlignment="1">
      <alignment horizontal="left" vertical="center"/>
    </xf>
    <xf numFmtId="3" fontId="103" fillId="0" borderId="112" xfId="0" applyNumberFormat="1" applyFont="1" applyBorder="1" applyAlignment="1">
      <alignment horizontal="left" vertical="center"/>
    </xf>
    <xf numFmtId="3" fontId="103" fillId="0" borderId="75" xfId="7" applyNumberFormat="1" applyFont="1" applyBorder="1" applyAlignment="1">
      <alignment horizontal="left" vertical="center"/>
    </xf>
    <xf numFmtId="3" fontId="136" fillId="36" borderId="18" xfId="0" applyNumberFormat="1" applyFont="1" applyFill="1" applyBorder="1" applyAlignment="1">
      <alignment horizontal="left" vertical="center"/>
    </xf>
    <xf numFmtId="3" fontId="136" fillId="36" borderId="19" xfId="0" applyNumberFormat="1" applyFont="1" applyFill="1" applyBorder="1" applyAlignment="1">
      <alignment horizontal="left" vertical="center"/>
    </xf>
    <xf numFmtId="43" fontId="4" fillId="36" borderId="75" xfId="7" applyNumberFormat="1" applyFont="1" applyFill="1" applyBorder="1" applyAlignment="1">
      <alignment horizontal="center" vertical="center" wrapText="1"/>
    </xf>
    <xf numFmtId="0" fontId="0" fillId="0" borderId="116" xfId="0" applyBorder="1" applyAlignment="1">
      <alignment horizontal="center"/>
    </xf>
    <xf numFmtId="0" fontId="126" fillId="0" borderId="110" xfId="0" applyFont="1" applyFill="1" applyBorder="1" applyAlignment="1">
      <alignment vertical="center" wrapText="1"/>
    </xf>
    <xf numFmtId="0" fontId="0" fillId="0" borderId="7" xfId="0" applyBorder="1" applyAlignment="1">
      <alignment horizontal="center"/>
    </xf>
    <xf numFmtId="0" fontId="127" fillId="0" borderId="111" xfId="0" applyFont="1" applyFill="1" applyBorder="1" applyAlignment="1">
      <alignment horizontal="left" vertical="center" wrapText="1" indent="1"/>
    </xf>
    <xf numFmtId="0" fontId="127" fillId="0" borderId="112" xfId="0" applyFont="1" applyFill="1" applyBorder="1" applyAlignment="1">
      <alignment vertical="center" wrapText="1"/>
    </xf>
    <xf numFmtId="0" fontId="126" fillId="3" borderId="70" xfId="0" applyFont="1" applyFill="1" applyBorder="1" applyAlignment="1">
      <alignment horizontal="left" vertical="center" wrapText="1"/>
    </xf>
    <xf numFmtId="10" fontId="135" fillId="0" borderId="75" xfId="0" applyNumberFormat="1" applyFont="1" applyBorder="1" applyAlignment="1">
      <alignment horizontal="right" vertical="center"/>
    </xf>
    <xf numFmtId="0" fontId="127" fillId="0" borderId="112" xfId="20966" applyFont="1" applyFill="1" applyBorder="1" applyAlignment="1">
      <alignment horizontal="left" vertical="center" wrapText="1"/>
    </xf>
    <xf numFmtId="0" fontId="127" fillId="3" borderId="112" xfId="0" applyFont="1" applyFill="1" applyBorder="1" applyAlignment="1">
      <alignment horizontal="left" vertical="center" wrapText="1"/>
    </xf>
    <xf numFmtId="167" fontId="134" fillId="0" borderId="51" xfId="0" applyNumberFormat="1" applyFont="1" applyFill="1" applyBorder="1" applyAlignment="1">
      <alignment horizontal="center"/>
    </xf>
    <xf numFmtId="169" fontId="9" fillId="37" borderId="112" xfId="20" applyBorder="1"/>
    <xf numFmtId="169" fontId="9" fillId="37" borderId="75" xfId="20" applyBorder="1"/>
    <xf numFmtId="193" fontId="96" fillId="0" borderId="112" xfId="0" applyNumberFormat="1" applyFont="1" applyBorder="1" applyAlignment="1" applyProtection="1">
      <alignment vertical="center" wrapText="1"/>
      <protection locked="0"/>
    </xf>
    <xf numFmtId="193" fontId="96" fillId="0" borderId="75" xfId="0" applyNumberFormat="1" applyFont="1" applyBorder="1" applyAlignment="1" applyProtection="1">
      <alignment vertical="center" wrapText="1"/>
      <protection locked="0"/>
    </xf>
    <xf numFmtId="193" fontId="96" fillId="0" borderId="112" xfId="0" applyNumberFormat="1" applyFont="1" applyBorder="1" applyAlignment="1" applyProtection="1">
      <alignment horizontal="right" vertical="center" wrapText="1"/>
      <protection locked="0"/>
    </xf>
    <xf numFmtId="193" fontId="96" fillId="0" borderId="75" xfId="0" applyNumberFormat="1" applyFont="1" applyBorder="1" applyAlignment="1" applyProtection="1">
      <alignment horizontal="right" vertical="center" wrapText="1"/>
      <protection locked="0"/>
    </xf>
    <xf numFmtId="10" fontId="137" fillId="0" borderId="112" xfId="0" applyNumberFormat="1" applyFont="1" applyBorder="1" applyAlignment="1" applyProtection="1">
      <alignment horizontal="right" vertical="center" wrapText="1"/>
      <protection locked="0"/>
    </xf>
    <xf numFmtId="10" fontId="137" fillId="0" borderId="75" xfId="0" applyNumberFormat="1" applyFont="1" applyBorder="1" applyAlignment="1" applyProtection="1">
      <alignment horizontal="right" vertical="center" wrapText="1"/>
      <protection locked="0"/>
    </xf>
    <xf numFmtId="165" fontId="137" fillId="0" borderId="112" xfId="0" applyNumberFormat="1" applyFont="1" applyBorder="1" applyAlignment="1" applyProtection="1">
      <alignment horizontal="right" vertical="center" wrapText="1"/>
      <protection locked="0"/>
    </xf>
    <xf numFmtId="165" fontId="137" fillId="0" borderId="75" xfId="0" applyNumberFormat="1" applyFont="1" applyBorder="1" applyAlignment="1" applyProtection="1">
      <alignment horizontal="right" vertical="center" wrapText="1"/>
      <protection locked="0"/>
    </xf>
    <xf numFmtId="10" fontId="94" fillId="81" borderId="112" xfId="0" applyNumberFormat="1" applyFont="1" applyFill="1" applyBorder="1" applyAlignment="1" applyProtection="1">
      <alignment vertical="center"/>
      <protection locked="0"/>
    </xf>
    <xf numFmtId="10" fontId="94" fillId="81" borderId="75" xfId="0" applyNumberFormat="1" applyFont="1" applyFill="1" applyBorder="1" applyAlignment="1" applyProtection="1">
      <alignment vertical="center"/>
      <protection locked="0"/>
    </xf>
    <xf numFmtId="10" fontId="138" fillId="2" borderId="112" xfId="20962" applyNumberFormat="1" applyFont="1" applyFill="1" applyBorder="1" applyAlignment="1" applyProtection="1">
      <alignment vertical="center"/>
      <protection locked="0"/>
    </xf>
    <xf numFmtId="10" fontId="138" fillId="2" borderId="75" xfId="20962" applyNumberFormat="1" applyFont="1" applyFill="1" applyBorder="1" applyAlignment="1" applyProtection="1">
      <alignment vertical="center"/>
      <protection locked="0"/>
    </xf>
    <xf numFmtId="10" fontId="94" fillId="2" borderId="112" xfId="20962" applyNumberFormat="1" applyFont="1" applyFill="1" applyBorder="1" applyAlignment="1" applyProtection="1">
      <alignment vertical="center"/>
      <protection locked="0"/>
    </xf>
    <xf numFmtId="10" fontId="94" fillId="2" borderId="75" xfId="20962" applyNumberFormat="1" applyFont="1" applyFill="1" applyBorder="1" applyAlignment="1" applyProtection="1">
      <alignment vertical="center"/>
      <protection locked="0"/>
    </xf>
    <xf numFmtId="193" fontId="94" fillId="2" borderId="112" xfId="0" applyNumberFormat="1" applyFont="1" applyFill="1" applyBorder="1" applyAlignment="1" applyProtection="1">
      <alignment vertical="center"/>
      <protection locked="0"/>
    </xf>
    <xf numFmtId="193" fontId="94" fillId="2" borderId="75" xfId="0" applyNumberFormat="1" applyFont="1" applyFill="1" applyBorder="1" applyAlignment="1" applyProtection="1">
      <alignment vertical="center"/>
      <protection locked="0"/>
    </xf>
    <xf numFmtId="194" fontId="94" fillId="2" borderId="112" xfId="20962" applyNumberFormat="1" applyFont="1" applyFill="1" applyBorder="1" applyAlignment="1" applyProtection="1">
      <alignment vertical="center"/>
      <protection locked="0"/>
    </xf>
    <xf numFmtId="194" fontId="94" fillId="2" borderId="75" xfId="20962" applyNumberFormat="1" applyFont="1" applyFill="1" applyBorder="1" applyAlignment="1" applyProtection="1">
      <alignment vertical="center"/>
      <protection locked="0"/>
    </xf>
    <xf numFmtId="10" fontId="135" fillId="2" borderId="18" xfId="20962" applyNumberFormat="1" applyFont="1" applyFill="1" applyBorder="1" applyAlignment="1" applyProtection="1">
      <alignment vertical="center"/>
      <protection locked="0"/>
    </xf>
    <xf numFmtId="10" fontId="135" fillId="2" borderId="19" xfId="20962" applyNumberFormat="1" applyFont="1" applyFill="1" applyBorder="1" applyAlignment="1" applyProtection="1">
      <alignment vertical="center"/>
      <protection locked="0"/>
    </xf>
    <xf numFmtId="3" fontId="0" fillId="0" borderId="112" xfId="0" applyNumberFormat="1" applyBorder="1"/>
    <xf numFmtId="3" fontId="0" fillId="0" borderId="112" xfId="0" applyNumberFormat="1" applyBorder="1" applyAlignment="1">
      <alignment vertical="center"/>
    </xf>
    <xf numFmtId="3" fontId="0" fillId="0" borderId="112" xfId="0" applyNumberFormat="1" applyFill="1" applyBorder="1"/>
    <xf numFmtId="3" fontId="0" fillId="0" borderId="18" xfId="0" applyNumberFormat="1" applyBorder="1"/>
    <xf numFmtId="3" fontId="0" fillId="0" borderId="0" xfId="0" applyNumberFormat="1"/>
    <xf numFmtId="4" fontId="0" fillId="36" borderId="112" xfId="0" applyNumberFormat="1" applyFill="1" applyBorder="1"/>
    <xf numFmtId="4" fontId="0" fillId="36" borderId="18" xfId="0" applyNumberFormat="1" applyFill="1" applyBorder="1"/>
    <xf numFmtId="4" fontId="0" fillId="36" borderId="19" xfId="0" applyNumberFormat="1" applyFill="1" applyBorder="1"/>
    <xf numFmtId="3" fontId="9" fillId="37" borderId="112" xfId="20" applyNumberFormat="1" applyBorder="1"/>
    <xf numFmtId="3" fontId="3" fillId="0" borderId="112" xfId="0" applyNumberFormat="1" applyFont="1" applyFill="1" applyBorder="1" applyAlignment="1">
      <alignment vertical="center"/>
    </xf>
    <xf numFmtId="3" fontId="3" fillId="0" borderId="75" xfId="0" applyNumberFormat="1" applyFont="1" applyFill="1" applyBorder="1" applyAlignment="1">
      <alignment vertical="center"/>
    </xf>
    <xf numFmtId="3" fontId="3" fillId="3" borderId="112" xfId="0" applyNumberFormat="1" applyFont="1" applyFill="1" applyBorder="1" applyAlignment="1">
      <alignment vertical="center"/>
    </xf>
    <xf numFmtId="3" fontId="3" fillId="3" borderId="75" xfId="0" applyNumberFormat="1" applyFont="1" applyFill="1" applyBorder="1" applyAlignment="1">
      <alignment vertical="center"/>
    </xf>
    <xf numFmtId="0" fontId="3" fillId="3" borderId="112" xfId="0" applyFont="1" applyFill="1" applyBorder="1" applyAlignment="1">
      <alignment vertical="center"/>
    </xf>
    <xf numFmtId="169" fontId="9" fillId="37" borderId="18" xfId="20" applyBorder="1"/>
    <xf numFmtId="10" fontId="3" fillId="0" borderId="18" xfId="20962" applyNumberFormat="1" applyFont="1" applyFill="1" applyBorder="1" applyAlignment="1">
      <alignment vertical="center"/>
    </xf>
    <xf numFmtId="10" fontId="3" fillId="0" borderId="19" xfId="20962" applyNumberFormat="1" applyFont="1" applyFill="1" applyBorder="1" applyAlignment="1">
      <alignment vertical="center"/>
    </xf>
    <xf numFmtId="3" fontId="3" fillId="0" borderId="0" xfId="0" applyNumberFormat="1" applyFont="1"/>
    <xf numFmtId="164" fontId="3" fillId="0" borderId="112" xfId="7" applyNumberFormat="1" applyFont="1" applyBorder="1"/>
    <xf numFmtId="164" fontId="3" fillId="0" borderId="75" xfId="7" applyNumberFormat="1" applyFont="1" applyBorder="1"/>
    <xf numFmtId="164" fontId="3" fillId="0" borderId="112" xfId="7" applyNumberFormat="1" applyFont="1" applyBorder="1" applyAlignment="1">
      <alignment vertical="center"/>
    </xf>
    <xf numFmtId="164" fontId="4" fillId="0" borderId="75" xfId="7" applyNumberFormat="1" applyFont="1" applyBorder="1"/>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85" xfId="7" applyNumberFormat="1" applyFont="1" applyFill="1" applyBorder="1"/>
    <xf numFmtId="164" fontId="3" fillId="0" borderId="112" xfId="7" applyNumberFormat="1" applyFont="1" applyFill="1" applyBorder="1"/>
    <xf numFmtId="164" fontId="3" fillId="0" borderId="112" xfId="7" applyNumberFormat="1" applyFont="1" applyFill="1" applyBorder="1" applyAlignment="1">
      <alignment vertical="center"/>
    </xf>
    <xf numFmtId="3" fontId="140" fillId="0" borderId="112" xfId="0" applyNumberFormat="1" applyFont="1" applyBorder="1"/>
    <xf numFmtId="166" fontId="112" fillId="36" borderId="112" xfId="20965" applyFont="1" applyFill="1" applyBorder="1"/>
    <xf numFmtId="3" fontId="115" fillId="0" borderId="112" xfId="0" applyNumberFormat="1" applyFont="1" applyBorder="1"/>
    <xf numFmtId="3" fontId="112" fillId="0" borderId="112" xfId="0" applyNumberFormat="1" applyFont="1" applyBorder="1"/>
    <xf numFmtId="4" fontId="112" fillId="0" borderId="112" xfId="0" applyNumberFormat="1" applyFont="1" applyBorder="1"/>
    <xf numFmtId="4" fontId="112" fillId="0" borderId="112" xfId="0" applyNumberFormat="1" applyFont="1" applyFill="1" applyBorder="1"/>
    <xf numFmtId="3" fontId="141" fillId="0" borderId="112" xfId="7" applyNumberFormat="1" applyFont="1" applyBorder="1"/>
    <xf numFmtId="0" fontId="115" fillId="82" borderId="112" xfId="0" applyFont="1" applyFill="1" applyBorder="1"/>
    <xf numFmtId="3" fontId="140" fillId="0" borderId="112" xfId="0" applyNumberFormat="1" applyFont="1" applyFill="1" applyBorder="1"/>
    <xf numFmtId="193" fontId="3" fillId="0" borderId="0" xfId="0" applyNumberFormat="1" applyFont="1"/>
    <xf numFmtId="164" fontId="0" fillId="0" borderId="0" xfId="0" applyNumberFormat="1"/>
    <xf numFmtId="3" fontId="113" fillId="0" borderId="0" xfId="0" applyNumberFormat="1" applyFont="1"/>
    <xf numFmtId="164" fontId="117" fillId="0" borderId="0" xfId="0" applyNumberFormat="1" applyFont="1"/>
    <xf numFmtId="164" fontId="133" fillId="0" borderId="0" xfId="0" applyNumberFormat="1" applyFont="1"/>
    <xf numFmtId="3" fontId="0" fillId="36" borderId="75" xfId="0" applyNumberFormat="1" applyFill="1" applyBorder="1"/>
    <xf numFmtId="3" fontId="0" fillId="36" borderId="75" xfId="0" applyNumberFormat="1" applyFill="1" applyBorder="1" applyAlignment="1">
      <alignment vertical="center"/>
    </xf>
    <xf numFmtId="167" fontId="139" fillId="0" borderId="112" xfId="0" applyNumberFormat="1" applyFont="1" applyFill="1" applyBorder="1" applyAlignment="1">
      <alignment vertical="center"/>
    </xf>
    <xf numFmtId="3" fontId="0" fillId="36" borderId="19" xfId="0" applyNumberFormat="1" applyFill="1" applyBorder="1"/>
    <xf numFmtId="193" fontId="94" fillId="36" borderId="75" xfId="0" applyNumberFormat="1" applyFont="1" applyFill="1" applyBorder="1" applyAlignment="1" applyProtection="1">
      <alignment horizontal="right"/>
    </xf>
    <xf numFmtId="0" fontId="0" fillId="0" borderId="112" xfId="0" applyNumberFormat="1" applyBorder="1"/>
    <xf numFmtId="193" fontId="94" fillId="0" borderId="18" xfId="0" applyNumberFormat="1" applyFont="1" applyFill="1" applyBorder="1" applyAlignment="1" applyProtection="1">
      <alignment horizontal="right"/>
    </xf>
    <xf numFmtId="193" fontId="94" fillId="36" borderId="18" xfId="0" applyNumberFormat="1" applyFont="1" applyFill="1" applyBorder="1" applyAlignment="1" applyProtection="1">
      <alignment horizontal="right"/>
    </xf>
    <xf numFmtId="193" fontId="94" fillId="36" borderId="19" xfId="0" applyNumberFormat="1" applyFont="1" applyFill="1" applyBorder="1" applyAlignment="1" applyProtection="1">
      <alignment horizontal="right"/>
    </xf>
    <xf numFmtId="3" fontId="103" fillId="36" borderId="112" xfId="0" applyNumberFormat="1" applyFont="1" applyFill="1" applyBorder="1" applyAlignment="1">
      <alignment vertical="center" wrapText="1"/>
    </xf>
    <xf numFmtId="3" fontId="103" fillId="0" borderId="112" xfId="0" applyNumberFormat="1" applyFont="1" applyBorder="1" applyAlignment="1">
      <alignment vertical="center" wrapText="1"/>
    </xf>
    <xf numFmtId="3" fontId="103" fillId="0" borderId="75" xfId="0" applyNumberFormat="1" applyFont="1" applyBorder="1" applyAlignment="1">
      <alignment vertical="center" wrapText="1"/>
    </xf>
    <xf numFmtId="193" fontId="0" fillId="36" borderId="14" xfId="0" applyNumberFormat="1" applyFill="1" applyBorder="1" applyAlignment="1">
      <alignment horizontal="center" vertical="center"/>
    </xf>
    <xf numFmtId="3" fontId="0" fillId="0" borderId="75" xfId="0" applyNumberFormat="1" applyBorder="1" applyAlignment="1"/>
    <xf numFmtId="3" fontId="0" fillId="0" borderId="75" xfId="0" applyNumberFormat="1" applyBorder="1" applyAlignment="1">
      <alignment wrapText="1"/>
    </xf>
    <xf numFmtId="193" fontId="0" fillId="36" borderId="75" xfId="0" applyNumberFormat="1" applyFill="1" applyBorder="1" applyAlignment="1">
      <alignment horizontal="center" vertical="center" wrapText="1"/>
    </xf>
    <xf numFmtId="193" fontId="0" fillId="0" borderId="75" xfId="0" applyNumberFormat="1" applyFill="1" applyBorder="1" applyAlignment="1">
      <alignment wrapText="1"/>
    </xf>
    <xf numFmtId="193" fontId="0" fillId="36" borderId="19" xfId="0" applyNumberFormat="1" applyFill="1" applyBorder="1" applyAlignment="1">
      <alignment horizontal="center" vertical="center" wrapText="1"/>
    </xf>
    <xf numFmtId="193" fontId="96" fillId="36" borderId="75" xfId="2" applyNumberFormat="1" applyFont="1" applyFill="1" applyBorder="1" applyAlignment="1" applyProtection="1">
      <alignment vertical="top"/>
    </xf>
    <xf numFmtId="193" fontId="96" fillId="3" borderId="75" xfId="2" applyNumberFormat="1" applyFont="1" applyFill="1" applyBorder="1" applyAlignment="1" applyProtection="1">
      <alignment vertical="top"/>
      <protection locked="0"/>
    </xf>
    <xf numFmtId="193" fontId="96" fillId="36" borderId="75" xfId="2" applyNumberFormat="1" applyFont="1" applyFill="1" applyBorder="1" applyAlignment="1" applyProtection="1">
      <alignment vertical="top" wrapText="1"/>
    </xf>
    <xf numFmtId="193" fontId="96" fillId="3" borderId="75" xfId="2" applyNumberFormat="1" applyFont="1" applyFill="1" applyBorder="1" applyAlignment="1" applyProtection="1">
      <alignment vertical="top" wrapText="1"/>
      <protection locked="0"/>
    </xf>
    <xf numFmtId="193" fontId="96" fillId="36" borderId="75" xfId="2" applyNumberFormat="1" applyFont="1" applyFill="1" applyBorder="1" applyAlignment="1" applyProtection="1">
      <alignment vertical="top" wrapText="1"/>
      <protection locked="0"/>
    </xf>
    <xf numFmtId="193" fontId="96" fillId="36" borderId="19" xfId="2" applyNumberFormat="1" applyFont="1" applyFill="1" applyBorder="1" applyAlignment="1" applyProtection="1">
      <alignment vertical="top" wrapText="1"/>
    </xf>
    <xf numFmtId="10" fontId="96" fillId="0" borderId="112" xfId="20962" applyNumberFormat="1" applyFont="1" applyFill="1" applyBorder="1" applyAlignment="1">
      <alignment horizontal="left" vertical="center" wrapText="1"/>
    </xf>
    <xf numFmtId="4" fontId="3" fillId="0" borderId="75" xfId="0" applyNumberFormat="1" applyFont="1" applyFill="1" applyBorder="1" applyAlignment="1">
      <alignment horizontal="right" vertical="center" wrapText="1"/>
    </xf>
    <xf numFmtId="10" fontId="3" fillId="0" borderId="112" xfId="20962" applyNumberFormat="1" applyFont="1" applyFill="1" applyBorder="1" applyAlignment="1">
      <alignment horizontal="left" vertical="center" wrapText="1"/>
    </xf>
    <xf numFmtId="10" fontId="4" fillId="36" borderId="112" xfId="0" applyNumberFormat="1" applyFont="1" applyFill="1" applyBorder="1" applyAlignment="1">
      <alignment horizontal="left" vertical="center" wrapText="1"/>
    </xf>
    <xf numFmtId="4" fontId="4" fillId="36" borderId="75" xfId="0" applyNumberFormat="1" applyFont="1" applyFill="1" applyBorder="1" applyAlignment="1">
      <alignment horizontal="right" vertical="center" wrapText="1"/>
    </xf>
    <xf numFmtId="10" fontId="100" fillId="0" borderId="112" xfId="20962" applyNumberFormat="1" applyFont="1" applyFill="1" applyBorder="1" applyAlignment="1">
      <alignment horizontal="left" vertical="center" wrapText="1"/>
    </xf>
    <xf numFmtId="4" fontId="100" fillId="0" borderId="75" xfId="0" applyNumberFormat="1" applyFont="1" applyFill="1" applyBorder="1" applyAlignment="1">
      <alignment horizontal="right" vertical="center" wrapText="1"/>
    </xf>
    <xf numFmtId="10" fontId="4" fillId="36" borderId="112" xfId="20962" applyNumberFormat="1" applyFont="1" applyFill="1" applyBorder="1" applyAlignment="1">
      <alignment horizontal="left" vertical="center" wrapText="1"/>
    </xf>
    <xf numFmtId="4" fontId="96" fillId="0" borderId="19" xfId="1" applyNumberFormat="1" applyFont="1" applyFill="1" applyBorder="1" applyAlignment="1" applyProtection="1">
      <alignment horizontal="right" vertical="center"/>
    </xf>
    <xf numFmtId="3" fontId="142" fillId="3" borderId="112" xfId="20966" applyNumberFormat="1" applyFont="1" applyFill="1" applyBorder="1" applyAlignment="1">
      <alignment horizontal="right" vertical="center" wrapText="1"/>
    </xf>
    <xf numFmtId="3" fontId="143" fillId="0" borderId="112" xfId="20966" applyNumberFormat="1" applyFont="1" applyFill="1" applyBorder="1" applyAlignment="1">
      <alignment horizontal="right" vertical="center" wrapText="1" indent="1"/>
    </xf>
    <xf numFmtId="3" fontId="143" fillId="3" borderId="112" xfId="20966" applyNumberFormat="1" applyFont="1" applyFill="1" applyBorder="1" applyAlignment="1">
      <alignment horizontal="right" vertical="center" wrapText="1" indent="1"/>
    </xf>
    <xf numFmtId="3" fontId="142" fillId="0" borderId="112" xfId="0" applyNumberFormat="1" applyFont="1" applyFill="1" applyBorder="1" applyAlignment="1">
      <alignment horizontal="right" vertical="center" wrapText="1"/>
    </xf>
    <xf numFmtId="3" fontId="144" fillId="0" borderId="112" xfId="0" applyNumberFormat="1" applyFont="1" applyFill="1" applyBorder="1" applyAlignment="1">
      <alignment horizontal="right" vertical="center" wrapText="1"/>
    </xf>
    <xf numFmtId="3" fontId="145" fillId="3" borderId="112" xfId="0" applyNumberFormat="1" applyFont="1" applyFill="1" applyBorder="1" applyAlignment="1">
      <alignment horizontal="right" vertical="center" wrapText="1" indent="1"/>
    </xf>
    <xf numFmtId="3" fontId="144" fillId="3" borderId="112" xfId="0" applyNumberFormat="1" applyFont="1" applyFill="1" applyBorder="1" applyAlignment="1">
      <alignment horizontal="right" vertical="center" wrapText="1"/>
    </xf>
    <xf numFmtId="3" fontId="145" fillId="0" borderId="112" xfId="0" applyNumberFormat="1" applyFont="1" applyFill="1" applyBorder="1" applyAlignment="1">
      <alignment horizontal="right" vertical="center" wrapText="1" indent="1"/>
    </xf>
    <xf numFmtId="3" fontId="145" fillId="0" borderId="112" xfId="20966" applyNumberFormat="1" applyFont="1" applyFill="1" applyBorder="1" applyAlignment="1">
      <alignment horizontal="right" vertical="center" wrapText="1" indent="1"/>
    </xf>
    <xf numFmtId="3" fontId="144" fillId="0" borderId="112" xfId="20966" applyNumberFormat="1" applyFont="1" applyFill="1" applyBorder="1" applyAlignment="1">
      <alignment horizontal="right" vertical="center" wrapText="1"/>
    </xf>
    <xf numFmtId="3" fontId="128" fillId="0" borderId="112" xfId="20966" applyNumberFormat="1" applyFont="1" applyFill="1" applyBorder="1" applyAlignment="1">
      <alignment horizontal="right" vertical="center" wrapText="1"/>
    </xf>
    <xf numFmtId="3" fontId="143" fillId="3" borderId="112" xfId="0" applyNumberFormat="1" applyFont="1" applyFill="1" applyBorder="1" applyAlignment="1">
      <alignment horizontal="right" vertical="center" wrapText="1" indent="1"/>
    </xf>
    <xf numFmtId="3" fontId="144" fillId="0" borderId="112" xfId="0" applyNumberFormat="1" applyFont="1" applyBorder="1" applyAlignment="1">
      <alignment horizontal="right" vertical="center" wrapText="1"/>
    </xf>
    <xf numFmtId="3" fontId="143" fillId="0" borderId="112" xfId="0" applyNumberFormat="1" applyFont="1" applyBorder="1" applyAlignment="1">
      <alignment horizontal="right" vertical="center" wrapText="1" indent="1"/>
    </xf>
    <xf numFmtId="3" fontId="144" fillId="0" borderId="112" xfId="20966" applyNumberFormat="1" applyFont="1" applyBorder="1" applyAlignment="1">
      <alignment horizontal="right" vertical="center" wrapText="1"/>
    </xf>
    <xf numFmtId="3" fontId="143" fillId="0" borderId="112" xfId="0" applyNumberFormat="1" applyFont="1" applyFill="1" applyBorder="1" applyAlignment="1">
      <alignment horizontal="right" vertical="center" wrapText="1" indent="1"/>
    </xf>
    <xf numFmtId="3" fontId="146" fillId="0" borderId="112" xfId="0" applyNumberFormat="1" applyFont="1" applyBorder="1" applyAlignment="1">
      <alignment horizontal="right"/>
    </xf>
    <xf numFmtId="3" fontId="144" fillId="0" borderId="18" xfId="0" applyNumberFormat="1" applyFont="1" applyFill="1" applyBorder="1" applyAlignment="1">
      <alignment horizontal="right" vertical="center" wrapText="1"/>
    </xf>
    <xf numFmtId="3" fontId="3" fillId="0" borderId="112" xfId="0" applyNumberFormat="1" applyFont="1" applyBorder="1" applyAlignment="1"/>
    <xf numFmtId="3" fontId="3" fillId="0" borderId="113" xfId="0" applyNumberFormat="1" applyFont="1" applyBorder="1" applyAlignment="1"/>
    <xf numFmtId="167" fontId="3" fillId="0" borderId="75" xfId="0" applyNumberFormat="1" applyFont="1" applyBorder="1" applyAlignment="1"/>
    <xf numFmtId="0" fontId="3" fillId="36" borderId="19" xfId="0" applyFont="1" applyFill="1" applyBorder="1"/>
    <xf numFmtId="193" fontId="3" fillId="0" borderId="15" xfId="0" applyNumberFormat="1" applyFont="1" applyBorder="1" applyAlignment="1"/>
    <xf numFmtId="193" fontId="3" fillId="0" borderId="112" xfId="0" applyNumberFormat="1" applyFont="1" applyBorder="1" applyAlignment="1"/>
    <xf numFmtId="193" fontId="3" fillId="0" borderId="78" xfId="0" applyNumberFormat="1" applyFont="1" applyBorder="1" applyAlignment="1">
      <alignment wrapText="1"/>
    </xf>
    <xf numFmtId="193" fontId="3" fillId="0" borderId="78" xfId="0" applyNumberFormat="1" applyFont="1" applyBorder="1" applyAlignment="1"/>
    <xf numFmtId="193" fontId="3" fillId="36" borderId="46" xfId="0" applyNumberFormat="1" applyFont="1" applyFill="1" applyBorder="1" applyAlignment="1"/>
    <xf numFmtId="193" fontId="3" fillId="36" borderId="17" xfId="0" applyNumberFormat="1" applyFont="1" applyFill="1" applyBorder="1"/>
    <xf numFmtId="193" fontId="3" fillId="36" borderId="19" xfId="0" applyNumberFormat="1" applyFont="1" applyFill="1" applyBorder="1"/>
    <xf numFmtId="193" fontId="3" fillId="36" borderId="47" xfId="0" applyNumberFormat="1" applyFont="1" applyFill="1" applyBorder="1"/>
    <xf numFmtId="193" fontId="3" fillId="0" borderId="112" xfId="0" applyNumberFormat="1" applyFont="1" applyBorder="1"/>
    <xf numFmtId="193" fontId="3" fillId="0" borderId="112" xfId="0" applyNumberFormat="1" applyFont="1" applyFill="1" applyBorder="1"/>
    <xf numFmtId="193" fontId="3" fillId="0" borderId="113" xfId="0" applyNumberFormat="1" applyFont="1" applyBorder="1"/>
    <xf numFmtId="9" fontId="3" fillId="0" borderId="75" xfId="20962" applyFont="1" applyBorder="1"/>
    <xf numFmtId="193" fontId="94" fillId="36" borderId="112" xfId="5" applyNumberFormat="1" applyFont="1" applyFill="1" applyBorder="1" applyProtection="1">
      <protection locked="0"/>
    </xf>
    <xf numFmtId="0" fontId="94" fillId="3" borderId="112" xfId="5" applyFont="1" applyFill="1" applyBorder="1" applyProtection="1">
      <protection locked="0"/>
    </xf>
    <xf numFmtId="193" fontId="94" fillId="36" borderId="112" xfId="1" applyNumberFormat="1" applyFont="1" applyFill="1" applyBorder="1" applyProtection="1">
      <protection locked="0"/>
    </xf>
    <xf numFmtId="3" fontId="94" fillId="36" borderId="75" xfId="5" applyNumberFormat="1" applyFont="1" applyFill="1" applyBorder="1" applyProtection="1">
      <protection locked="0"/>
    </xf>
    <xf numFmtId="193" fontId="94" fillId="3" borderId="112" xfId="5" applyNumberFormat="1" applyFont="1" applyFill="1" applyBorder="1" applyProtection="1">
      <protection locked="0"/>
    </xf>
    <xf numFmtId="165" fontId="94" fillId="3" borderId="112" xfId="8" applyNumberFormat="1" applyFont="1" applyFill="1" applyBorder="1" applyAlignment="1" applyProtection="1">
      <alignment horizontal="right" wrapText="1"/>
      <protection locked="0"/>
    </xf>
    <xf numFmtId="165" fontId="94" fillId="4" borderId="112" xfId="8" applyNumberFormat="1" applyFont="1" applyFill="1" applyBorder="1" applyAlignment="1" applyProtection="1">
      <alignment horizontal="right" wrapText="1"/>
      <protection locked="0"/>
    </xf>
    <xf numFmtId="193" fontId="94" fillId="0" borderId="112" xfId="1" applyNumberFormat="1" applyFont="1" applyFill="1" applyBorder="1" applyProtection="1">
      <protection locked="0"/>
    </xf>
    <xf numFmtId="193" fontId="122" fillId="36" borderId="18" xfId="16" applyNumberFormat="1" applyFont="1" applyFill="1" applyBorder="1" applyAlignment="1" applyProtection="1">
      <protection locked="0"/>
    </xf>
    <xf numFmtId="3" fontId="122" fillId="36" borderId="18" xfId="16" applyNumberFormat="1" applyFont="1" applyFill="1" applyBorder="1" applyAlignment="1" applyProtection="1">
      <protection locked="0"/>
    </xf>
    <xf numFmtId="193" fontId="122" fillId="36" borderId="18" xfId="1" applyNumberFormat="1" applyFont="1" applyFill="1" applyBorder="1" applyAlignment="1" applyProtection="1">
      <protection locked="0"/>
    </xf>
    <xf numFmtId="193" fontId="94" fillId="3" borderId="18" xfId="5" applyNumberFormat="1" applyFont="1" applyFill="1" applyBorder="1" applyProtection="1">
      <protection locked="0"/>
    </xf>
    <xf numFmtId="164" fontId="122" fillId="36" borderId="19" xfId="1" applyNumberFormat="1" applyFont="1" applyFill="1" applyBorder="1" applyAlignment="1" applyProtection="1">
      <protection locked="0"/>
    </xf>
    <xf numFmtId="3" fontId="105" fillId="77" borderId="112" xfId="1" applyNumberFormat="1" applyFont="1" applyFill="1" applyBorder="1" applyAlignment="1" applyProtection="1">
      <alignment horizontal="right" vertical="center"/>
    </xf>
    <xf numFmtId="3" fontId="45" fillId="76" borderId="69" xfId="20964" applyNumberFormat="1" applyFont="1" applyFill="1" applyBorder="1" applyAlignment="1" applyProtection="1">
      <alignment horizontal="center" vertical="center"/>
      <protection locked="0"/>
    </xf>
    <xf numFmtId="3" fontId="105" fillId="0" borderId="112" xfId="1" applyNumberFormat="1" applyFont="1" applyFill="1" applyBorder="1" applyAlignment="1" applyProtection="1">
      <alignment horizontal="right" vertical="center"/>
      <protection locked="0"/>
    </xf>
    <xf numFmtId="164" fontId="105" fillId="0" borderId="112" xfId="948" applyNumberFormat="1" applyFont="1" applyFill="1" applyBorder="1" applyAlignment="1" applyProtection="1">
      <alignment horizontal="right" vertical="center"/>
      <protection locked="0"/>
    </xf>
    <xf numFmtId="3" fontId="105" fillId="3" borderId="112" xfId="1" applyNumberFormat="1" applyFont="1" applyFill="1" applyBorder="1" applyAlignment="1" applyProtection="1">
      <alignment horizontal="right" vertical="center"/>
      <protection locked="0"/>
    </xf>
    <xf numFmtId="10" fontId="45" fillId="76" borderId="115" xfId="20962" applyNumberFormat="1" applyFont="1" applyFill="1" applyBorder="1" applyAlignment="1" applyProtection="1">
      <alignment horizontal="center" vertical="center"/>
      <protection locked="0"/>
    </xf>
    <xf numFmtId="10" fontId="105" fillId="77" borderId="112" xfId="20962" applyNumberFormat="1" applyFont="1" applyFill="1" applyBorder="1" applyAlignment="1" applyProtection="1">
      <alignment horizontal="right" vertical="center"/>
    </xf>
    <xf numFmtId="164" fontId="45" fillId="76" borderId="115" xfId="948" applyNumberFormat="1" applyFont="1" applyFill="1" applyBorder="1" applyAlignment="1" applyProtection="1">
      <alignment horizontal="right" vertical="center"/>
      <protection locked="0"/>
    </xf>
    <xf numFmtId="164" fontId="105" fillId="3" borderId="112" xfId="948" applyNumberFormat="1" applyFont="1" applyFill="1" applyBorder="1" applyAlignment="1" applyProtection="1">
      <alignment horizontal="right" vertical="center"/>
      <protection locked="0"/>
    </xf>
    <xf numFmtId="3" fontId="116" fillId="0" borderId="112" xfId="0" applyNumberFormat="1" applyFont="1" applyBorder="1"/>
    <xf numFmtId="3" fontId="141" fillId="0" borderId="112" xfId="0" applyNumberFormat="1" applyFont="1" applyBorder="1"/>
    <xf numFmtId="4" fontId="115" fillId="0" borderId="112" xfId="0" applyNumberFormat="1" applyFont="1" applyBorder="1"/>
    <xf numFmtId="4" fontId="112" fillId="36" borderId="112" xfId="20965" applyNumberFormat="1" applyFont="1" applyFill="1" applyBorder="1"/>
    <xf numFmtId="167" fontId="113" fillId="0" borderId="112" xfId="0" applyNumberFormat="1" applyFont="1" applyBorder="1"/>
    <xf numFmtId="167" fontId="113" fillId="0" borderId="75" xfId="0" applyNumberFormat="1" applyFont="1" applyBorder="1"/>
    <xf numFmtId="167" fontId="116" fillId="0" borderId="18" xfId="0" applyNumberFormat="1" applyFont="1" applyBorder="1"/>
    <xf numFmtId="167" fontId="116" fillId="0" borderId="19" xfId="0" applyNumberFormat="1" applyFont="1" applyBorder="1"/>
    <xf numFmtId="3" fontId="147" fillId="0" borderId="112" xfId="0" applyNumberFormat="1" applyFont="1" applyFill="1" applyBorder="1"/>
    <xf numFmtId="3" fontId="140" fillId="0" borderId="75" xfId="0" applyNumberFormat="1" applyFont="1" applyBorder="1"/>
    <xf numFmtId="0" fontId="113" fillId="79" borderId="112" xfId="0" applyFont="1" applyFill="1" applyBorder="1"/>
    <xf numFmtId="3" fontId="140" fillId="79" borderId="112" xfId="0" applyNumberFormat="1" applyFont="1" applyFill="1" applyBorder="1"/>
    <xf numFmtId="3" fontId="140" fillId="79" borderId="75" xfId="0" applyNumberFormat="1" applyFont="1" applyFill="1" applyBorder="1"/>
    <xf numFmtId="3" fontId="140" fillId="0" borderId="75" xfId="0" applyNumberFormat="1" applyFont="1" applyFill="1" applyBorder="1"/>
    <xf numFmtId="3" fontId="116" fillId="0" borderId="18" xfId="0" applyNumberFormat="1" applyFont="1" applyBorder="1"/>
    <xf numFmtId="3" fontId="140" fillId="0" borderId="18" xfId="0" applyNumberFormat="1" applyFont="1" applyFill="1" applyBorder="1"/>
    <xf numFmtId="3" fontId="140" fillId="0" borderId="19" xfId="0" applyNumberFormat="1" applyFont="1" applyFill="1" applyBorder="1"/>
    <xf numFmtId="3" fontId="112" fillId="0" borderId="112" xfId="0" applyNumberFormat="1" applyFont="1" applyFill="1" applyBorder="1" applyAlignment="1">
      <alignment horizontal="left" vertical="center" wrapText="1"/>
    </xf>
    <xf numFmtId="3" fontId="115" fillId="0" borderId="112" xfId="0" applyNumberFormat="1" applyFont="1" applyFill="1" applyBorder="1" applyAlignment="1">
      <alignment horizontal="left" vertical="center" wrapText="1"/>
    </xf>
    <xf numFmtId="38" fontId="112" fillId="0" borderId="112" xfId="0" applyNumberFormat="1" applyFont="1" applyBorder="1"/>
    <xf numFmtId="164" fontId="117" fillId="0" borderId="112" xfId="0" applyNumberFormat="1" applyFont="1" applyBorder="1"/>
    <xf numFmtId="164" fontId="150" fillId="0" borderId="112" xfId="7" applyNumberFormat="1" applyFont="1" applyBorder="1"/>
    <xf numFmtId="194" fontId="150" fillId="0" borderId="112" xfId="20962" applyNumberFormat="1" applyFont="1" applyBorder="1"/>
    <xf numFmtId="10" fontId="150" fillId="0" borderId="112" xfId="7" applyNumberFormat="1" applyFont="1" applyBorder="1"/>
    <xf numFmtId="43" fontId="150" fillId="0" borderId="112" xfId="7" applyFont="1" applyBorder="1"/>
    <xf numFmtId="164" fontId="151" fillId="0" borderId="112" xfId="7" applyNumberFormat="1" applyFont="1" applyBorder="1"/>
    <xf numFmtId="43" fontId="96" fillId="0" borderId="0" xfId="7" applyFont="1" applyAlignment="1">
      <alignment horizontal="left"/>
    </xf>
    <xf numFmtId="14" fontId="113" fillId="0" borderId="0" xfId="0" applyNumberFormat="1" applyFont="1" applyAlignment="1">
      <alignment horizontal="left"/>
    </xf>
    <xf numFmtId="0" fontId="86" fillId="0" borderId="0" xfId="0" applyFont="1" applyBorder="1" applyAlignment="1">
      <alignment horizontal="center" vertical="center"/>
    </xf>
    <xf numFmtId="0" fontId="2" fillId="0" borderId="112" xfId="0" applyFont="1" applyBorder="1" applyAlignment="1">
      <alignment vertical="center" wrapText="1"/>
    </xf>
    <xf numFmtId="0" fontId="45" fillId="0" borderId="112" xfId="0" applyFont="1" applyFill="1" applyBorder="1" applyAlignment="1">
      <alignment horizontal="center" vertical="center" wrapText="1"/>
    </xf>
    <xf numFmtId="0" fontId="65" fillId="0" borderId="112" xfId="0" applyFont="1" applyFill="1" applyBorder="1" applyAlignment="1">
      <alignment horizontal="left" vertical="center" wrapText="1"/>
    </xf>
    <xf numFmtId="0" fontId="2" fillId="0" borderId="12" xfId="0" applyFont="1" applyBorder="1" applyAlignment="1">
      <alignment horizontal="right" vertical="center" wrapText="1"/>
    </xf>
    <xf numFmtId="0" fontId="2" fillId="0" borderId="15" xfId="0" applyFont="1" applyBorder="1"/>
    <xf numFmtId="14" fontId="2" fillId="0" borderId="0" xfId="0" applyNumberFormat="1" applyFont="1" applyAlignment="1">
      <alignment horizontal="left"/>
    </xf>
    <xf numFmtId="164" fontId="2" fillId="0" borderId="112" xfId="7" applyNumberFormat="1" applyFont="1" applyFill="1" applyBorder="1" applyAlignment="1" applyProtection="1">
      <alignment horizontal="center" vertical="center" wrapText="1"/>
    </xf>
    <xf numFmtId="0" fontId="111" fillId="0" borderId="112" xfId="0" applyFont="1" applyBorder="1" applyAlignment="1">
      <alignment horizontal="center" vertical="center"/>
    </xf>
    <xf numFmtId="0" fontId="124" fillId="3" borderId="112" xfId="20966" applyFont="1" applyFill="1" applyBorder="1" applyAlignment="1">
      <alignment horizontal="left" vertical="center" wrapText="1"/>
    </xf>
    <xf numFmtId="0" fontId="124" fillId="0" borderId="112" xfId="0" applyFont="1" applyFill="1" applyBorder="1" applyAlignment="1">
      <alignment horizontal="left" vertical="center" wrapText="1"/>
    </xf>
    <xf numFmtId="0" fontId="127" fillId="0" borderId="112" xfId="20966" applyFont="1" applyFill="1" applyBorder="1" applyAlignment="1">
      <alignment horizontal="left" vertical="center" wrapText="1" indent="1"/>
    </xf>
    <xf numFmtId="0" fontId="2" fillId="0" borderId="75" xfId="0" applyFont="1" applyFill="1" applyBorder="1" applyAlignment="1" applyProtection="1">
      <alignment horizontal="center" vertical="center" wrapText="1"/>
    </xf>
    <xf numFmtId="0" fontId="0" fillId="0" borderId="15" xfId="0" applyBorder="1" applyAlignment="1">
      <alignment horizontal="center"/>
    </xf>
    <xf numFmtId="0" fontId="0" fillId="0" borderId="17" xfId="0" applyBorder="1" applyAlignment="1">
      <alignment horizontal="center"/>
    </xf>
    <xf numFmtId="0" fontId="126" fillId="0" borderId="18" xfId="0" applyFont="1" applyFill="1" applyBorder="1" applyAlignment="1">
      <alignment horizontal="left" vertical="center" wrapText="1"/>
    </xf>
    <xf numFmtId="0" fontId="0" fillId="0" borderId="15" xfId="0" applyBorder="1" applyAlignment="1">
      <alignment horizontal="center" vertical="center"/>
    </xf>
    <xf numFmtId="0" fontId="0" fillId="0" borderId="17" xfId="0" applyBorder="1" applyAlignment="1">
      <alignment horizontal="center" vertical="center"/>
    </xf>
    <xf numFmtId="0" fontId="126" fillId="3" borderId="18" xfId="0" applyFont="1" applyFill="1" applyBorder="1" applyAlignment="1">
      <alignment vertical="center" wrapText="1"/>
    </xf>
    <xf numFmtId="0" fontId="104" fillId="0" borderId="112" xfId="0" applyNumberFormat="1" applyFont="1" applyFill="1" applyBorder="1" applyAlignment="1">
      <alignment vertical="center" wrapText="1"/>
    </xf>
    <xf numFmtId="0" fontId="2" fillId="0" borderId="112" xfId="0" applyNumberFormat="1" applyFont="1" applyFill="1" applyBorder="1" applyAlignment="1">
      <alignment horizontal="left" vertical="center" wrapText="1" indent="4"/>
    </xf>
    <xf numFmtId="0" fontId="45" fillId="0" borderId="112" xfId="0" applyNumberFormat="1" applyFont="1" applyFill="1" applyBorder="1" applyAlignment="1">
      <alignment vertical="center" wrapText="1"/>
    </xf>
    <xf numFmtId="0" fontId="96" fillId="0" borderId="112" xfId="0" applyNumberFormat="1" applyFont="1" applyFill="1" applyBorder="1" applyAlignment="1">
      <alignment horizontal="left" vertical="center" wrapText="1"/>
    </xf>
    <xf numFmtId="0" fontId="2" fillId="0" borderId="112" xfId="0" applyNumberFormat="1" applyFont="1" applyFill="1" applyBorder="1" applyAlignment="1">
      <alignment horizontal="left" vertical="center" wrapText="1"/>
    </xf>
    <xf numFmtId="0" fontId="45" fillId="0" borderId="18" xfId="0" applyNumberFormat="1" applyFont="1" applyFill="1" applyBorder="1" applyAlignment="1">
      <alignment vertical="center" wrapText="1"/>
    </xf>
    <xf numFmtId="0" fontId="84" fillId="0" borderId="112" xfId="0" applyFont="1" applyBorder="1" applyAlignment="1">
      <alignment vertical="center" wrapText="1"/>
    </xf>
    <xf numFmtId="14" fontId="2" fillId="3" borderId="112" xfId="8" quotePrefix="1" applyNumberFormat="1" applyFont="1" applyFill="1" applyBorder="1" applyAlignment="1" applyProtection="1">
      <alignment horizontal="left"/>
      <protection locked="0"/>
    </xf>
    <xf numFmtId="0" fontId="45" fillId="0" borderId="112" xfId="0" applyFont="1" applyBorder="1" applyAlignment="1">
      <alignment horizontal="center" vertical="center" wrapText="1"/>
    </xf>
    <xf numFmtId="0" fontId="2" fillId="0" borderId="112" xfId="0" applyFont="1" applyBorder="1" applyAlignment="1">
      <alignment wrapText="1"/>
    </xf>
    <xf numFmtId="0" fontId="84" fillId="0" borderId="75" xfId="0" applyFont="1" applyBorder="1" applyAlignment="1"/>
    <xf numFmtId="0" fontId="45" fillId="0" borderId="75" xfId="0" applyFont="1" applyBorder="1" applyAlignment="1">
      <alignment horizontal="center" vertical="center" wrapText="1"/>
    </xf>
    <xf numFmtId="0" fontId="2" fillId="0" borderId="75" xfId="0" applyFont="1" applyBorder="1" applyAlignment="1"/>
    <xf numFmtId="0" fontId="2" fillId="0" borderId="75" xfId="0" applyFont="1" applyBorder="1" applyAlignment="1">
      <alignment wrapText="1"/>
    </xf>
    <xf numFmtId="0" fontId="2" fillId="0" borderId="18" xfId="0" applyFont="1" applyBorder="1" applyAlignment="1">
      <alignment wrapText="1"/>
    </xf>
    <xf numFmtId="0" fontId="84" fillId="0" borderId="19" xfId="0" applyFont="1" applyBorder="1" applyAlignment="1"/>
    <xf numFmtId="0" fontId="86" fillId="0" borderId="112" xfId="0" applyFont="1" applyFill="1" applyBorder="1" applyAlignment="1">
      <alignment horizontal="center" vertical="center" wrapText="1"/>
    </xf>
    <xf numFmtId="0" fontId="93" fillId="0" borderId="60" xfId="0" applyFont="1" applyBorder="1" applyAlignment="1">
      <alignment horizontal="left" wrapText="1"/>
    </xf>
    <xf numFmtId="0" fontId="93" fillId="0" borderId="59" xfId="0" applyFont="1" applyBorder="1" applyAlignment="1">
      <alignment horizontal="left" wrapText="1"/>
    </xf>
    <xf numFmtId="0" fontId="93" fillId="0" borderId="48" xfId="0" applyFont="1" applyBorder="1" applyAlignment="1">
      <alignment horizontal="center" vertical="center"/>
    </xf>
    <xf numFmtId="0" fontId="93" fillId="0" borderId="49" xfId="0" applyFont="1" applyBorder="1" applyAlignment="1">
      <alignment horizontal="center" vertical="center"/>
    </xf>
    <xf numFmtId="0" fontId="93" fillId="0" borderId="71" xfId="0" applyFont="1" applyBorder="1" applyAlignment="1">
      <alignment horizontal="center" vertical="center"/>
    </xf>
    <xf numFmtId="0" fontId="0" fillId="0" borderId="112" xfId="0" applyBorder="1" applyAlignment="1">
      <alignment horizontal="center"/>
    </xf>
    <xf numFmtId="0" fontId="0" fillId="0" borderId="75" xfId="0" applyBorder="1" applyAlignment="1">
      <alignment horizontal="center"/>
    </xf>
    <xf numFmtId="0" fontId="0" fillId="0" borderId="12" xfId="0" applyBorder="1" applyAlignment="1">
      <alignment horizontal="center" vertical="center"/>
    </xf>
    <xf numFmtId="0" fontId="0" fillId="0" borderId="15" xfId="0" applyBorder="1" applyAlignment="1">
      <alignment horizontal="center" vertical="center"/>
    </xf>
    <xf numFmtId="0" fontId="121" fillId="0" borderId="13" xfId="0" applyFont="1" applyBorder="1" applyAlignment="1">
      <alignment horizontal="center" vertical="center"/>
    </xf>
    <xf numFmtId="0" fontId="121" fillId="0" borderId="112" xfId="0" applyFont="1" applyBorder="1" applyAlignment="1">
      <alignment horizontal="center" vertical="center"/>
    </xf>
    <xf numFmtId="0" fontId="122" fillId="0" borderId="13" xfId="0" applyFont="1" applyFill="1" applyBorder="1" applyAlignment="1" applyProtection="1">
      <alignment horizontal="center" vertical="center"/>
    </xf>
    <xf numFmtId="0" fontId="122" fillId="0" borderId="14" xfId="0" applyFont="1" applyFill="1" applyBorder="1" applyAlignment="1" applyProtection="1">
      <alignment horizontal="center" vertical="center"/>
    </xf>
    <xf numFmtId="0" fontId="121" fillId="0" borderId="13" xfId="0" applyFont="1" applyBorder="1" applyAlignment="1">
      <alignment horizontal="center" vertical="center" wrapText="1"/>
    </xf>
    <xf numFmtId="0" fontId="121" fillId="0" borderId="112" xfId="0" applyFont="1" applyBorder="1" applyAlignment="1">
      <alignment horizontal="center" vertical="center" wrapText="1"/>
    </xf>
    <xf numFmtId="0" fontId="0" fillId="0" borderId="13" xfId="0" applyBorder="1" applyAlignment="1">
      <alignment horizontal="center" vertical="center" wrapText="1"/>
    </xf>
    <xf numFmtId="0" fontId="0" fillId="0" borderId="112" xfId="0" applyBorder="1" applyAlignment="1">
      <alignment horizontal="center" vertical="center" wrapText="1"/>
    </xf>
    <xf numFmtId="0" fontId="45" fillId="0" borderId="112" xfId="0" applyFont="1" applyBorder="1" applyAlignment="1">
      <alignment horizontal="center" vertical="center" wrapText="1"/>
    </xf>
    <xf numFmtId="0" fontId="45" fillId="0" borderId="75" xfId="0" applyFont="1" applyBorder="1" applyAlignment="1">
      <alignment horizontal="center" vertical="center" wrapText="1"/>
    </xf>
    <xf numFmtId="0" fontId="86" fillId="0" borderId="112" xfId="0" applyFont="1" applyFill="1" applyBorder="1" applyAlignment="1">
      <alignment horizontal="center" vertical="center" wrapText="1"/>
    </xf>
    <xf numFmtId="0" fontId="84" fillId="0" borderId="112" xfId="0" applyFont="1" applyFill="1" applyBorder="1" applyAlignment="1">
      <alignment horizontal="center" vertical="center" wrapText="1"/>
    </xf>
    <xf numFmtId="0" fontId="45" fillId="0" borderId="112" xfId="11" applyFont="1" applyFill="1" applyBorder="1" applyAlignment="1" applyProtection="1">
      <alignment horizontal="center" vertical="center" wrapText="1"/>
    </xf>
    <xf numFmtId="0" fontId="45" fillId="0" borderId="75" xfId="11" applyFont="1" applyFill="1" applyBorder="1" applyAlignment="1" applyProtection="1">
      <alignment horizontal="center" vertical="center" wrapText="1"/>
    </xf>
    <xf numFmtId="0" fontId="45" fillId="0" borderId="64"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65" xfId="13" applyFont="1" applyFill="1" applyBorder="1" applyAlignment="1" applyProtection="1">
      <alignment horizontal="center" vertical="center" wrapText="1"/>
      <protection locked="0"/>
    </xf>
    <xf numFmtId="0" fontId="98" fillId="3" borderId="58"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3" xfId="1" applyNumberFormat="1" applyFont="1" applyFill="1" applyBorder="1" applyAlignment="1" applyProtection="1">
      <alignment horizontal="center"/>
      <protection locked="0"/>
    </xf>
    <xf numFmtId="164" fontId="45" fillId="3" borderId="23" xfId="1" applyNumberFormat="1" applyFont="1" applyFill="1" applyBorder="1" applyAlignment="1" applyProtection="1">
      <alignment horizontal="center"/>
      <protection locked="0"/>
    </xf>
    <xf numFmtId="164" fontId="45" fillId="3" borderId="24" xfId="1" applyNumberFormat="1" applyFont="1" applyFill="1" applyBorder="1" applyAlignment="1" applyProtection="1">
      <alignment horizontal="center"/>
      <protection locked="0"/>
    </xf>
    <xf numFmtId="164" fontId="45" fillId="0" borderId="12" xfId="1" applyNumberFormat="1" applyFont="1" applyFill="1" applyBorder="1" applyAlignment="1" applyProtection="1">
      <alignment horizontal="center"/>
      <protection locked="0"/>
    </xf>
    <xf numFmtId="164" fontId="45" fillId="0" borderId="13"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0" fontId="86" fillId="0" borderId="45" xfId="0" applyFont="1" applyBorder="1" applyAlignment="1">
      <alignment horizontal="center" vertical="center" wrapText="1"/>
    </xf>
    <xf numFmtId="0" fontId="86" fillId="0" borderId="46" xfId="0" applyFont="1" applyBorder="1" applyAlignment="1">
      <alignment horizontal="center" vertical="center" wrapText="1"/>
    </xf>
    <xf numFmtId="164" fontId="45" fillId="0" borderId="66" xfId="1" applyNumberFormat="1" applyFont="1" applyFill="1" applyBorder="1" applyAlignment="1" applyProtection="1">
      <alignment horizontal="center" vertical="center" wrapText="1"/>
      <protection locked="0"/>
    </xf>
    <xf numFmtId="164" fontId="45" fillId="0" borderId="67" xfId="1" applyNumberFormat="1" applyFont="1" applyFill="1" applyBorder="1" applyAlignment="1" applyProtection="1">
      <alignment horizontal="center" vertical="center" wrapText="1"/>
      <protection locked="0"/>
    </xf>
    <xf numFmtId="0" fontId="3" fillId="0" borderId="65"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86" fillId="0" borderId="68" xfId="0" applyFont="1" applyBorder="1" applyAlignment="1">
      <alignment horizontal="center"/>
    </xf>
    <xf numFmtId="0" fontId="86" fillId="0" borderId="69"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48" xfId="0" applyFont="1" applyFill="1" applyBorder="1" applyAlignment="1">
      <alignment horizontal="left" vertical="center"/>
    </xf>
    <xf numFmtId="0" fontId="99" fillId="0" borderId="49" xfId="0" applyFont="1" applyFill="1" applyBorder="1" applyAlignment="1">
      <alignment horizontal="left" vertical="center"/>
    </xf>
    <xf numFmtId="0" fontId="3" fillId="0" borderId="4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112"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13" xfId="0" applyFont="1" applyBorder="1" applyAlignment="1">
      <alignment horizontal="center"/>
    </xf>
    <xf numFmtId="0" fontId="3" fillId="0" borderId="14" xfId="0" applyFont="1" applyBorder="1" applyAlignment="1">
      <alignment horizontal="center" vertical="center" wrapText="1"/>
    </xf>
    <xf numFmtId="0" fontId="3" fillId="0" borderId="75" xfId="0" applyFont="1" applyBorder="1" applyAlignment="1">
      <alignment horizontal="center" vertical="center" wrapText="1"/>
    </xf>
    <xf numFmtId="0" fontId="115" fillId="0" borderId="93" xfId="0" applyNumberFormat="1" applyFont="1" applyFill="1" applyBorder="1" applyAlignment="1">
      <alignment horizontal="left" vertical="center" wrapText="1"/>
    </xf>
    <xf numFmtId="0" fontId="115" fillId="0" borderId="94" xfId="0" applyNumberFormat="1" applyFont="1" applyFill="1" applyBorder="1" applyAlignment="1">
      <alignment horizontal="left" vertical="center" wrapText="1"/>
    </xf>
    <xf numFmtId="0" fontId="115" fillId="0" borderId="98" xfId="0" applyNumberFormat="1" applyFont="1" applyFill="1" applyBorder="1" applyAlignment="1">
      <alignment horizontal="left" vertical="center" wrapText="1"/>
    </xf>
    <xf numFmtId="0" fontId="115" fillId="0" borderId="99" xfId="0" applyNumberFormat="1" applyFont="1" applyFill="1" applyBorder="1" applyAlignment="1">
      <alignment horizontal="left" vertical="center" wrapText="1"/>
    </xf>
    <xf numFmtId="0" fontId="115" fillId="0" borderId="101" xfId="0" applyNumberFormat="1" applyFont="1" applyFill="1" applyBorder="1" applyAlignment="1">
      <alignment horizontal="left" vertical="center" wrapText="1"/>
    </xf>
    <xf numFmtId="0" fontId="115" fillId="0" borderId="102" xfId="0" applyNumberFormat="1" applyFont="1" applyFill="1" applyBorder="1" applyAlignment="1">
      <alignment horizontal="left" vertical="center" wrapText="1"/>
    </xf>
    <xf numFmtId="0" fontId="116" fillId="0" borderId="95" xfId="0" applyFont="1" applyFill="1" applyBorder="1" applyAlignment="1">
      <alignment horizontal="center" vertical="center" wrapText="1"/>
    </xf>
    <xf numFmtId="0" fontId="116" fillId="0" borderId="96" xfId="0" applyFont="1" applyFill="1" applyBorder="1" applyAlignment="1">
      <alignment horizontal="center" vertical="center" wrapText="1"/>
    </xf>
    <xf numFmtId="0" fontId="116" fillId="0" borderId="97" xfId="0" applyFont="1" applyFill="1" applyBorder="1" applyAlignment="1">
      <alignment horizontal="center" vertical="center" wrapText="1"/>
    </xf>
    <xf numFmtId="0" fontId="116" fillId="0" borderId="79" xfId="0" applyFont="1" applyFill="1" applyBorder="1" applyAlignment="1">
      <alignment horizontal="center" vertical="center" wrapText="1"/>
    </xf>
    <xf numFmtId="0" fontId="116" fillId="0" borderId="100" xfId="0" applyFont="1" applyFill="1" applyBorder="1" applyAlignment="1">
      <alignment horizontal="center" vertical="center" wrapText="1"/>
    </xf>
    <xf numFmtId="0" fontId="116" fillId="0" borderId="69" xfId="0" applyFont="1" applyFill="1" applyBorder="1" applyAlignment="1">
      <alignment horizontal="center" vertical="center" wrapText="1"/>
    </xf>
    <xf numFmtId="0" fontId="112" fillId="0" borderId="116" xfId="0" applyFont="1" applyBorder="1" applyAlignment="1">
      <alignment horizontal="center" vertical="center" wrapText="1"/>
    </xf>
    <xf numFmtId="0" fontId="112" fillId="0" borderId="7" xfId="0" applyFont="1" applyBorder="1" applyAlignment="1">
      <alignment horizontal="center" vertical="center" wrapText="1"/>
    </xf>
    <xf numFmtId="0" fontId="112" fillId="0" borderId="112" xfId="0" applyFont="1" applyBorder="1" applyAlignment="1">
      <alignment horizontal="center" vertical="center" wrapText="1"/>
    </xf>
    <xf numFmtId="0" fontId="120" fillId="0" borderId="112" xfId="0" applyFont="1" applyFill="1" applyBorder="1" applyAlignment="1">
      <alignment horizontal="center" vertical="center"/>
    </xf>
    <xf numFmtId="0" fontId="120" fillId="0" borderId="95" xfId="0" applyFont="1" applyFill="1" applyBorder="1" applyAlignment="1">
      <alignment horizontal="center" vertical="center"/>
    </xf>
    <xf numFmtId="0" fontId="120" fillId="0" borderId="97" xfId="0" applyFont="1" applyFill="1" applyBorder="1" applyAlignment="1">
      <alignment horizontal="center" vertical="center"/>
    </xf>
    <xf numFmtId="0" fontId="120" fillId="0" borderId="79" xfId="0" applyFont="1" applyFill="1" applyBorder="1" applyAlignment="1">
      <alignment horizontal="center" vertical="center"/>
    </xf>
    <xf numFmtId="0" fontId="120" fillId="0" borderId="69" xfId="0" applyFont="1" applyFill="1" applyBorder="1" applyAlignment="1">
      <alignment horizontal="center" vertical="center"/>
    </xf>
    <xf numFmtId="0" fontId="116" fillId="0" borderId="112" xfId="0" applyFont="1" applyFill="1" applyBorder="1" applyAlignment="1">
      <alignment horizontal="center" vertical="center" wrapText="1"/>
    </xf>
    <xf numFmtId="0" fontId="112" fillId="0" borderId="115" xfId="0" applyFont="1" applyBorder="1" applyAlignment="1">
      <alignment horizontal="center" vertical="center" wrapText="1"/>
    </xf>
    <xf numFmtId="0" fontId="115" fillId="0" borderId="95" xfId="0" applyFont="1" applyFill="1" applyBorder="1" applyAlignment="1">
      <alignment horizontal="center" vertical="center" wrapText="1"/>
    </xf>
    <xf numFmtId="0" fontId="115" fillId="0" borderId="97" xfId="0" applyFont="1" applyFill="1" applyBorder="1" applyAlignment="1">
      <alignment horizontal="center" vertical="center" wrapText="1"/>
    </xf>
    <xf numFmtId="0" fontId="115" fillId="0" borderId="64" xfId="0" applyFont="1" applyFill="1" applyBorder="1" applyAlignment="1">
      <alignment horizontal="center" vertical="center" wrapText="1"/>
    </xf>
    <xf numFmtId="0" fontId="115" fillId="0" borderId="62" xfId="0" applyFont="1" applyFill="1" applyBorder="1" applyAlignment="1">
      <alignment horizontal="center" vertical="center" wrapText="1"/>
    </xf>
    <xf numFmtId="0" fontId="115" fillId="0" borderId="79" xfId="0" applyFont="1" applyFill="1" applyBorder="1" applyAlignment="1">
      <alignment horizontal="center" vertical="center" wrapText="1"/>
    </xf>
    <xf numFmtId="0" fontId="115" fillId="0" borderId="69" xfId="0" applyFont="1" applyFill="1" applyBorder="1" applyAlignment="1">
      <alignment horizontal="center" vertical="center" wrapText="1"/>
    </xf>
    <xf numFmtId="0" fontId="112" fillId="0" borderId="113" xfId="0" applyFont="1" applyFill="1" applyBorder="1" applyAlignment="1">
      <alignment horizontal="center" vertical="center" wrapText="1"/>
    </xf>
    <xf numFmtId="0" fontId="112" fillId="0" borderId="114" xfId="0" applyFont="1" applyFill="1" applyBorder="1" applyAlignment="1">
      <alignment horizontal="center" vertical="center" wrapText="1"/>
    </xf>
    <xf numFmtId="0" fontId="115" fillId="0" borderId="70"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2" fillId="0" borderId="70" xfId="0" applyFont="1" applyFill="1" applyBorder="1" applyAlignment="1">
      <alignment horizontal="center" vertical="center" wrapText="1"/>
    </xf>
    <xf numFmtId="0" fontId="112" fillId="0" borderId="69" xfId="0" applyFont="1" applyBorder="1" applyAlignment="1">
      <alignment horizontal="center" vertical="center" wrapText="1"/>
    </xf>
    <xf numFmtId="0" fontId="115" fillId="0" borderId="48" xfId="0" applyNumberFormat="1" applyFont="1" applyFill="1" applyBorder="1" applyAlignment="1">
      <alignment horizontal="left" vertical="top" wrapText="1"/>
    </xf>
    <xf numFmtId="0" fontId="115" fillId="0" borderId="71" xfId="0" applyNumberFormat="1" applyFont="1" applyFill="1" applyBorder="1" applyAlignment="1">
      <alignment horizontal="left" vertical="top" wrapText="1"/>
    </xf>
    <xf numFmtId="0" fontId="115" fillId="0" borderId="57" xfId="0" applyNumberFormat="1" applyFont="1" applyFill="1" applyBorder="1" applyAlignment="1">
      <alignment horizontal="left" vertical="top" wrapText="1"/>
    </xf>
    <xf numFmtId="0" fontId="115" fillId="0" borderId="85" xfId="0" applyNumberFormat="1" applyFont="1" applyFill="1" applyBorder="1" applyAlignment="1">
      <alignment horizontal="left" vertical="top" wrapText="1"/>
    </xf>
    <xf numFmtId="0" fontId="115" fillId="0" borderId="92" xfId="0" applyNumberFormat="1" applyFont="1" applyFill="1" applyBorder="1" applyAlignment="1">
      <alignment horizontal="left" vertical="top" wrapText="1"/>
    </xf>
    <xf numFmtId="0" fontId="115" fillId="0" borderId="117" xfId="0" applyNumberFormat="1" applyFont="1" applyFill="1" applyBorder="1" applyAlignment="1">
      <alignment horizontal="left" vertical="top" wrapText="1"/>
    </xf>
    <xf numFmtId="0" fontId="115" fillId="0" borderId="80" xfId="0" applyFont="1" applyFill="1" applyBorder="1" applyAlignment="1">
      <alignment horizontal="center" vertical="center" wrapText="1"/>
    </xf>
    <xf numFmtId="0" fontId="115" fillId="0" borderId="61" xfId="0" applyFont="1" applyFill="1" applyBorder="1" applyAlignment="1">
      <alignment horizontal="center" vertical="center" wrapText="1"/>
    </xf>
    <xf numFmtId="0" fontId="112" fillId="0" borderId="58" xfId="0" applyFont="1" applyBorder="1" applyAlignment="1">
      <alignment horizontal="center" vertical="center" wrapText="1"/>
    </xf>
    <xf numFmtId="0" fontId="112" fillId="0" borderId="63" xfId="0" applyFont="1" applyFill="1" applyBorder="1" applyAlignment="1">
      <alignment horizontal="center" vertical="center" wrapText="1"/>
    </xf>
    <xf numFmtId="0" fontId="112" fillId="0" borderId="23" xfId="0" applyFont="1" applyFill="1" applyBorder="1" applyAlignment="1">
      <alignment horizontal="center" vertical="center" wrapText="1"/>
    </xf>
    <xf numFmtId="0" fontId="112" fillId="0" borderId="24" xfId="0" applyFont="1" applyFill="1" applyBorder="1" applyAlignment="1">
      <alignment horizontal="center" vertical="center" wrapText="1"/>
    </xf>
    <xf numFmtId="0" fontId="112" fillId="0" borderId="95" xfId="0" applyFont="1" applyBorder="1" applyAlignment="1">
      <alignment horizontal="center" vertical="top" wrapText="1"/>
    </xf>
    <xf numFmtId="0" fontId="112" fillId="0" borderId="96" xfId="0" applyFont="1" applyBorder="1" applyAlignment="1">
      <alignment horizontal="center" vertical="top" wrapText="1"/>
    </xf>
    <xf numFmtId="0" fontId="112" fillId="0" borderId="95" xfId="0" applyFont="1" applyFill="1" applyBorder="1" applyAlignment="1">
      <alignment horizontal="center" vertical="top" wrapText="1"/>
    </xf>
    <xf numFmtId="0" fontId="112" fillId="0" borderId="114" xfId="0" applyFont="1" applyFill="1" applyBorder="1" applyAlignment="1">
      <alignment horizontal="center" vertical="top" wrapText="1"/>
    </xf>
    <xf numFmtId="0" fontId="112" fillId="0" borderId="115" xfId="0" applyFont="1" applyFill="1" applyBorder="1" applyAlignment="1">
      <alignment horizontal="center" vertical="top" wrapText="1"/>
    </xf>
    <xf numFmtId="0" fontId="132" fillId="0" borderId="104" xfId="0" applyNumberFormat="1" applyFont="1" applyFill="1" applyBorder="1" applyAlignment="1">
      <alignment horizontal="left" vertical="top" wrapText="1"/>
    </xf>
    <xf numFmtId="0" fontId="132" fillId="0" borderId="105" xfId="0" applyNumberFormat="1" applyFont="1" applyFill="1" applyBorder="1" applyAlignment="1">
      <alignment horizontal="left" vertical="top" wrapText="1"/>
    </xf>
    <xf numFmtId="0" fontId="118" fillId="0" borderId="95" xfId="0" applyFont="1" applyBorder="1" applyAlignment="1">
      <alignment horizontal="center" vertical="center"/>
    </xf>
    <xf numFmtId="0" fontId="118" fillId="0" borderId="97" xfId="0" applyFont="1" applyBorder="1" applyAlignment="1">
      <alignment horizontal="center" vertical="center"/>
    </xf>
    <xf numFmtId="0" fontId="118" fillId="0" borderId="79" xfId="0" applyFont="1" applyBorder="1" applyAlignment="1">
      <alignment horizontal="center" vertical="center"/>
    </xf>
    <xf numFmtId="0" fontId="118" fillId="0" borderId="69" xfId="0" applyFont="1" applyBorder="1" applyAlignment="1">
      <alignment horizontal="center" vertical="center"/>
    </xf>
    <xf numFmtId="0" fontId="117" fillId="0" borderId="112" xfId="0" applyFont="1" applyBorder="1" applyAlignment="1">
      <alignment horizontal="center" vertical="center" wrapText="1"/>
    </xf>
    <xf numFmtId="0" fontId="117" fillId="0" borderId="116" xfId="0" applyFont="1" applyBorder="1" applyAlignment="1">
      <alignment horizontal="center" vertical="center" wrapText="1"/>
    </xf>
  </cellXfs>
  <cellStyles count="20967">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G1-BBG_I-QQ-202406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1. key ratios"/>
      <sheetName val="2. SOFP"/>
      <sheetName val="3. SOPL"/>
      <sheetName val="4. Off-balance"/>
      <sheetName val="5. RWA"/>
      <sheetName val="6. Administrators-shareholders"/>
      <sheetName val="7. LI1"/>
      <sheetName val="8. LI2"/>
      <sheetName val="9. Capital"/>
      <sheetName val="9.1. Capital Requirements"/>
      <sheetName val="10. CC2"/>
      <sheetName val="11. CRWA"/>
      <sheetName val="12. CRM"/>
      <sheetName val="13. CRME"/>
      <sheetName val="14. LCR"/>
      <sheetName val="15. CCR"/>
      <sheetName val="15.1. LR"/>
      <sheetName val="16. NSFR"/>
      <sheetName val=" 17. Residual Maturity"/>
      <sheetName val="18. Assets by Exposure classes"/>
      <sheetName val="19. Assets by Risk Sectors"/>
      <sheetName val="20. Reserves"/>
      <sheetName val="21. NPL"/>
      <sheetName val="22. Quality"/>
      <sheetName val="23. LTV"/>
      <sheetName val="24. Risk Sector"/>
      <sheetName val="25. Collateral"/>
      <sheetName val="26. Retail Products"/>
      <sheetName val="Instruction"/>
    </sheetNames>
    <sheetDataSet>
      <sheetData sheetId="0" refreshError="1"/>
      <sheetData sheetId="1" refreshError="1"/>
      <sheetData sheetId="2">
        <row r="8">
          <cell r="E8">
            <v>674741913.79299998</v>
          </cell>
        </row>
        <row r="9">
          <cell r="E9">
            <v>2071250907.8854001</v>
          </cell>
        </row>
        <row r="10">
          <cell r="E10">
            <v>938492630.13380003</v>
          </cell>
        </row>
        <row r="11">
          <cell r="E11">
            <v>13923246.959999999</v>
          </cell>
        </row>
        <row r="12">
          <cell r="E12">
            <v>13923246.959999999</v>
          </cell>
        </row>
        <row r="13">
          <cell r="E13">
            <v>0</v>
          </cell>
        </row>
        <row r="14">
          <cell r="E14">
            <v>0</v>
          </cell>
        </row>
        <row r="16">
          <cell r="E16">
            <v>7615197.8939000005</v>
          </cell>
        </row>
        <row r="17">
          <cell r="E17">
            <v>6322469474.2434006</v>
          </cell>
        </row>
        <row r="18">
          <cell r="E18">
            <v>0</v>
          </cell>
        </row>
        <row r="20">
          <cell r="E20">
            <v>598266787.51660001</v>
          </cell>
        </row>
        <row r="21">
          <cell r="E21">
            <v>21652047340.986874</v>
          </cell>
        </row>
        <row r="22">
          <cell r="E22">
            <v>397420284.64000005</v>
          </cell>
        </row>
        <row r="23">
          <cell r="E23">
            <v>20066035.68</v>
          </cell>
        </row>
        <row r="25">
          <cell r="E25">
            <v>527216002.94</v>
          </cell>
        </row>
        <row r="26">
          <cell r="E26">
            <v>113579856.84</v>
          </cell>
        </row>
        <row r="28">
          <cell r="E28">
            <v>33331342.84</v>
          </cell>
        </row>
        <row r="29">
          <cell r="E29">
            <v>149045491.20000002</v>
          </cell>
        </row>
        <row r="31">
          <cell r="E31">
            <v>0</v>
          </cell>
        </row>
        <row r="32">
          <cell r="E32">
            <v>0</v>
          </cell>
        </row>
        <row r="33">
          <cell r="E33">
            <v>621180087.22283196</v>
          </cell>
        </row>
        <row r="34">
          <cell r="E34">
            <v>300618242.21999997</v>
          </cell>
        </row>
        <row r="35">
          <cell r="E35">
            <v>0</v>
          </cell>
        </row>
        <row r="38">
          <cell r="E38">
            <v>10646427.48</v>
          </cell>
        </row>
        <row r="39">
          <cell r="E39">
            <v>10646427.48</v>
          </cell>
        </row>
        <row r="42">
          <cell r="E42">
            <v>23696030853.223301</v>
          </cell>
        </row>
        <row r="43">
          <cell r="E43">
            <v>3342945172.9500008</v>
          </cell>
        </row>
        <row r="44">
          <cell r="E44">
            <v>73978411.709999993</v>
          </cell>
        </row>
        <row r="45">
          <cell r="E45">
            <v>141933629.03999999</v>
          </cell>
        </row>
        <row r="46">
          <cell r="E46">
            <v>3833064.1182000008</v>
          </cell>
        </row>
        <row r="48">
          <cell r="E48">
            <v>37682771.149999999</v>
          </cell>
        </row>
        <row r="49">
          <cell r="E49">
            <v>20820543.789999999</v>
          </cell>
        </row>
        <row r="50">
          <cell r="E50">
            <v>1690902404.8799999</v>
          </cell>
        </row>
        <row r="51">
          <cell r="E51">
            <v>522244142.39819998</v>
          </cell>
        </row>
        <row r="52">
          <cell r="E52">
            <v>276039892.38999999</v>
          </cell>
        </row>
        <row r="55">
          <cell r="E55">
            <v>27993660.18</v>
          </cell>
        </row>
        <row r="56">
          <cell r="E56">
            <v>0</v>
          </cell>
        </row>
        <row r="57">
          <cell r="E57">
            <v>252311118.03999999</v>
          </cell>
        </row>
        <row r="58">
          <cell r="E58">
            <v>-11366</v>
          </cell>
        </row>
        <row r="59">
          <cell r="E59">
            <v>0</v>
          </cell>
        </row>
        <row r="60">
          <cell r="E60">
            <v>0</v>
          </cell>
        </row>
        <row r="61">
          <cell r="E61">
            <v>0</v>
          </cell>
        </row>
        <row r="62">
          <cell r="E62">
            <v>-135683111.66</v>
          </cell>
        </row>
        <row r="64">
          <cell r="E64">
            <v>2358668.17</v>
          </cell>
        </row>
        <row r="65">
          <cell r="E65">
            <v>2062925.87</v>
          </cell>
        </row>
        <row r="66">
          <cell r="E66">
            <v>-22261734.510000002</v>
          </cell>
        </row>
        <row r="67">
          <cell r="E67">
            <v>4472859020.153944</v>
          </cell>
        </row>
      </sheetData>
      <sheetData sheetId="3" refreshError="1"/>
      <sheetData sheetId="4" refreshError="1"/>
      <sheetData sheetId="5">
        <row r="13">
          <cell r="C13">
            <v>25800413369.080631</v>
          </cell>
        </row>
      </sheetData>
      <sheetData sheetId="6" refreshError="1"/>
      <sheetData sheetId="7">
        <row r="37">
          <cell r="E37">
            <v>33940150126.671906</v>
          </cell>
        </row>
      </sheetData>
      <sheetData sheetId="8" refreshError="1"/>
      <sheetData sheetId="9">
        <row r="18">
          <cell r="C18">
            <v>6222994.8939000005</v>
          </cell>
        </row>
        <row r="22">
          <cell r="C22">
            <v>9537977</v>
          </cell>
        </row>
        <row r="35">
          <cell r="C35">
            <v>983535000</v>
          </cell>
        </row>
        <row r="45">
          <cell r="C45">
            <v>656742697</v>
          </cell>
        </row>
      </sheetData>
      <sheetData sheetId="10" refreshError="1"/>
      <sheetData sheetId="11" refreshError="1"/>
      <sheetData sheetId="12">
        <row r="8">
          <cell r="S8">
            <v>1917416832.0506001</v>
          </cell>
        </row>
        <row r="9">
          <cell r="S9">
            <v>0</v>
          </cell>
        </row>
        <row r="10">
          <cell r="S10">
            <v>0</v>
          </cell>
        </row>
        <row r="11">
          <cell r="S11">
            <v>0</v>
          </cell>
        </row>
        <row r="12">
          <cell r="S12">
            <v>0</v>
          </cell>
        </row>
        <row r="13">
          <cell r="S13">
            <v>248022378.98072001</v>
          </cell>
        </row>
        <row r="14">
          <cell r="S14">
            <v>10433403992.578049</v>
          </cell>
        </row>
        <row r="15">
          <cell r="S15">
            <v>6054080358.7036495</v>
          </cell>
        </row>
        <row r="16">
          <cell r="S16">
            <v>1446265431.8751099</v>
          </cell>
        </row>
        <row r="17">
          <cell r="S17">
            <v>173187034.48074999</v>
          </cell>
        </row>
        <row r="18">
          <cell r="S18">
            <v>403625294.06732929</v>
          </cell>
        </row>
        <row r="19">
          <cell r="S19">
            <v>0</v>
          </cell>
        </row>
        <row r="20">
          <cell r="S20">
            <v>0</v>
          </cell>
        </row>
        <row r="21">
          <cell r="S21">
            <v>2206248527.5536981</v>
          </cell>
        </row>
      </sheetData>
      <sheetData sheetId="13">
        <row r="7">
          <cell r="V7">
            <v>0</v>
          </cell>
        </row>
        <row r="8">
          <cell r="V8">
            <v>0</v>
          </cell>
        </row>
        <row r="9">
          <cell r="V9">
            <v>0</v>
          </cell>
        </row>
        <row r="10">
          <cell r="V10">
            <v>0</v>
          </cell>
        </row>
        <row r="11">
          <cell r="V11">
            <v>0</v>
          </cell>
        </row>
        <row r="12">
          <cell r="V12">
            <v>0</v>
          </cell>
        </row>
        <row r="13">
          <cell r="V13">
            <v>385306119.44600004</v>
          </cell>
        </row>
        <row r="14">
          <cell r="V14">
            <v>77471166.729599997</v>
          </cell>
        </row>
        <row r="15">
          <cell r="V15">
            <v>1255385.4091</v>
          </cell>
        </row>
        <row r="16">
          <cell r="V16">
            <v>1194169.1632999999</v>
          </cell>
        </row>
        <row r="17">
          <cell r="V17">
            <v>310167.05869999999</v>
          </cell>
        </row>
        <row r="18">
          <cell r="V18">
            <v>0</v>
          </cell>
        </row>
        <row r="19">
          <cell r="V19">
            <v>0</v>
          </cell>
        </row>
        <row r="20">
          <cell r="V20">
            <v>0</v>
          </cell>
        </row>
      </sheetData>
      <sheetData sheetId="14" refreshError="1"/>
      <sheetData sheetId="15" refreshError="1"/>
      <sheetData sheetId="16" refreshError="1"/>
      <sheetData sheetId="17" refreshError="1"/>
      <sheetData sheetId="18" refreshError="1"/>
      <sheetData sheetId="19">
        <row r="13">
          <cell r="H13">
            <v>977677106.47829998</v>
          </cell>
        </row>
      </sheetData>
      <sheetData sheetId="20" refreshError="1"/>
      <sheetData sheetId="21">
        <row r="33">
          <cell r="G33">
            <v>1381145.19</v>
          </cell>
        </row>
      </sheetData>
      <sheetData sheetId="22" refreshError="1"/>
      <sheetData sheetId="23" refreshError="1"/>
      <sheetData sheetId="24">
        <row r="19">
          <cell r="C19">
            <v>10387964.699999999</v>
          </cell>
        </row>
        <row r="20">
          <cell r="C20">
            <v>121272742.91420002</v>
          </cell>
        </row>
      </sheetData>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tabSelected="1" zoomScaleNormal="100" workbookViewId="0"/>
  </sheetViews>
  <sheetFormatPr defaultColWidth="9.109375" defaultRowHeight="13.8"/>
  <cols>
    <col min="1" max="1" width="10.33203125" style="4" customWidth="1"/>
    <col min="2" max="2" width="138.44140625" style="5" bestFit="1" customWidth="1"/>
    <col min="3" max="3" width="39.44140625" style="5" customWidth="1"/>
    <col min="4" max="6" width="9.109375" style="5"/>
    <col min="7" max="7" width="25" style="5" customWidth="1"/>
    <col min="8" max="16384" width="9.109375" style="5"/>
  </cols>
  <sheetData>
    <row r="1" spans="1:3">
      <c r="A1" s="94"/>
      <c r="B1" s="117" t="s">
        <v>222</v>
      </c>
      <c r="C1" s="94"/>
    </row>
    <row r="2" spans="1:3">
      <c r="A2" s="118">
        <v>1</v>
      </c>
      <c r="B2" s="223" t="s">
        <v>223</v>
      </c>
      <c r="C2" s="39" t="s">
        <v>709</v>
      </c>
    </row>
    <row r="3" spans="1:3">
      <c r="A3" s="118">
        <v>2</v>
      </c>
      <c r="B3" s="224" t="s">
        <v>219</v>
      </c>
      <c r="C3" s="39" t="s">
        <v>713</v>
      </c>
    </row>
    <row r="4" spans="1:3">
      <c r="A4" s="118">
        <v>3</v>
      </c>
      <c r="B4" s="225" t="s">
        <v>224</v>
      </c>
      <c r="C4" s="39" t="s">
        <v>714</v>
      </c>
    </row>
    <row r="5" spans="1:3">
      <c r="A5" s="119">
        <v>4</v>
      </c>
      <c r="B5" s="226" t="s">
        <v>220</v>
      </c>
      <c r="C5" s="39" t="s">
        <v>715</v>
      </c>
    </row>
    <row r="6" spans="1:3" s="120" customFormat="1" ht="45.75" customHeight="1">
      <c r="A6" s="715" t="s">
        <v>295</v>
      </c>
      <c r="B6" s="716"/>
      <c r="C6" s="716"/>
    </row>
    <row r="7" spans="1:3">
      <c r="A7" s="121" t="s">
        <v>29</v>
      </c>
      <c r="B7" s="117" t="s">
        <v>221</v>
      </c>
    </row>
    <row r="8" spans="1:3">
      <c r="A8" s="94">
        <v>1</v>
      </c>
      <c r="B8" s="149" t="s">
        <v>20</v>
      </c>
    </row>
    <row r="9" spans="1:3">
      <c r="A9" s="94">
        <v>2</v>
      </c>
      <c r="B9" s="150" t="s">
        <v>21</v>
      </c>
    </row>
    <row r="10" spans="1:3">
      <c r="A10" s="94">
        <v>3</v>
      </c>
      <c r="B10" s="150" t="s">
        <v>22</v>
      </c>
    </row>
    <row r="11" spans="1:3">
      <c r="A11" s="94">
        <v>4</v>
      </c>
      <c r="B11" s="150" t="s">
        <v>23</v>
      </c>
      <c r="C11" s="42"/>
    </row>
    <row r="12" spans="1:3">
      <c r="A12" s="94">
        <v>5</v>
      </c>
      <c r="B12" s="150" t="s">
        <v>24</v>
      </c>
    </row>
    <row r="13" spans="1:3">
      <c r="A13" s="94">
        <v>6</v>
      </c>
      <c r="B13" s="151" t="s">
        <v>231</v>
      </c>
    </row>
    <row r="14" spans="1:3">
      <c r="A14" s="94">
        <v>7</v>
      </c>
      <c r="B14" s="150" t="s">
        <v>225</v>
      </c>
    </row>
    <row r="15" spans="1:3">
      <c r="A15" s="94">
        <v>8</v>
      </c>
      <c r="B15" s="150" t="s">
        <v>226</v>
      </c>
    </row>
    <row r="16" spans="1:3">
      <c r="A16" s="94">
        <v>9</v>
      </c>
      <c r="B16" s="150" t="s">
        <v>25</v>
      </c>
    </row>
    <row r="17" spans="1:2">
      <c r="A17" s="222" t="s">
        <v>294</v>
      </c>
      <c r="B17" s="221" t="s">
        <v>281</v>
      </c>
    </row>
    <row r="18" spans="1:2">
      <c r="A18" s="94">
        <v>10</v>
      </c>
      <c r="B18" s="150" t="s">
        <v>26</v>
      </c>
    </row>
    <row r="19" spans="1:2">
      <c r="A19" s="94">
        <v>11</v>
      </c>
      <c r="B19" s="151" t="s">
        <v>227</v>
      </c>
    </row>
    <row r="20" spans="1:2">
      <c r="A20" s="94">
        <v>12</v>
      </c>
      <c r="B20" s="151" t="s">
        <v>27</v>
      </c>
    </row>
    <row r="21" spans="1:2">
      <c r="A21" s="263">
        <v>13</v>
      </c>
      <c r="B21" s="264" t="s">
        <v>228</v>
      </c>
    </row>
    <row r="22" spans="1:2">
      <c r="A22" s="263">
        <v>14</v>
      </c>
      <c r="B22" s="265" t="s">
        <v>253</v>
      </c>
    </row>
    <row r="23" spans="1:2">
      <c r="A23" s="266">
        <v>15</v>
      </c>
      <c r="B23" s="267" t="s">
        <v>28</v>
      </c>
    </row>
    <row r="24" spans="1:2">
      <c r="A24" s="266">
        <v>15.1</v>
      </c>
      <c r="B24" s="268" t="s">
        <v>307</v>
      </c>
    </row>
    <row r="25" spans="1:2">
      <c r="A25" s="266">
        <v>16</v>
      </c>
      <c r="B25" s="268" t="s">
        <v>371</v>
      </c>
    </row>
    <row r="26" spans="1:2">
      <c r="A26" s="266">
        <v>17</v>
      </c>
      <c r="B26" s="268" t="s">
        <v>412</v>
      </c>
    </row>
    <row r="27" spans="1:2">
      <c r="A27" s="266">
        <v>18</v>
      </c>
      <c r="B27" s="268" t="s">
        <v>699</v>
      </c>
    </row>
    <row r="28" spans="1:2">
      <c r="A28" s="266">
        <v>19</v>
      </c>
      <c r="B28" s="268" t="s">
        <v>700</v>
      </c>
    </row>
    <row r="29" spans="1:2">
      <c r="A29" s="266">
        <v>20</v>
      </c>
      <c r="B29" s="309" t="s">
        <v>701</v>
      </c>
    </row>
    <row r="30" spans="1:2">
      <c r="A30" s="266">
        <v>21</v>
      </c>
      <c r="B30" s="268" t="s">
        <v>528</v>
      </c>
    </row>
    <row r="31" spans="1:2">
      <c r="A31" s="266">
        <v>22</v>
      </c>
      <c r="B31" s="268" t="s">
        <v>702</v>
      </c>
    </row>
    <row r="32" spans="1:2">
      <c r="A32" s="266">
        <v>23</v>
      </c>
      <c r="B32" s="268" t="s">
        <v>703</v>
      </c>
    </row>
    <row r="33" spans="1:2">
      <c r="A33" s="266">
        <v>24</v>
      </c>
      <c r="B33" s="268" t="s">
        <v>704</v>
      </c>
    </row>
    <row r="34" spans="1:2">
      <c r="A34" s="266">
        <v>25</v>
      </c>
      <c r="B34" s="268" t="s">
        <v>413</v>
      </c>
    </row>
    <row r="35" spans="1:2">
      <c r="A35" s="266">
        <v>26</v>
      </c>
      <c r="B35" s="268" t="s">
        <v>550</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3"/>
  <sheetViews>
    <sheetView zoomScaleNormal="100" workbookViewId="0">
      <pane xSplit="1" ySplit="5" topLeftCell="B6" activePane="bottomRight" state="frozen"/>
      <selection pane="topRight"/>
      <selection pane="bottomLeft"/>
      <selection pane="bottomRight" activeCell="B6" sqref="B6"/>
    </sheetView>
  </sheetViews>
  <sheetFormatPr defaultColWidth="9.109375" defaultRowHeight="14.4"/>
  <cols>
    <col min="1" max="1" width="9.5546875" style="3" bestFit="1" customWidth="1"/>
    <col min="2" max="2" width="86" style="3" customWidth="1"/>
    <col min="3" max="3" width="15.5546875" style="3" bestFit="1" customWidth="1"/>
    <col min="4" max="7" width="15.5546875" style="4" bestFit="1" customWidth="1"/>
    <col min="8" max="8" width="6.6640625" style="5" customWidth="1"/>
    <col min="9" max="9" width="16" bestFit="1" customWidth="1"/>
    <col min="10" max="11" width="15.5546875" bestFit="1" customWidth="1"/>
    <col min="12" max="12" width="15.109375" bestFit="1" customWidth="1"/>
    <col min="13" max="13" width="6.6640625" style="5" customWidth="1"/>
    <col min="14" max="16384" width="9.109375" style="5"/>
  </cols>
  <sheetData>
    <row r="1" spans="1:8">
      <c r="A1" s="2" t="s">
        <v>30</v>
      </c>
      <c r="B1" s="3" t="str">
        <f>'Info '!C2</f>
        <v xml:space="preserve">JSC "Bank of Georgia" </v>
      </c>
    </row>
    <row r="2" spans="1:8">
      <c r="A2" s="2" t="s">
        <v>31</v>
      </c>
      <c r="B2" s="685">
        <v>45473</v>
      </c>
      <c r="C2" s="6"/>
      <c r="D2" s="7"/>
      <c r="E2" s="7"/>
      <c r="F2" s="7"/>
      <c r="G2" s="7"/>
      <c r="H2" s="8"/>
    </row>
    <row r="3" spans="1:8" ht="15" thickBot="1">
      <c r="A3" s="2"/>
      <c r="B3" s="6"/>
      <c r="C3" s="6"/>
      <c r="D3" s="7"/>
      <c r="E3" s="7"/>
      <c r="F3" s="7"/>
      <c r="G3" s="7"/>
      <c r="H3" s="8"/>
    </row>
    <row r="4" spans="1:8" ht="15" customHeight="1" thickBot="1">
      <c r="A4" s="6" t="s">
        <v>93</v>
      </c>
      <c r="B4" s="679" t="s">
        <v>92</v>
      </c>
      <c r="C4" s="679"/>
      <c r="D4" s="717" t="s">
        <v>698</v>
      </c>
      <c r="E4" s="718"/>
      <c r="F4" s="718"/>
      <c r="G4" s="719"/>
      <c r="H4" s="8"/>
    </row>
    <row r="5" spans="1:8">
      <c r="A5" s="683" t="s">
        <v>6</v>
      </c>
      <c r="B5" s="10"/>
      <c r="C5" s="271" t="str">
        <f>INT((MONTH($B$2))/3)&amp;"Q"&amp;"-"&amp;YEAR($B$2)</f>
        <v>2Q-2024</v>
      </c>
      <c r="D5" s="271" t="str">
        <f>IF(INT(MONTH($B$2))=3, "4"&amp;"Q"&amp;"-"&amp;YEAR($B$2)-1, IF(INT(MONTH($B$2))=6, "1"&amp;"Q"&amp;"-"&amp;YEAR($B$2), IF(INT(MONTH($B$2))=9, "2"&amp;"Q"&amp;"-"&amp;YEAR($B$2),IF(INT(MONTH($B$2))=12, "3"&amp;"Q"&amp;"-"&amp;YEAR($B$2), 0))))</f>
        <v>1Q-2024</v>
      </c>
      <c r="E5" s="271" t="str">
        <f>IF(INT(MONTH($B$2))=3, "3"&amp;"Q"&amp;"-"&amp;YEAR($B$2)-1, IF(INT(MONTH($B$2))=6, "4"&amp;"Q"&amp;"-"&amp;YEAR($B$2)-1, IF(INT(MONTH($B$2))=9, "1"&amp;"Q"&amp;"-"&amp;YEAR($B$2),IF(INT(MONTH($B$2))=12, "2"&amp;"Q"&amp;"-"&amp;YEAR($B$2), 0))))</f>
        <v>4Q-2023</v>
      </c>
      <c r="F5" s="271" t="str">
        <f>IF(INT(MONTH($B$2))=3, "2"&amp;"Q"&amp;"-"&amp;YEAR($B$2)-1, IF(INT(MONTH($B$2))=6, "3"&amp;"Q"&amp;"-"&amp;YEAR($B$2)-1, IF(INT(MONTH($B$2))=9, "4"&amp;"Q"&amp;"-"&amp;YEAR($B$2)-1,IF(INT(MONTH($B$2))=12, "1"&amp;"Q"&amp;"-"&amp;YEAR($B$2), 0))))</f>
        <v>3Q-2023</v>
      </c>
      <c r="G5" s="272" t="str">
        <f>IF(INT(MONTH($B$2))=3, "1"&amp;"Q"&amp;"-"&amp;YEAR($B$2)-1, IF(INT(MONTH($B$2))=6, "2"&amp;"Q"&amp;"-"&amp;YEAR($B$2)-1, IF(INT(MONTH($B$2))=9, "3"&amp;"Q"&amp;"-"&amp;YEAR($B$2)-1,IF(INT(MONTH($B$2))=12, "4"&amp;"Q"&amp;"-"&amp;YEAR($B$2)-1, 0))))</f>
        <v>2Q-2023</v>
      </c>
    </row>
    <row r="6" spans="1:8">
      <c r="A6" s="684"/>
      <c r="B6" s="681" t="s">
        <v>91</v>
      </c>
      <c r="C6" s="499"/>
      <c r="D6" s="499"/>
      <c r="E6" s="499"/>
      <c r="F6" s="499"/>
      <c r="G6" s="500"/>
    </row>
    <row r="7" spans="1:8">
      <c r="A7" s="11"/>
      <c r="B7" s="682" t="s">
        <v>89</v>
      </c>
      <c r="C7" s="499"/>
      <c r="D7" s="499"/>
      <c r="E7" s="499"/>
      <c r="F7" s="499"/>
      <c r="G7" s="500"/>
    </row>
    <row r="8" spans="1:8">
      <c r="A8" s="274">
        <v>1</v>
      </c>
      <c r="B8" s="680" t="s">
        <v>361</v>
      </c>
      <c r="C8" s="501">
        <v>4387531525.3529444</v>
      </c>
      <c r="D8" s="501">
        <v>4040087076</v>
      </c>
      <c r="E8" s="501">
        <v>4199942345</v>
      </c>
      <c r="F8" s="501">
        <v>3867685014</v>
      </c>
      <c r="G8" s="502">
        <v>3757669544</v>
      </c>
    </row>
    <row r="9" spans="1:8">
      <c r="A9" s="274">
        <v>2</v>
      </c>
      <c r="B9" s="680" t="s">
        <v>362</v>
      </c>
      <c r="C9" s="501">
        <v>5371066525.3529444</v>
      </c>
      <c r="D9" s="501">
        <v>4444382076</v>
      </c>
      <c r="E9" s="501">
        <v>4603352345</v>
      </c>
      <c r="F9" s="501">
        <v>4269430014</v>
      </c>
      <c r="G9" s="502">
        <v>4150324544</v>
      </c>
    </row>
    <row r="10" spans="1:8">
      <c r="A10" s="274">
        <v>3</v>
      </c>
      <c r="B10" s="680" t="s">
        <v>142</v>
      </c>
      <c r="C10" s="501">
        <v>6027809222.3529444</v>
      </c>
      <c r="D10" s="501">
        <v>5095452214</v>
      </c>
      <c r="E10" s="501">
        <v>5102370515</v>
      </c>
      <c r="F10" s="501">
        <v>4724071439</v>
      </c>
      <c r="G10" s="502">
        <v>4535126444</v>
      </c>
    </row>
    <row r="11" spans="1:8">
      <c r="A11" s="274">
        <v>4</v>
      </c>
      <c r="B11" s="680" t="s">
        <v>364</v>
      </c>
      <c r="C11" s="501">
        <v>3727537074.4673333</v>
      </c>
      <c r="D11" s="501">
        <v>3512040403</v>
      </c>
      <c r="E11" s="501">
        <v>3333083050</v>
      </c>
      <c r="F11" s="501">
        <v>3065433713</v>
      </c>
      <c r="G11" s="502">
        <v>2940685917</v>
      </c>
    </row>
    <row r="12" spans="1:8">
      <c r="A12" s="274">
        <v>5</v>
      </c>
      <c r="B12" s="680" t="s">
        <v>365</v>
      </c>
      <c r="C12" s="501">
        <v>4293494027.0608454</v>
      </c>
      <c r="D12" s="501">
        <v>4042012289</v>
      </c>
      <c r="E12" s="501">
        <v>3847887811</v>
      </c>
      <c r="F12" s="501">
        <v>3529285844</v>
      </c>
      <c r="G12" s="502">
        <v>3389368477</v>
      </c>
    </row>
    <row r="13" spans="1:8">
      <c r="A13" s="274">
        <v>6</v>
      </c>
      <c r="B13" s="680" t="s">
        <v>363</v>
      </c>
      <c r="C13" s="501">
        <v>5044963810.3073301</v>
      </c>
      <c r="D13" s="501">
        <v>4745683366</v>
      </c>
      <c r="E13" s="501">
        <v>4531331420</v>
      </c>
      <c r="F13" s="501">
        <v>4145112699</v>
      </c>
      <c r="G13" s="502">
        <v>3985030827</v>
      </c>
    </row>
    <row r="14" spans="1:8">
      <c r="A14" s="11"/>
      <c r="B14" s="681" t="s">
        <v>367</v>
      </c>
      <c r="C14" s="499"/>
      <c r="D14" s="499"/>
      <c r="E14" s="499"/>
      <c r="F14" s="499"/>
      <c r="G14" s="500"/>
    </row>
    <row r="15" spans="1:8" ht="15" customHeight="1">
      <c r="A15" s="274">
        <v>7</v>
      </c>
      <c r="B15" s="680" t="s">
        <v>366</v>
      </c>
      <c r="C15" s="503">
        <v>25800413369.080631</v>
      </c>
      <c r="D15" s="503">
        <v>24090667096</v>
      </c>
      <c r="E15" s="503">
        <v>23061905040</v>
      </c>
      <c r="F15" s="503">
        <v>20881399418</v>
      </c>
      <c r="G15" s="504">
        <v>20104124214</v>
      </c>
    </row>
    <row r="16" spans="1:8">
      <c r="A16" s="11"/>
      <c r="B16" s="681" t="s">
        <v>368</v>
      </c>
      <c r="C16" s="499"/>
      <c r="D16" s="499"/>
      <c r="E16" s="499"/>
      <c r="F16" s="499"/>
      <c r="G16" s="500"/>
    </row>
    <row r="17" spans="1:12" s="12" customFormat="1">
      <c r="A17" s="274"/>
      <c r="B17" s="682" t="s">
        <v>352</v>
      </c>
      <c r="C17" s="499"/>
      <c r="D17" s="499"/>
      <c r="E17" s="499"/>
      <c r="F17" s="499"/>
      <c r="G17" s="500"/>
      <c r="I17"/>
      <c r="J17"/>
      <c r="K17"/>
      <c r="L17"/>
    </row>
    <row r="18" spans="1:12">
      <c r="A18" s="9">
        <v>8</v>
      </c>
      <c r="B18" s="680" t="s">
        <v>361</v>
      </c>
      <c r="C18" s="505">
        <v>0.17005663679059455</v>
      </c>
      <c r="D18" s="505">
        <v>0.16769999999999999</v>
      </c>
      <c r="E18" s="505">
        <v>0.18210000000000001</v>
      </c>
      <c r="F18" s="505">
        <v>0.1852</v>
      </c>
      <c r="G18" s="506">
        <v>0.18690000000000001</v>
      </c>
    </row>
    <row r="19" spans="1:12" ht="15" customHeight="1">
      <c r="A19" s="9">
        <v>9</v>
      </c>
      <c r="B19" s="680" t="s">
        <v>362</v>
      </c>
      <c r="C19" s="507">
        <v>0.20817753764324035</v>
      </c>
      <c r="D19" s="507">
        <v>0.184</v>
      </c>
      <c r="E19" s="507">
        <v>0.2</v>
      </c>
      <c r="F19" s="507">
        <v>0.20399999999999999</v>
      </c>
      <c r="G19" s="508">
        <v>0.20599999999999999</v>
      </c>
    </row>
    <row r="20" spans="1:12">
      <c r="A20" s="9">
        <v>10</v>
      </c>
      <c r="B20" s="680" t="s">
        <v>142</v>
      </c>
      <c r="C20" s="505">
        <v>0.23363227310058166</v>
      </c>
      <c r="D20" s="505">
        <v>0.21149999999999999</v>
      </c>
      <c r="E20" s="505">
        <v>0.22120000000000001</v>
      </c>
      <c r="F20" s="505">
        <v>0.22620000000000001</v>
      </c>
      <c r="G20" s="506">
        <v>0.22559999999999999</v>
      </c>
    </row>
    <row r="21" spans="1:12">
      <c r="A21" s="9">
        <v>11</v>
      </c>
      <c r="B21" s="680" t="s">
        <v>364</v>
      </c>
      <c r="C21" s="505">
        <v>0.14447586638028195</v>
      </c>
      <c r="D21" s="505">
        <v>0.14580000000000001</v>
      </c>
      <c r="E21" s="505">
        <v>0.14449999999999999</v>
      </c>
      <c r="F21" s="505">
        <v>0.14680000000000001</v>
      </c>
      <c r="G21" s="506">
        <v>0.14630000000000001</v>
      </c>
    </row>
    <row r="22" spans="1:12">
      <c r="A22" s="9">
        <v>12</v>
      </c>
      <c r="B22" s="680" t="s">
        <v>365</v>
      </c>
      <c r="C22" s="505">
        <v>0.16641183091299591</v>
      </c>
      <c r="D22" s="505">
        <v>0.1678</v>
      </c>
      <c r="E22" s="505">
        <v>0.16689999999999999</v>
      </c>
      <c r="F22" s="505">
        <v>0.16900000000000001</v>
      </c>
      <c r="G22" s="506">
        <v>0.1686</v>
      </c>
    </row>
    <row r="23" spans="1:12">
      <c r="A23" s="9">
        <v>13</v>
      </c>
      <c r="B23" s="680" t="s">
        <v>363</v>
      </c>
      <c r="C23" s="505">
        <v>0.195538100034988</v>
      </c>
      <c r="D23" s="505">
        <v>0.19700000000000001</v>
      </c>
      <c r="E23" s="505">
        <v>0.19650000000000001</v>
      </c>
      <c r="F23" s="505">
        <v>0.19850000000000001</v>
      </c>
      <c r="G23" s="506">
        <v>0.19819999999999999</v>
      </c>
    </row>
    <row r="24" spans="1:12">
      <c r="A24" s="11"/>
      <c r="B24" s="681" t="s">
        <v>88</v>
      </c>
      <c r="C24" s="499"/>
      <c r="D24" s="499"/>
      <c r="E24" s="499"/>
      <c r="F24" s="499"/>
      <c r="G24" s="500"/>
    </row>
    <row r="25" spans="1:12" ht="15" customHeight="1">
      <c r="A25" s="275">
        <v>14</v>
      </c>
      <c r="B25" s="680" t="s">
        <v>87</v>
      </c>
      <c r="C25" s="509">
        <v>9.7435553239839781E-2</v>
      </c>
      <c r="D25" s="509">
        <v>9.7699999999999995E-2</v>
      </c>
      <c r="E25" s="509">
        <v>9.5899999999999999E-2</v>
      </c>
      <c r="F25" s="509">
        <v>9.5600000000000004E-2</v>
      </c>
      <c r="G25" s="510">
        <v>9.5399999999999999E-2</v>
      </c>
    </row>
    <row r="26" spans="1:12">
      <c r="A26" s="275">
        <v>15</v>
      </c>
      <c r="B26" s="680" t="s">
        <v>86</v>
      </c>
      <c r="C26" s="509">
        <v>4.3419556848826292E-2</v>
      </c>
      <c r="D26" s="509">
        <v>4.2900000000000001E-2</v>
      </c>
      <c r="E26" s="509">
        <v>4.0500000000000001E-2</v>
      </c>
      <c r="F26" s="509">
        <v>3.9800000000000002E-2</v>
      </c>
      <c r="G26" s="510">
        <v>3.9699999999999999E-2</v>
      </c>
    </row>
    <row r="27" spans="1:12">
      <c r="A27" s="275">
        <v>16</v>
      </c>
      <c r="B27" s="680" t="s">
        <v>85</v>
      </c>
      <c r="C27" s="505">
        <v>5.5799162796528468E-2</v>
      </c>
      <c r="D27" s="505">
        <v>5.6399999999999999E-2</v>
      </c>
      <c r="E27" s="505">
        <v>6.0600000000000001E-2</v>
      </c>
      <c r="F27" s="505">
        <v>6.2399999999999997E-2</v>
      </c>
      <c r="G27" s="506">
        <v>6.3600000000000004E-2</v>
      </c>
    </row>
    <row r="28" spans="1:12">
      <c r="A28" s="275">
        <v>17</v>
      </c>
      <c r="B28" s="680" t="s">
        <v>84</v>
      </c>
      <c r="C28" s="509">
        <v>5.4015996391013503E-2</v>
      </c>
      <c r="D28" s="509">
        <v>5.4699999999999999E-2</v>
      </c>
      <c r="E28" s="509">
        <v>5.5399999999999998E-2</v>
      </c>
      <c r="F28" s="509">
        <v>5.5800000000000002E-2</v>
      </c>
      <c r="G28" s="510">
        <v>5.57E-2</v>
      </c>
    </row>
    <row r="29" spans="1:12">
      <c r="A29" s="275">
        <v>18</v>
      </c>
      <c r="B29" s="680" t="s">
        <v>166</v>
      </c>
      <c r="C29" s="509">
        <v>4.56991148370859E-2</v>
      </c>
      <c r="D29" s="509">
        <v>4.6899999999999997E-2</v>
      </c>
      <c r="E29" s="509">
        <v>4.7100000000000003E-2</v>
      </c>
      <c r="F29" s="509">
        <v>4.8599999999999997E-2</v>
      </c>
      <c r="G29" s="510">
        <v>4.9599999999999998E-2</v>
      </c>
    </row>
    <row r="30" spans="1:12">
      <c r="A30" s="275">
        <v>19</v>
      </c>
      <c r="B30" s="680" t="s">
        <v>167</v>
      </c>
      <c r="C30" s="509">
        <v>0.32421110220350985</v>
      </c>
      <c r="D30" s="509">
        <v>0.32369999999999999</v>
      </c>
      <c r="E30" s="509">
        <v>0.32390000000000002</v>
      </c>
      <c r="F30" s="509">
        <v>0.3332</v>
      </c>
      <c r="G30" s="510">
        <v>0.33629999999999999</v>
      </c>
    </row>
    <row r="31" spans="1:12">
      <c r="A31" s="11"/>
      <c r="B31" s="681" t="s">
        <v>229</v>
      </c>
      <c r="C31" s="499"/>
      <c r="D31" s="499"/>
      <c r="E31" s="499"/>
      <c r="F31" s="499"/>
      <c r="G31" s="500"/>
    </row>
    <row r="32" spans="1:12">
      <c r="A32" s="275">
        <v>20</v>
      </c>
      <c r="B32" s="680" t="s">
        <v>83</v>
      </c>
      <c r="C32" s="509">
        <v>2.3289663341062146E-2</v>
      </c>
      <c r="D32" s="509">
        <v>2.4299999999999999E-2</v>
      </c>
      <c r="E32" s="509">
        <v>2.58E-2</v>
      </c>
      <c r="F32" s="509">
        <v>2.9100000000000001E-2</v>
      </c>
      <c r="G32" s="510">
        <v>2.86E-2</v>
      </c>
    </row>
    <row r="33" spans="1:7" ht="15" customHeight="1">
      <c r="A33" s="275">
        <v>21</v>
      </c>
      <c r="B33" s="680" t="s">
        <v>708</v>
      </c>
      <c r="C33" s="509">
        <v>1.4407103031909518E-2</v>
      </c>
      <c r="D33" s="509">
        <v>1.49E-2</v>
      </c>
      <c r="E33" s="509">
        <v>1.54E-2</v>
      </c>
      <c r="F33" s="509">
        <v>1.6500000000000001E-2</v>
      </c>
      <c r="G33" s="510">
        <v>1.6400000000000001E-2</v>
      </c>
    </row>
    <row r="34" spans="1:7">
      <c r="A34" s="275">
        <v>22</v>
      </c>
      <c r="B34" s="680" t="s">
        <v>82</v>
      </c>
      <c r="C34" s="509">
        <v>0.44293098429548095</v>
      </c>
      <c r="D34" s="511">
        <v>0.441</v>
      </c>
      <c r="E34" s="511">
        <v>0.44379999999999997</v>
      </c>
      <c r="F34" s="511">
        <v>0.43569999999999998</v>
      </c>
      <c r="G34" s="512">
        <v>0.4415</v>
      </c>
    </row>
    <row r="35" spans="1:7" ht="15" customHeight="1">
      <c r="A35" s="275">
        <v>23</v>
      </c>
      <c r="B35" s="680" t="s">
        <v>81</v>
      </c>
      <c r="C35" s="509">
        <v>0.46843141062244603</v>
      </c>
      <c r="D35" s="511">
        <v>0.46450000000000002</v>
      </c>
      <c r="E35" s="511">
        <v>0.4612</v>
      </c>
      <c r="F35" s="511">
        <v>0.46310000000000001</v>
      </c>
      <c r="G35" s="512">
        <v>0.47049999999999997</v>
      </c>
    </row>
    <row r="36" spans="1:7">
      <c r="A36" s="275">
        <v>24</v>
      </c>
      <c r="B36" s="680" t="s">
        <v>80</v>
      </c>
      <c r="C36" s="509">
        <v>0.10841928891271792</v>
      </c>
      <c r="D36" s="511">
        <v>3.1600000000000003E-2</v>
      </c>
      <c r="E36" s="511">
        <v>0.1968</v>
      </c>
      <c r="F36" s="511">
        <v>0.1138</v>
      </c>
      <c r="G36" s="512">
        <v>7.8799999999999995E-2</v>
      </c>
    </row>
    <row r="37" spans="1:7" ht="15" customHeight="1">
      <c r="A37" s="11"/>
      <c r="B37" s="681" t="s">
        <v>230</v>
      </c>
      <c r="C37" s="499"/>
      <c r="D37" s="499"/>
      <c r="E37" s="499"/>
      <c r="F37" s="499"/>
      <c r="G37" s="500"/>
    </row>
    <row r="38" spans="1:7" ht="15" customHeight="1">
      <c r="A38" s="275">
        <v>25</v>
      </c>
      <c r="B38" s="680" t="s">
        <v>79</v>
      </c>
      <c r="C38" s="509">
        <v>0.22233047043759602</v>
      </c>
      <c r="D38" s="509">
        <v>0.2243</v>
      </c>
      <c r="E38" s="509">
        <v>0.21920000000000001</v>
      </c>
      <c r="F38" s="509">
        <v>0.26790000000000003</v>
      </c>
      <c r="G38" s="510">
        <v>0.2283</v>
      </c>
    </row>
    <row r="39" spans="1:7" ht="15" customHeight="1">
      <c r="A39" s="275">
        <v>26</v>
      </c>
      <c r="B39" s="680" t="s">
        <v>78</v>
      </c>
      <c r="C39" s="509">
        <v>0.53021521633194302</v>
      </c>
      <c r="D39" s="513">
        <v>0.53049999999999997</v>
      </c>
      <c r="E39" s="513">
        <v>0.51949999999999996</v>
      </c>
      <c r="F39" s="513">
        <v>0.5232</v>
      </c>
      <c r="G39" s="514">
        <v>0.53339999999999999</v>
      </c>
    </row>
    <row r="40" spans="1:7" ht="15" customHeight="1">
      <c r="A40" s="275">
        <v>27</v>
      </c>
      <c r="B40" s="680" t="s">
        <v>77</v>
      </c>
      <c r="C40" s="513">
        <v>0.35581745483424015</v>
      </c>
      <c r="D40" s="513">
        <v>0.377</v>
      </c>
      <c r="E40" s="513">
        <v>0.38669999999999999</v>
      </c>
      <c r="F40" s="513">
        <v>0.4088</v>
      </c>
      <c r="G40" s="514">
        <v>0.40429999999999999</v>
      </c>
    </row>
    <row r="41" spans="1:7" ht="15" customHeight="1">
      <c r="A41" s="276"/>
      <c r="B41" s="681" t="s">
        <v>270</v>
      </c>
      <c r="C41" s="499"/>
      <c r="D41" s="499"/>
      <c r="E41" s="499"/>
      <c r="F41" s="499"/>
      <c r="G41" s="500"/>
    </row>
    <row r="42" spans="1:7">
      <c r="A42" s="275">
        <v>28</v>
      </c>
      <c r="B42" s="680" t="s">
        <v>254</v>
      </c>
      <c r="C42" s="515">
        <v>8188371920.2195292</v>
      </c>
      <c r="D42" s="515">
        <v>7913053670</v>
      </c>
      <c r="E42" s="515">
        <v>7635790899</v>
      </c>
      <c r="F42" s="515">
        <v>7198479966</v>
      </c>
      <c r="G42" s="516">
        <v>6701507805</v>
      </c>
    </row>
    <row r="43" spans="1:7" ht="15" customHeight="1">
      <c r="A43" s="275">
        <v>29</v>
      </c>
      <c r="B43" s="680" t="s">
        <v>266</v>
      </c>
      <c r="C43" s="515">
        <v>6231205124.7231121</v>
      </c>
      <c r="D43" s="515">
        <v>6099262649</v>
      </c>
      <c r="E43" s="515">
        <v>6044301952</v>
      </c>
      <c r="F43" s="515">
        <v>5859332624</v>
      </c>
      <c r="G43" s="516">
        <v>5592369357</v>
      </c>
    </row>
    <row r="44" spans="1:7" ht="15" customHeight="1">
      <c r="A44" s="275">
        <v>30</v>
      </c>
      <c r="B44" s="680" t="s">
        <v>255</v>
      </c>
      <c r="C44" s="517">
        <v>1.3140912161166232</v>
      </c>
      <c r="D44" s="517">
        <v>1.29738</v>
      </c>
      <c r="E44" s="517">
        <v>1.2633000000000001</v>
      </c>
      <c r="F44" s="517">
        <v>1.22855</v>
      </c>
      <c r="G44" s="518">
        <v>1.1983299999999999</v>
      </c>
    </row>
    <row r="45" spans="1:7" ht="15" customHeight="1">
      <c r="A45" s="275"/>
      <c r="B45" s="681" t="s">
        <v>371</v>
      </c>
      <c r="C45" s="499"/>
      <c r="D45" s="499"/>
      <c r="E45" s="499"/>
      <c r="F45" s="499"/>
      <c r="G45" s="500"/>
    </row>
    <row r="46" spans="1:7" ht="15" customHeight="1">
      <c r="A46" s="275">
        <v>31</v>
      </c>
      <c r="B46" s="680" t="s">
        <v>378</v>
      </c>
      <c r="C46" s="501">
        <v>22355957400.679855</v>
      </c>
      <c r="D46" s="501">
        <v>20719636672</v>
      </c>
      <c r="E46" s="501">
        <v>20539450700</v>
      </c>
      <c r="F46" s="501">
        <v>19746511088</v>
      </c>
      <c r="G46" s="502">
        <v>17926162385</v>
      </c>
    </row>
    <row r="47" spans="1:7" ht="15" customHeight="1">
      <c r="A47" s="275">
        <v>32</v>
      </c>
      <c r="B47" s="680" t="s">
        <v>393</v>
      </c>
      <c r="C47" s="501">
        <v>17622208000.496971</v>
      </c>
      <c r="D47" s="501">
        <v>16485226408</v>
      </c>
      <c r="E47" s="501">
        <v>15755327948</v>
      </c>
      <c r="F47" s="501">
        <v>14684325366</v>
      </c>
      <c r="G47" s="502">
        <v>13978780621</v>
      </c>
    </row>
    <row r="48" spans="1:7" ht="15" thickBot="1">
      <c r="A48" s="277">
        <v>33</v>
      </c>
      <c r="B48" s="122" t="s">
        <v>411</v>
      </c>
      <c r="C48" s="519">
        <v>1.2686240793463217</v>
      </c>
      <c r="D48" s="519">
        <v>1.2568999999999999</v>
      </c>
      <c r="E48" s="519">
        <v>1.3037000000000001</v>
      </c>
      <c r="F48" s="519">
        <v>1.3447</v>
      </c>
      <c r="G48" s="520">
        <v>1.2824</v>
      </c>
    </row>
    <row r="49" spans="1:2">
      <c r="A49" s="13"/>
    </row>
    <row r="50" spans="1:2" ht="40.200000000000003">
      <c r="B50" s="177" t="s">
        <v>705</v>
      </c>
    </row>
    <row r="51" spans="1:2" ht="53.4">
      <c r="B51" s="177" t="s">
        <v>269</v>
      </c>
    </row>
    <row r="53" spans="1:2">
      <c r="B53" s="176"/>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1"/>
  <sheetViews>
    <sheetView zoomScaleNormal="100" workbookViewId="0"/>
  </sheetViews>
  <sheetFormatPr defaultRowHeight="14.4"/>
  <cols>
    <col min="1" max="1" width="8.6640625" style="334"/>
    <col min="2" max="2" width="69.33203125" style="335" customWidth="1"/>
    <col min="3" max="4" width="17.44140625" bestFit="1" customWidth="1"/>
    <col min="5" max="5" width="19.109375" style="464" bestFit="1" customWidth="1"/>
    <col min="6" max="6" width="17.44140625" bestFit="1" customWidth="1"/>
    <col min="7" max="7" width="18.6640625" bestFit="1" customWidth="1"/>
    <col min="8" max="8" width="17.5546875" customWidth="1"/>
  </cols>
  <sheetData>
    <row r="1" spans="1:24" s="5" customFormat="1" ht="13.8">
      <c r="A1" s="2" t="s">
        <v>30</v>
      </c>
      <c r="B1" s="3" t="str">
        <f>'Info '!C2</f>
        <v xml:space="preserve">JSC "Bank of Georgia" </v>
      </c>
      <c r="C1" s="3"/>
      <c r="D1" s="4"/>
      <c r="E1" s="462"/>
      <c r="F1" s="4"/>
      <c r="G1" s="4"/>
    </row>
    <row r="2" spans="1:24" s="5" customFormat="1" ht="13.8">
      <c r="A2" s="2" t="s">
        <v>31</v>
      </c>
      <c r="B2" s="273">
        <f>'1. key ratios '!B2</f>
        <v>45473</v>
      </c>
      <c r="C2" s="6"/>
      <c r="D2" s="7"/>
      <c r="E2" s="463"/>
      <c r="F2" s="7"/>
      <c r="G2" s="7"/>
      <c r="H2" s="8"/>
    </row>
    <row r="3" spans="1:24" s="5" customFormat="1" thickBot="1">
      <c r="A3" s="2"/>
      <c r="B3" s="6"/>
      <c r="C3" s="6"/>
      <c r="D3" s="7"/>
      <c r="E3" s="463"/>
      <c r="F3" s="7"/>
      <c r="G3" s="7"/>
      <c r="H3" s="8"/>
    </row>
    <row r="4" spans="1:24" ht="21" customHeight="1">
      <c r="A4" s="722" t="s">
        <v>6</v>
      </c>
      <c r="B4" s="724" t="s">
        <v>555</v>
      </c>
      <c r="C4" s="726" t="s">
        <v>556</v>
      </c>
      <c r="D4" s="726"/>
      <c r="E4" s="726"/>
      <c r="F4" s="726" t="s">
        <v>557</v>
      </c>
      <c r="G4" s="726"/>
      <c r="H4" s="727"/>
    </row>
    <row r="5" spans="1:24" ht="21" customHeight="1">
      <c r="A5" s="723"/>
      <c r="B5" s="725"/>
      <c r="C5" s="336" t="s">
        <v>32</v>
      </c>
      <c r="D5" s="336" t="s">
        <v>33</v>
      </c>
      <c r="E5" s="686" t="s">
        <v>34</v>
      </c>
      <c r="F5" s="336" t="s">
        <v>32</v>
      </c>
      <c r="G5" s="336" t="s">
        <v>33</v>
      </c>
      <c r="H5" s="691" t="s">
        <v>34</v>
      </c>
    </row>
    <row r="6" spans="1:24" ht="26.4" customHeight="1">
      <c r="A6" s="723"/>
      <c r="B6" s="687" t="s">
        <v>558</v>
      </c>
      <c r="C6" s="720"/>
      <c r="D6" s="720"/>
      <c r="E6" s="720"/>
      <c r="F6" s="720"/>
      <c r="G6" s="720"/>
      <c r="H6" s="721"/>
    </row>
    <row r="7" spans="1:24" ht="23.1" customHeight="1">
      <c r="A7" s="692">
        <v>1</v>
      </c>
      <c r="B7" s="688" t="s">
        <v>559</v>
      </c>
      <c r="C7" s="521">
        <f>SUM(C8:C10)</f>
        <v>442131770.34000003</v>
      </c>
      <c r="D7" s="521">
        <f>SUM(D8:D10)</f>
        <v>3242353681.4721999</v>
      </c>
      <c r="E7" s="467">
        <f>C7+D7</f>
        <v>3684485451.8122001</v>
      </c>
      <c r="F7" s="466">
        <f>SUM(F8:F10)</f>
        <v>516350351.75599998</v>
      </c>
      <c r="G7" s="466">
        <f>SUM(G8:G10)</f>
        <v>2931540769.3006001</v>
      </c>
      <c r="H7" s="562">
        <f>F7+G7</f>
        <v>3447891121.0566001</v>
      </c>
      <c r="S7" s="525"/>
      <c r="T7" s="525"/>
      <c r="U7" s="525"/>
      <c r="V7" s="525"/>
      <c r="W7" s="525"/>
      <c r="X7" s="525"/>
    </row>
    <row r="8" spans="1:24">
      <c r="A8" s="692">
        <v>1.1000000000000001</v>
      </c>
      <c r="B8" s="328" t="s">
        <v>560</v>
      </c>
      <c r="C8" s="521">
        <v>229697727.31</v>
      </c>
      <c r="D8" s="521">
        <v>445044186.48299998</v>
      </c>
      <c r="E8" s="467">
        <f t="shared" ref="E8:E35" si="0">C8+D8</f>
        <v>674741913.79299998</v>
      </c>
      <c r="F8" s="466">
        <v>265909673.77599999</v>
      </c>
      <c r="G8" s="466">
        <v>578793213.477</v>
      </c>
      <c r="H8" s="562">
        <f t="shared" ref="H8:H36" si="1">F8+G8</f>
        <v>844702887.25300002</v>
      </c>
      <c r="S8" s="525"/>
      <c r="T8" s="525"/>
      <c r="U8" s="525"/>
      <c r="V8" s="525"/>
      <c r="W8" s="525"/>
      <c r="X8" s="525"/>
    </row>
    <row r="9" spans="1:24">
      <c r="A9" s="692">
        <v>1.2</v>
      </c>
      <c r="B9" s="328" t="s">
        <v>561</v>
      </c>
      <c r="C9" s="521">
        <v>200784721.40000001</v>
      </c>
      <c r="D9" s="521">
        <v>1870466186.4854</v>
      </c>
      <c r="E9" s="467">
        <f t="shared" si="0"/>
        <v>2071250907.8854001</v>
      </c>
      <c r="F9" s="466">
        <v>238645798.31999999</v>
      </c>
      <c r="G9" s="466">
        <v>1861167016.6200001</v>
      </c>
      <c r="H9" s="562">
        <f t="shared" si="1"/>
        <v>2099812814.9400001</v>
      </c>
      <c r="S9" s="525"/>
      <c r="T9" s="525"/>
      <c r="U9" s="525"/>
      <c r="V9" s="525"/>
      <c r="W9" s="525"/>
      <c r="X9" s="525"/>
    </row>
    <row r="10" spans="1:24">
      <c r="A10" s="692">
        <v>1.3</v>
      </c>
      <c r="B10" s="328" t="s">
        <v>562</v>
      </c>
      <c r="C10" s="521">
        <v>11649321.630000001</v>
      </c>
      <c r="D10" s="521">
        <v>926843308.50380003</v>
      </c>
      <c r="E10" s="467">
        <f t="shared" si="0"/>
        <v>938492630.13380003</v>
      </c>
      <c r="F10" s="466">
        <v>11794879.66</v>
      </c>
      <c r="G10" s="466">
        <v>491580539.20359999</v>
      </c>
      <c r="H10" s="562">
        <f t="shared" si="1"/>
        <v>503375418.86360002</v>
      </c>
      <c r="S10" s="525"/>
      <c r="T10" s="525"/>
      <c r="U10" s="525"/>
      <c r="V10" s="525"/>
      <c r="W10" s="525"/>
      <c r="X10" s="525"/>
    </row>
    <row r="11" spans="1:24">
      <c r="A11" s="692">
        <v>2</v>
      </c>
      <c r="B11" s="350" t="s">
        <v>563</v>
      </c>
      <c r="C11" s="521">
        <f>C12</f>
        <v>13852925.609999999</v>
      </c>
      <c r="D11" s="521">
        <f>D12</f>
        <v>70321.349999999627</v>
      </c>
      <c r="E11" s="467">
        <f t="shared" si="0"/>
        <v>13923246.959999999</v>
      </c>
      <c r="F11" s="466">
        <f>F12</f>
        <v>21123818.879999999</v>
      </c>
      <c r="G11" s="466">
        <f>G12</f>
        <v>9707.820000000298</v>
      </c>
      <c r="H11" s="562">
        <f t="shared" si="1"/>
        <v>21133526.699999999</v>
      </c>
      <c r="S11" s="525"/>
      <c r="T11" s="525"/>
      <c r="U11" s="525"/>
      <c r="V11" s="525"/>
      <c r="W11" s="525"/>
      <c r="X11" s="525"/>
    </row>
    <row r="12" spans="1:24">
      <c r="A12" s="692">
        <v>2.1</v>
      </c>
      <c r="B12" s="326" t="s">
        <v>564</v>
      </c>
      <c r="C12" s="521">
        <v>13852925.609999999</v>
      </c>
      <c r="D12" s="521">
        <v>70321.349999999627</v>
      </c>
      <c r="E12" s="467">
        <f t="shared" si="0"/>
        <v>13923246.959999999</v>
      </c>
      <c r="F12" s="466">
        <v>21123818.879999999</v>
      </c>
      <c r="G12" s="466">
        <v>9707.820000000298</v>
      </c>
      <c r="H12" s="562">
        <f t="shared" si="1"/>
        <v>21133526.699999999</v>
      </c>
      <c r="S12" s="525"/>
      <c r="T12" s="525"/>
      <c r="U12" s="525"/>
      <c r="V12" s="525"/>
      <c r="W12" s="525"/>
      <c r="X12" s="525"/>
    </row>
    <row r="13" spans="1:24" ht="26.4" customHeight="1">
      <c r="A13" s="692">
        <v>3</v>
      </c>
      <c r="B13" s="689" t="s">
        <v>565</v>
      </c>
      <c r="C13" s="521"/>
      <c r="D13" s="521"/>
      <c r="E13" s="467">
        <f t="shared" si="0"/>
        <v>0</v>
      </c>
      <c r="F13" s="466"/>
      <c r="G13" s="466"/>
      <c r="H13" s="562">
        <f t="shared" si="1"/>
        <v>0</v>
      </c>
      <c r="S13" s="525"/>
      <c r="T13" s="525"/>
      <c r="U13" s="525"/>
      <c r="V13" s="525"/>
      <c r="W13" s="525"/>
      <c r="X13" s="525"/>
    </row>
    <row r="14" spans="1:24" ht="26.4" customHeight="1">
      <c r="A14" s="692">
        <v>4</v>
      </c>
      <c r="B14" s="333" t="s">
        <v>566</v>
      </c>
      <c r="C14" s="521"/>
      <c r="D14" s="521"/>
      <c r="E14" s="467">
        <f t="shared" si="0"/>
        <v>0</v>
      </c>
      <c r="F14" s="466">
        <v>80572113.666666672</v>
      </c>
      <c r="G14" s="466"/>
      <c r="H14" s="562">
        <f t="shared" si="1"/>
        <v>80572113.666666672</v>
      </c>
      <c r="S14" s="525"/>
      <c r="T14" s="525"/>
      <c r="U14" s="525"/>
      <c r="V14" s="525"/>
      <c r="W14" s="525"/>
      <c r="X14" s="525"/>
    </row>
    <row r="15" spans="1:24" ht="24.6" customHeight="1">
      <c r="A15" s="692">
        <v>5</v>
      </c>
      <c r="B15" s="330" t="s">
        <v>567</v>
      </c>
      <c r="C15" s="522">
        <f>SUM(C16:C18)</f>
        <v>3397996411.9833002</v>
      </c>
      <c r="D15" s="522">
        <f>SUM(D16:D18)</f>
        <v>2932088260.1540003</v>
      </c>
      <c r="E15" s="471">
        <f t="shared" si="0"/>
        <v>6330084672.1373005</v>
      </c>
      <c r="F15" s="470">
        <f>SUM(F16:F18)</f>
        <v>2474056278.2273993</v>
      </c>
      <c r="G15" s="470">
        <f>SUM(G16:G18)</f>
        <v>1779154051.7705998</v>
      </c>
      <c r="H15" s="563">
        <f t="shared" si="1"/>
        <v>4253210329.9979992</v>
      </c>
      <c r="S15" s="525"/>
      <c r="T15" s="525"/>
      <c r="U15" s="525"/>
      <c r="V15" s="525"/>
      <c r="W15" s="525"/>
      <c r="X15" s="525"/>
    </row>
    <row r="16" spans="1:24">
      <c r="A16" s="692">
        <v>5.0999999999999996</v>
      </c>
      <c r="B16" s="477" t="s">
        <v>568</v>
      </c>
      <c r="C16" s="521">
        <v>108303.24</v>
      </c>
      <c r="D16" s="521">
        <v>7506894.6539000003</v>
      </c>
      <c r="E16" s="467">
        <f t="shared" si="0"/>
        <v>7615197.8939000005</v>
      </c>
      <c r="F16" s="466">
        <v>108303.24</v>
      </c>
      <c r="G16" s="466">
        <v>5408759.4537000004</v>
      </c>
      <c r="H16" s="562">
        <f t="shared" si="1"/>
        <v>5517062.6937000006</v>
      </c>
      <c r="S16" s="525"/>
      <c r="T16" s="525"/>
      <c r="U16" s="525"/>
      <c r="V16" s="525"/>
      <c r="W16" s="525"/>
      <c r="X16" s="525"/>
    </row>
    <row r="17" spans="1:24">
      <c r="A17" s="692">
        <v>5.2</v>
      </c>
      <c r="B17" s="477" t="s">
        <v>569</v>
      </c>
      <c r="C17" s="521">
        <v>3397888108.7433004</v>
      </c>
      <c r="D17" s="521">
        <v>2924581365.5001001</v>
      </c>
      <c r="E17" s="467">
        <f t="shared" si="0"/>
        <v>6322469474.2434006</v>
      </c>
      <c r="F17" s="466">
        <v>2473947974.9873996</v>
      </c>
      <c r="G17" s="466">
        <v>1773745292.3168998</v>
      </c>
      <c r="H17" s="562">
        <f t="shared" si="1"/>
        <v>4247693267.3042994</v>
      </c>
      <c r="S17" s="525"/>
      <c r="T17" s="525"/>
      <c r="U17" s="525"/>
      <c r="V17" s="525"/>
      <c r="W17" s="525"/>
      <c r="X17" s="525"/>
    </row>
    <row r="18" spans="1:24">
      <c r="A18" s="692">
        <v>5.3</v>
      </c>
      <c r="B18" s="351" t="s">
        <v>570</v>
      </c>
      <c r="C18" s="521"/>
      <c r="D18" s="521"/>
      <c r="E18" s="467">
        <f t="shared" si="0"/>
        <v>0</v>
      </c>
      <c r="F18" s="466"/>
      <c r="G18" s="466"/>
      <c r="H18" s="562">
        <f t="shared" si="1"/>
        <v>0</v>
      </c>
      <c r="S18" s="525"/>
      <c r="T18" s="525"/>
      <c r="U18" s="525"/>
      <c r="V18" s="525"/>
      <c r="W18" s="525"/>
      <c r="X18" s="525"/>
    </row>
    <row r="19" spans="1:24">
      <c r="A19" s="692">
        <v>6</v>
      </c>
      <c r="B19" s="689" t="s">
        <v>571</v>
      </c>
      <c r="C19" s="521">
        <f>SUM(C20:C21)</f>
        <v>12537941930.891973</v>
      </c>
      <c r="D19" s="521">
        <f>SUM(D20:D21)</f>
        <v>9712372197.6115017</v>
      </c>
      <c r="E19" s="467">
        <f t="shared" si="0"/>
        <v>22250314128.503475</v>
      </c>
      <c r="F19" s="466">
        <f>SUM(F20:F21)</f>
        <v>9882002442.0078335</v>
      </c>
      <c r="G19" s="466">
        <f>SUM(G20:G21)</f>
        <v>7835214127.9344025</v>
      </c>
      <c r="H19" s="562">
        <f t="shared" si="1"/>
        <v>17717216569.942238</v>
      </c>
      <c r="S19" s="525"/>
      <c r="T19" s="525"/>
      <c r="U19" s="525"/>
      <c r="V19" s="525"/>
      <c r="W19" s="525"/>
      <c r="X19" s="525"/>
    </row>
    <row r="20" spans="1:24">
      <c r="A20" s="692">
        <v>6.1</v>
      </c>
      <c r="B20" s="477" t="s">
        <v>569</v>
      </c>
      <c r="C20" s="521">
        <v>496231439.69999999</v>
      </c>
      <c r="D20" s="521">
        <v>102035347.81660002</v>
      </c>
      <c r="E20" s="467">
        <f t="shared" si="0"/>
        <v>598266787.51660001</v>
      </c>
      <c r="F20" s="466">
        <v>180826604.56999999</v>
      </c>
      <c r="G20" s="466">
        <v>39760966.971100003</v>
      </c>
      <c r="H20" s="562">
        <f t="shared" si="1"/>
        <v>220587571.5411</v>
      </c>
      <c r="S20" s="525"/>
      <c r="T20" s="525"/>
      <c r="U20" s="525"/>
      <c r="V20" s="525"/>
      <c r="W20" s="525"/>
      <c r="X20" s="525"/>
    </row>
    <row r="21" spans="1:24">
      <c r="A21" s="692">
        <v>6.2</v>
      </c>
      <c r="B21" s="351" t="s">
        <v>570</v>
      </c>
      <c r="C21" s="521">
        <v>12041710491.191973</v>
      </c>
      <c r="D21" s="521">
        <v>9610336849.7949009</v>
      </c>
      <c r="E21" s="467">
        <f t="shared" si="0"/>
        <v>21652047340.986874</v>
      </c>
      <c r="F21" s="466">
        <v>9701175837.4378338</v>
      </c>
      <c r="G21" s="466">
        <v>7795453160.9633026</v>
      </c>
      <c r="H21" s="562">
        <f t="shared" si="1"/>
        <v>17496628998.401138</v>
      </c>
      <c r="S21" s="525"/>
      <c r="T21" s="525"/>
      <c r="U21" s="525"/>
      <c r="V21" s="525"/>
      <c r="W21" s="525"/>
      <c r="X21" s="525"/>
    </row>
    <row r="22" spans="1:24">
      <c r="A22" s="692">
        <v>7</v>
      </c>
      <c r="B22" s="350" t="s">
        <v>572</v>
      </c>
      <c r="C22" s="521">
        <v>397420284.64000005</v>
      </c>
      <c r="D22" s="521">
        <v>0</v>
      </c>
      <c r="E22" s="467">
        <f t="shared" si="0"/>
        <v>397420284.64000005</v>
      </c>
      <c r="F22" s="466">
        <v>157029813.86999997</v>
      </c>
      <c r="G22" s="466">
        <v>0</v>
      </c>
      <c r="H22" s="562">
        <f t="shared" si="1"/>
        <v>157029813.86999997</v>
      </c>
      <c r="S22" s="525"/>
      <c r="T22" s="525"/>
      <c r="U22" s="525"/>
      <c r="V22" s="525"/>
      <c r="W22" s="525"/>
      <c r="X22" s="525"/>
    </row>
    <row r="23" spans="1:24">
      <c r="A23" s="692">
        <v>8</v>
      </c>
      <c r="B23" s="350" t="s">
        <v>573</v>
      </c>
      <c r="C23" s="521">
        <v>20066035.68</v>
      </c>
      <c r="D23" s="521">
        <v>0</v>
      </c>
      <c r="E23" s="467">
        <f t="shared" si="0"/>
        <v>20066035.68</v>
      </c>
      <c r="F23" s="466">
        <v>30407303.619224988</v>
      </c>
      <c r="G23" s="466">
        <v>0</v>
      </c>
      <c r="H23" s="562">
        <f t="shared" si="1"/>
        <v>30407303.619224988</v>
      </c>
      <c r="S23" s="525"/>
      <c r="T23" s="525"/>
      <c r="U23" s="525"/>
      <c r="V23" s="525"/>
      <c r="W23" s="525"/>
      <c r="X23" s="525"/>
    </row>
    <row r="24" spans="1:24">
      <c r="A24" s="692">
        <v>9</v>
      </c>
      <c r="B24" s="333" t="s">
        <v>574</v>
      </c>
      <c r="C24" s="521">
        <f>SUM(C25:C26)</f>
        <v>640795859.77999997</v>
      </c>
      <c r="D24" s="521">
        <f>SUM(D25:D26)</f>
        <v>0</v>
      </c>
      <c r="E24" s="467">
        <f t="shared" si="0"/>
        <v>640795859.77999997</v>
      </c>
      <c r="F24" s="466">
        <f>SUM(F25:F26)</f>
        <v>606618823.27000022</v>
      </c>
      <c r="G24" s="466">
        <f>SUM(G25:G26)</f>
        <v>0</v>
      </c>
      <c r="H24" s="562">
        <f t="shared" si="1"/>
        <v>606618823.27000022</v>
      </c>
      <c r="S24" s="525"/>
      <c r="T24" s="525"/>
      <c r="U24" s="525"/>
      <c r="V24" s="525"/>
      <c r="W24" s="525"/>
      <c r="X24" s="525"/>
    </row>
    <row r="25" spans="1:24">
      <c r="A25" s="692">
        <v>9.1</v>
      </c>
      <c r="B25" s="477" t="s">
        <v>575</v>
      </c>
      <c r="C25" s="521">
        <v>527216002.94</v>
      </c>
      <c r="D25" s="521">
        <v>0</v>
      </c>
      <c r="E25" s="467">
        <f t="shared" si="0"/>
        <v>527216002.94</v>
      </c>
      <c r="F25" s="466">
        <v>466692434.13999999</v>
      </c>
      <c r="G25" s="466">
        <v>0</v>
      </c>
      <c r="H25" s="562">
        <f t="shared" si="1"/>
        <v>466692434.13999999</v>
      </c>
      <c r="S25" s="525"/>
      <c r="T25" s="525"/>
      <c r="U25" s="525"/>
      <c r="V25" s="525"/>
      <c r="W25" s="525"/>
      <c r="X25" s="525"/>
    </row>
    <row r="26" spans="1:24">
      <c r="A26" s="692">
        <v>9.1999999999999993</v>
      </c>
      <c r="B26" s="477" t="s">
        <v>576</v>
      </c>
      <c r="C26" s="521">
        <v>113579856.84</v>
      </c>
      <c r="D26" s="521">
        <v>0</v>
      </c>
      <c r="E26" s="467">
        <f t="shared" si="0"/>
        <v>113579856.84</v>
      </c>
      <c r="F26" s="466">
        <v>139926389.1300002</v>
      </c>
      <c r="G26" s="466">
        <v>0</v>
      </c>
      <c r="H26" s="562">
        <f t="shared" si="1"/>
        <v>139926389.1300002</v>
      </c>
      <c r="S26" s="525"/>
      <c r="T26" s="525"/>
      <c r="U26" s="525"/>
      <c r="V26" s="525"/>
      <c r="W26" s="525"/>
      <c r="X26" s="525"/>
    </row>
    <row r="27" spans="1:24">
      <c r="A27" s="692">
        <v>10</v>
      </c>
      <c r="B27" s="333" t="s">
        <v>577</v>
      </c>
      <c r="C27" s="521">
        <f>SUM(C28:C29)</f>
        <v>182376834.04000002</v>
      </c>
      <c r="D27" s="521">
        <f>SUM(D28:D29)</f>
        <v>0</v>
      </c>
      <c r="E27" s="467">
        <f t="shared" si="0"/>
        <v>182376834.04000002</v>
      </c>
      <c r="F27" s="466">
        <f>SUM(F28:F29)</f>
        <v>162816614.84999999</v>
      </c>
      <c r="G27" s="466">
        <f>SUM(G28:G29)</f>
        <v>0</v>
      </c>
      <c r="H27" s="562">
        <f t="shared" si="1"/>
        <v>162816614.84999999</v>
      </c>
      <c r="S27" s="525"/>
      <c r="T27" s="525"/>
      <c r="U27" s="525"/>
      <c r="V27" s="525"/>
      <c r="W27" s="525"/>
      <c r="X27" s="525"/>
    </row>
    <row r="28" spans="1:24">
      <c r="A28" s="692">
        <v>10.1</v>
      </c>
      <c r="B28" s="477" t="s">
        <v>578</v>
      </c>
      <c r="C28" s="521">
        <v>33331342.84</v>
      </c>
      <c r="D28" s="521">
        <v>0</v>
      </c>
      <c r="E28" s="467">
        <f t="shared" si="0"/>
        <v>33331342.84</v>
      </c>
      <c r="F28" s="466">
        <v>33331342.84</v>
      </c>
      <c r="G28" s="466">
        <v>0</v>
      </c>
      <c r="H28" s="562">
        <f t="shared" si="1"/>
        <v>33331342.84</v>
      </c>
      <c r="S28" s="525"/>
      <c r="T28" s="525"/>
      <c r="U28" s="525"/>
      <c r="V28" s="525"/>
      <c r="W28" s="525"/>
      <c r="X28" s="525"/>
    </row>
    <row r="29" spans="1:24">
      <c r="A29" s="692">
        <v>10.199999999999999</v>
      </c>
      <c r="B29" s="477" t="s">
        <v>579</v>
      </c>
      <c r="C29" s="521">
        <v>149045491.20000002</v>
      </c>
      <c r="D29" s="521">
        <v>0</v>
      </c>
      <c r="E29" s="467">
        <f t="shared" si="0"/>
        <v>149045491.20000002</v>
      </c>
      <c r="F29" s="466">
        <v>129485272.00999999</v>
      </c>
      <c r="G29" s="466">
        <v>0</v>
      </c>
      <c r="H29" s="562">
        <f t="shared" si="1"/>
        <v>129485272.00999999</v>
      </c>
      <c r="S29" s="525"/>
      <c r="T29" s="525"/>
      <c r="U29" s="525"/>
      <c r="V29" s="525"/>
      <c r="W29" s="525"/>
      <c r="X29" s="525"/>
    </row>
    <row r="30" spans="1:24">
      <c r="A30" s="692">
        <v>11</v>
      </c>
      <c r="B30" s="333" t="s">
        <v>580</v>
      </c>
      <c r="C30" s="521">
        <f>SUM(C31:C32)</f>
        <v>0</v>
      </c>
      <c r="D30" s="521">
        <f>SUM(D31:D32)</f>
        <v>0</v>
      </c>
      <c r="E30" s="467">
        <f t="shared" si="0"/>
        <v>0</v>
      </c>
      <c r="F30" s="466"/>
      <c r="G30" s="466">
        <f>SUM(G31:G32)</f>
        <v>0</v>
      </c>
      <c r="H30" s="562">
        <f t="shared" si="1"/>
        <v>0</v>
      </c>
      <c r="S30" s="525"/>
      <c r="T30" s="525"/>
      <c r="U30" s="525"/>
      <c r="V30" s="525"/>
      <c r="W30" s="525"/>
      <c r="X30" s="525"/>
    </row>
    <row r="31" spans="1:24">
      <c r="A31" s="692">
        <v>11.1</v>
      </c>
      <c r="B31" s="477" t="s">
        <v>581</v>
      </c>
      <c r="C31" s="521">
        <v>0</v>
      </c>
      <c r="D31" s="521">
        <v>0</v>
      </c>
      <c r="E31" s="467">
        <f t="shared" si="0"/>
        <v>0</v>
      </c>
      <c r="F31" s="466"/>
      <c r="G31" s="466">
        <v>0</v>
      </c>
      <c r="H31" s="562">
        <f t="shared" si="1"/>
        <v>0</v>
      </c>
      <c r="S31" s="525"/>
      <c r="T31" s="525"/>
      <c r="U31" s="525"/>
      <c r="V31" s="525"/>
      <c r="W31" s="525"/>
      <c r="X31" s="525"/>
    </row>
    <row r="32" spans="1:24">
      <c r="A32" s="692">
        <v>11.2</v>
      </c>
      <c r="B32" s="477" t="s">
        <v>582</v>
      </c>
      <c r="C32" s="521">
        <v>0</v>
      </c>
      <c r="D32" s="521">
        <v>0</v>
      </c>
      <c r="E32" s="467">
        <f t="shared" si="0"/>
        <v>0</v>
      </c>
      <c r="F32" s="466"/>
      <c r="G32" s="466">
        <v>0</v>
      </c>
      <c r="H32" s="562">
        <f t="shared" si="1"/>
        <v>0</v>
      </c>
      <c r="S32" s="525"/>
      <c r="T32" s="525"/>
      <c r="U32" s="525"/>
      <c r="V32" s="525"/>
      <c r="W32" s="525"/>
      <c r="X32" s="525"/>
    </row>
    <row r="33" spans="1:24">
      <c r="A33" s="692">
        <v>13</v>
      </c>
      <c r="B33" s="333" t="s">
        <v>583</v>
      </c>
      <c r="C33" s="521">
        <v>515513301.04670322</v>
      </c>
      <c r="D33" s="521">
        <v>105666786.17612875</v>
      </c>
      <c r="E33" s="467">
        <f t="shared" si="0"/>
        <v>621180087.22283196</v>
      </c>
      <c r="F33" s="466">
        <v>310054893.86296624</v>
      </c>
      <c r="G33" s="466">
        <v>109073359.59489965</v>
      </c>
      <c r="H33" s="562">
        <f t="shared" si="1"/>
        <v>419128253.45786589</v>
      </c>
      <c r="S33" s="525"/>
      <c r="T33" s="525"/>
      <c r="U33" s="525"/>
      <c r="V33" s="525"/>
      <c r="W33" s="525"/>
      <c r="X33" s="525"/>
    </row>
    <row r="34" spans="1:24">
      <c r="A34" s="692">
        <v>13.1</v>
      </c>
      <c r="B34" s="690" t="s">
        <v>584</v>
      </c>
      <c r="C34" s="521">
        <v>300618242.21999997</v>
      </c>
      <c r="D34" s="521">
        <v>0</v>
      </c>
      <c r="E34" s="467">
        <f t="shared" si="0"/>
        <v>300618242.21999997</v>
      </c>
      <c r="F34" s="466">
        <v>141856351.75</v>
      </c>
      <c r="G34" s="466">
        <v>0</v>
      </c>
      <c r="H34" s="562">
        <f t="shared" si="1"/>
        <v>141856351.75</v>
      </c>
      <c r="S34" s="525"/>
      <c r="T34" s="525"/>
      <c r="U34" s="525"/>
      <c r="V34" s="525"/>
      <c r="W34" s="525"/>
      <c r="X34" s="525"/>
    </row>
    <row r="35" spans="1:24">
      <c r="A35" s="692">
        <v>13.2</v>
      </c>
      <c r="B35" s="690" t="s">
        <v>585</v>
      </c>
      <c r="C35" s="521">
        <v>0</v>
      </c>
      <c r="D35" s="521">
        <v>0</v>
      </c>
      <c r="E35" s="467">
        <f t="shared" si="0"/>
        <v>0</v>
      </c>
      <c r="F35" s="466">
        <v>0</v>
      </c>
      <c r="G35" s="466">
        <v>0</v>
      </c>
      <c r="H35" s="562">
        <f t="shared" si="1"/>
        <v>0</v>
      </c>
      <c r="S35" s="525"/>
      <c r="T35" s="525"/>
      <c r="U35" s="525"/>
      <c r="V35" s="525"/>
      <c r="W35" s="525"/>
      <c r="X35" s="525"/>
    </row>
    <row r="36" spans="1:24">
      <c r="A36" s="692">
        <v>14</v>
      </c>
      <c r="B36" s="333" t="s">
        <v>586</v>
      </c>
      <c r="C36" s="521">
        <f>SUM(C7,C11,C13,C14,C15,C19,C22,C23,C24,C27,C30,C33)</f>
        <v>18148095354.011978</v>
      </c>
      <c r="D36" s="521">
        <f>SUM(D7,D11,D13,D14,D15,D19,D22,D23,D24,D27,D30,D33)</f>
        <v>15992551246.76383</v>
      </c>
      <c r="E36" s="467">
        <f>C36+D36</f>
        <v>34140646600.77581</v>
      </c>
      <c r="F36" s="466">
        <f>SUM(F7,F11,F13,F14,F15,F19,F22,F23,F24,F27,F30,F33)</f>
        <v>14241032454.010092</v>
      </c>
      <c r="G36" s="466">
        <f>SUM(G7,G11,G13,G14,G15,G19,G22,G23,G24,G27,G30,G33)</f>
        <v>12654992016.420504</v>
      </c>
      <c r="H36" s="562">
        <f t="shared" si="1"/>
        <v>26896024470.430595</v>
      </c>
      <c r="S36" s="525"/>
      <c r="T36" s="525"/>
      <c r="U36" s="525"/>
      <c r="V36" s="525"/>
      <c r="W36" s="525"/>
      <c r="X36" s="525"/>
    </row>
    <row r="37" spans="1:24" ht="22.5" customHeight="1">
      <c r="A37" s="692"/>
      <c r="B37" s="331" t="s">
        <v>587</v>
      </c>
      <c r="C37" s="720"/>
      <c r="D37" s="720"/>
      <c r="E37" s="720"/>
      <c r="F37" s="720"/>
      <c r="G37" s="720"/>
      <c r="H37" s="721"/>
      <c r="S37" s="525"/>
      <c r="T37" s="525"/>
      <c r="U37" s="525"/>
      <c r="V37" s="525"/>
      <c r="W37" s="525"/>
      <c r="X37" s="525"/>
    </row>
    <row r="38" spans="1:24">
      <c r="A38" s="692">
        <v>15</v>
      </c>
      <c r="B38" s="350" t="s">
        <v>588</v>
      </c>
      <c r="C38" s="521">
        <f>C39</f>
        <v>7213728.3499999996</v>
      </c>
      <c r="D38" s="521">
        <f>D39</f>
        <v>3432699.1300000008</v>
      </c>
      <c r="E38" s="467">
        <f>C38+D38</f>
        <v>10646427.48</v>
      </c>
      <c r="F38" s="466">
        <f>F39</f>
        <v>16252212.399999999</v>
      </c>
      <c r="G38" s="466">
        <f>G39</f>
        <v>130885</v>
      </c>
      <c r="H38" s="562">
        <f>F38+G38</f>
        <v>16383097.399999999</v>
      </c>
      <c r="S38" s="525"/>
      <c r="T38" s="525"/>
      <c r="U38" s="525"/>
      <c r="V38" s="525"/>
      <c r="W38" s="525"/>
      <c r="X38" s="525"/>
    </row>
    <row r="39" spans="1:24">
      <c r="A39" s="692">
        <v>15.1</v>
      </c>
      <c r="B39" s="326" t="s">
        <v>564</v>
      </c>
      <c r="C39" s="521">
        <v>7213728.3499999996</v>
      </c>
      <c r="D39" s="521">
        <v>3432699.1300000008</v>
      </c>
      <c r="E39" s="467">
        <f t="shared" ref="E39:E52" si="2">C39+D39</f>
        <v>10646427.48</v>
      </c>
      <c r="F39" s="466">
        <v>16252212.399999999</v>
      </c>
      <c r="G39" s="466">
        <v>130885</v>
      </c>
      <c r="H39" s="562">
        <f t="shared" ref="H39:H52" si="3">F39+G39</f>
        <v>16383097.399999999</v>
      </c>
      <c r="S39" s="525"/>
      <c r="T39" s="525"/>
      <c r="U39" s="525"/>
      <c r="V39" s="525"/>
      <c r="W39" s="525"/>
      <c r="X39" s="525"/>
    </row>
    <row r="40" spans="1:24" ht="24" customHeight="1">
      <c r="A40" s="692">
        <v>16</v>
      </c>
      <c r="B40" s="350" t="s">
        <v>589</v>
      </c>
      <c r="C40" s="521"/>
      <c r="D40" s="521"/>
      <c r="E40" s="467">
        <f t="shared" si="2"/>
        <v>0</v>
      </c>
      <c r="F40" s="466"/>
      <c r="G40" s="466"/>
      <c r="H40" s="562">
        <f t="shared" si="3"/>
        <v>0</v>
      </c>
      <c r="S40" s="525"/>
      <c r="T40" s="525"/>
      <c r="U40" s="525"/>
      <c r="V40" s="525"/>
      <c r="W40" s="525"/>
      <c r="X40" s="525"/>
    </row>
    <row r="41" spans="1:24">
      <c r="A41" s="692">
        <v>17</v>
      </c>
      <c r="B41" s="350" t="s">
        <v>590</v>
      </c>
      <c r="C41" s="521">
        <f>SUM(C42:C45)</f>
        <v>13367101349.556499</v>
      </c>
      <c r="D41" s="521">
        <f>SUM(D42:D45)</f>
        <v>13887786717.3668</v>
      </c>
      <c r="E41" s="467">
        <f t="shared" si="2"/>
        <v>27254888066.923302</v>
      </c>
      <c r="F41" s="466">
        <f>SUM(F42:F45)</f>
        <v>10357529797.273582</v>
      </c>
      <c r="G41" s="466">
        <f>SUM(G42:G45)</f>
        <v>11383363638.472599</v>
      </c>
      <c r="H41" s="562">
        <f t="shared" si="3"/>
        <v>21740893435.746181</v>
      </c>
      <c r="S41" s="525"/>
      <c r="T41" s="525"/>
      <c r="U41" s="525"/>
      <c r="V41" s="525"/>
      <c r="W41" s="525"/>
      <c r="X41" s="525"/>
    </row>
    <row r="42" spans="1:24">
      <c r="A42" s="692">
        <v>17.100000000000001</v>
      </c>
      <c r="B42" s="345" t="s">
        <v>591</v>
      </c>
      <c r="C42" s="523">
        <v>11180277498.936501</v>
      </c>
      <c r="D42" s="523">
        <v>12515753354.2868</v>
      </c>
      <c r="E42" s="467">
        <f t="shared" si="2"/>
        <v>23696030853.223301</v>
      </c>
      <c r="F42" s="466">
        <v>9194176496.8935833</v>
      </c>
      <c r="G42" s="466">
        <v>10440726623.052599</v>
      </c>
      <c r="H42" s="562">
        <f t="shared" si="3"/>
        <v>19634903119.946182</v>
      </c>
      <c r="S42" s="525"/>
      <c r="T42" s="525"/>
      <c r="U42" s="525"/>
      <c r="V42" s="525"/>
      <c r="W42" s="525"/>
      <c r="X42" s="525"/>
    </row>
    <row r="43" spans="1:24">
      <c r="A43" s="692">
        <v>17.2</v>
      </c>
      <c r="B43" s="328" t="s">
        <v>592</v>
      </c>
      <c r="C43" s="523">
        <v>2183498973.7400002</v>
      </c>
      <c r="D43" s="523">
        <v>1159446199.2100005</v>
      </c>
      <c r="E43" s="467">
        <f t="shared" si="2"/>
        <v>3342945172.9500008</v>
      </c>
      <c r="F43" s="466">
        <v>1159483947.6399999</v>
      </c>
      <c r="G43" s="466">
        <v>502929762.33000016</v>
      </c>
      <c r="H43" s="562">
        <f t="shared" si="3"/>
        <v>1662413709.97</v>
      </c>
      <c r="S43" s="525"/>
      <c r="T43" s="525"/>
      <c r="U43" s="525"/>
      <c r="V43" s="525"/>
      <c r="W43" s="525"/>
      <c r="X43" s="525"/>
    </row>
    <row r="44" spans="1:24">
      <c r="A44" s="692">
        <v>17.3</v>
      </c>
      <c r="B44" s="345" t="s">
        <v>593</v>
      </c>
      <c r="C44" s="523">
        <v>0</v>
      </c>
      <c r="D44" s="523">
        <v>73978411.709999993</v>
      </c>
      <c r="E44" s="467">
        <f t="shared" si="2"/>
        <v>73978411.709999993</v>
      </c>
      <c r="F44" s="466">
        <v>0</v>
      </c>
      <c r="G44" s="466">
        <v>335503670.50999999</v>
      </c>
      <c r="H44" s="562">
        <f t="shared" si="3"/>
        <v>335503670.50999999</v>
      </c>
      <c r="S44" s="525"/>
      <c r="T44" s="525"/>
      <c r="U44" s="525"/>
      <c r="V44" s="525"/>
      <c r="W44" s="525"/>
      <c r="X44" s="525"/>
    </row>
    <row r="45" spans="1:24">
      <c r="A45" s="692">
        <v>17.399999999999999</v>
      </c>
      <c r="B45" s="345" t="s">
        <v>594</v>
      </c>
      <c r="C45" s="523">
        <v>3324876.88</v>
      </c>
      <c r="D45" s="523">
        <v>138608752.16</v>
      </c>
      <c r="E45" s="467">
        <f t="shared" si="2"/>
        <v>141933629.03999999</v>
      </c>
      <c r="F45" s="466">
        <v>3869352.74</v>
      </c>
      <c r="G45" s="466">
        <v>104203582.58000001</v>
      </c>
      <c r="H45" s="562">
        <f t="shared" si="3"/>
        <v>108072935.32000001</v>
      </c>
      <c r="S45" s="525"/>
      <c r="T45" s="525"/>
      <c r="U45" s="525"/>
      <c r="V45" s="525"/>
      <c r="W45" s="525"/>
      <c r="X45" s="525"/>
    </row>
    <row r="46" spans="1:24">
      <c r="A46" s="692">
        <v>18</v>
      </c>
      <c r="B46" s="347" t="s">
        <v>595</v>
      </c>
      <c r="C46" s="521">
        <v>2077448.08</v>
      </c>
      <c r="D46" s="521">
        <v>1755616.0382000008</v>
      </c>
      <c r="E46" s="467">
        <f t="shared" si="2"/>
        <v>3833064.1182000008</v>
      </c>
      <c r="F46" s="466">
        <v>1141524.6399999999</v>
      </c>
      <c r="G46" s="466">
        <v>4378950.409</v>
      </c>
      <c r="H46" s="562">
        <f t="shared" si="3"/>
        <v>5520475.0489999996</v>
      </c>
      <c r="S46" s="525"/>
      <c r="T46" s="525"/>
      <c r="U46" s="525"/>
      <c r="V46" s="525"/>
      <c r="W46" s="525"/>
      <c r="X46" s="525"/>
    </row>
    <row r="47" spans="1:24">
      <c r="A47" s="692">
        <v>19</v>
      </c>
      <c r="B47" s="347" t="s">
        <v>596</v>
      </c>
      <c r="C47" s="521">
        <f>SUM(C48:C49)</f>
        <v>58503314.939999998</v>
      </c>
      <c r="D47" s="521">
        <f>SUM(D48:D49)</f>
        <v>0</v>
      </c>
      <c r="E47" s="467">
        <f t="shared" si="2"/>
        <v>58503314.939999998</v>
      </c>
      <c r="F47" s="472">
        <f>SUM(F48:F49)</f>
        <v>155626760.94222438</v>
      </c>
      <c r="G47" s="466">
        <f>SUM(G48:G49)</f>
        <v>0</v>
      </c>
      <c r="H47" s="562">
        <f t="shared" si="3"/>
        <v>155626760.94222438</v>
      </c>
      <c r="S47" s="525"/>
      <c r="T47" s="525"/>
      <c r="U47" s="525"/>
      <c r="V47" s="525"/>
      <c r="W47" s="525"/>
      <c r="X47" s="525"/>
    </row>
    <row r="48" spans="1:24">
      <c r="A48" s="692">
        <v>19.100000000000001</v>
      </c>
      <c r="B48" s="349" t="s">
        <v>597</v>
      </c>
      <c r="C48" s="521">
        <v>37682771.149999999</v>
      </c>
      <c r="D48" s="521">
        <v>0</v>
      </c>
      <c r="E48" s="467">
        <f t="shared" si="2"/>
        <v>37682771.149999999</v>
      </c>
      <c r="F48" s="466">
        <v>135393514.77610567</v>
      </c>
      <c r="G48" s="466">
        <v>0</v>
      </c>
      <c r="H48" s="562">
        <f t="shared" si="3"/>
        <v>135393514.77610567</v>
      </c>
      <c r="S48" s="525"/>
      <c r="T48" s="525"/>
      <c r="U48" s="525"/>
      <c r="V48" s="525"/>
      <c r="W48" s="525"/>
      <c r="X48" s="525"/>
    </row>
    <row r="49" spans="1:24">
      <c r="A49" s="692">
        <v>19.2</v>
      </c>
      <c r="B49" s="349" t="s">
        <v>598</v>
      </c>
      <c r="C49" s="521">
        <v>20820543.789999999</v>
      </c>
      <c r="D49" s="521">
        <v>0</v>
      </c>
      <c r="E49" s="467">
        <f t="shared" si="2"/>
        <v>20820543.789999999</v>
      </c>
      <c r="F49" s="466">
        <v>20233246.166118711</v>
      </c>
      <c r="G49" s="466">
        <v>0</v>
      </c>
      <c r="H49" s="562">
        <f t="shared" si="3"/>
        <v>20233246.166118711</v>
      </c>
      <c r="S49" s="525"/>
      <c r="T49" s="525"/>
      <c r="U49" s="525"/>
      <c r="V49" s="525"/>
      <c r="W49" s="525"/>
      <c r="X49" s="525"/>
    </row>
    <row r="50" spans="1:24">
      <c r="A50" s="692">
        <v>20</v>
      </c>
      <c r="B50" s="329" t="s">
        <v>599</v>
      </c>
      <c r="C50" s="521">
        <v>0</v>
      </c>
      <c r="D50" s="521">
        <v>1690902404.8799999</v>
      </c>
      <c r="E50" s="467">
        <f t="shared" si="2"/>
        <v>1690902404.8799999</v>
      </c>
      <c r="F50" s="466">
        <v>0</v>
      </c>
      <c r="G50" s="466">
        <v>781464193.60000002</v>
      </c>
      <c r="H50" s="562">
        <f t="shared" si="3"/>
        <v>781464193.60000002</v>
      </c>
      <c r="S50" s="525"/>
      <c r="T50" s="525"/>
      <c r="U50" s="525"/>
      <c r="V50" s="525"/>
      <c r="W50" s="525"/>
      <c r="X50" s="525"/>
    </row>
    <row r="51" spans="1:24">
      <c r="A51" s="692">
        <v>21</v>
      </c>
      <c r="B51" s="350" t="s">
        <v>600</v>
      </c>
      <c r="C51" s="521">
        <v>443024637.40999997</v>
      </c>
      <c r="D51" s="521">
        <v>79219504.988200009</v>
      </c>
      <c r="E51" s="467">
        <f t="shared" si="2"/>
        <v>522244142.39819998</v>
      </c>
      <c r="F51" s="466">
        <v>161881777.69600001</v>
      </c>
      <c r="G51" s="466">
        <v>55540925.997799993</v>
      </c>
      <c r="H51" s="562">
        <f t="shared" si="3"/>
        <v>217422703.6938</v>
      </c>
      <c r="S51" s="525"/>
      <c r="T51" s="525"/>
      <c r="U51" s="525"/>
      <c r="V51" s="525"/>
      <c r="W51" s="525"/>
      <c r="X51" s="525"/>
    </row>
    <row r="52" spans="1:24">
      <c r="A52" s="692">
        <v>21.1</v>
      </c>
      <c r="B52" s="328" t="s">
        <v>601</v>
      </c>
      <c r="C52" s="521">
        <v>276039892.38999999</v>
      </c>
      <c r="D52" s="521">
        <v>0</v>
      </c>
      <c r="E52" s="467">
        <f t="shared" si="2"/>
        <v>276039892.38999999</v>
      </c>
      <c r="F52" s="466">
        <v>3622279.43</v>
      </c>
      <c r="G52" s="466"/>
      <c r="H52" s="562">
        <f t="shared" si="3"/>
        <v>3622279.43</v>
      </c>
      <c r="S52" s="525"/>
      <c r="T52" s="525"/>
      <c r="U52" s="525"/>
      <c r="V52" s="525"/>
      <c r="W52" s="525"/>
      <c r="X52" s="525"/>
    </row>
    <row r="53" spans="1:24">
      <c r="A53" s="692">
        <v>22</v>
      </c>
      <c r="B53" s="330" t="s">
        <v>602</v>
      </c>
      <c r="C53" s="521">
        <f>SUM(C38,C40,C41,C46,C47,C50,C51)</f>
        <v>13877920478.3365</v>
      </c>
      <c r="D53" s="521">
        <f>SUM(D38,D40,D41,D46,D47,D50,D51)</f>
        <v>15663096942.403198</v>
      </c>
      <c r="E53" s="467">
        <f>C53+D53</f>
        <v>29541017420.7397</v>
      </c>
      <c r="F53" s="466">
        <f>SUM(F38,F40,F41,F46,F47,F50,F51)</f>
        <v>10692432072.951805</v>
      </c>
      <c r="G53" s="466">
        <f>SUM(G38,G40,G41,G46,G47,G50,G51)</f>
        <v>12224878593.479401</v>
      </c>
      <c r="H53" s="562">
        <f>F53+G53</f>
        <v>22917310666.431206</v>
      </c>
      <c r="S53" s="525"/>
      <c r="T53" s="525"/>
      <c r="U53" s="525"/>
      <c r="V53" s="525"/>
      <c r="W53" s="525"/>
      <c r="X53" s="525"/>
    </row>
    <row r="54" spans="1:24" ht="24" customHeight="1">
      <c r="A54" s="692"/>
      <c r="B54" s="331" t="s">
        <v>603</v>
      </c>
      <c r="C54" s="720"/>
      <c r="D54" s="720"/>
      <c r="E54" s="720"/>
      <c r="F54" s="720"/>
      <c r="G54" s="720"/>
      <c r="H54" s="721"/>
      <c r="S54" s="525"/>
      <c r="T54" s="525"/>
      <c r="U54" s="525"/>
      <c r="V54" s="525"/>
      <c r="W54" s="525"/>
      <c r="X54" s="525"/>
    </row>
    <row r="55" spans="1:24">
      <c r="A55" s="692">
        <v>23</v>
      </c>
      <c r="B55" s="329" t="s">
        <v>604</v>
      </c>
      <c r="C55" s="521">
        <v>27993660.18</v>
      </c>
      <c r="D55" s="521"/>
      <c r="E55" s="467">
        <f>C55+D55</f>
        <v>27993660.18</v>
      </c>
      <c r="F55" s="466">
        <v>27993660.18</v>
      </c>
      <c r="G55" s="466"/>
      <c r="H55" s="562">
        <f>F55+G55</f>
        <v>27993660.18</v>
      </c>
      <c r="S55" s="525"/>
      <c r="T55" s="525"/>
      <c r="U55" s="525"/>
      <c r="V55" s="525"/>
      <c r="W55" s="525"/>
      <c r="X55" s="525"/>
    </row>
    <row r="56" spans="1:24">
      <c r="A56" s="692">
        <v>24</v>
      </c>
      <c r="B56" s="329" t="s">
        <v>605</v>
      </c>
      <c r="C56" s="521"/>
      <c r="D56" s="521"/>
      <c r="E56" s="467">
        <f t="shared" ref="E56:E69" si="4">C56+D56</f>
        <v>0</v>
      </c>
      <c r="F56" s="466"/>
      <c r="G56" s="466"/>
      <c r="H56" s="562">
        <f t="shared" ref="H56:H69" si="5">F56+G56</f>
        <v>0</v>
      </c>
      <c r="S56" s="525"/>
      <c r="T56" s="525"/>
      <c r="U56" s="525"/>
      <c r="V56" s="525"/>
      <c r="W56" s="525"/>
      <c r="X56" s="525"/>
    </row>
    <row r="57" spans="1:24">
      <c r="A57" s="692">
        <v>25</v>
      </c>
      <c r="B57" s="347" t="s">
        <v>606</v>
      </c>
      <c r="C57" s="521">
        <v>252311118.03999999</v>
      </c>
      <c r="D57" s="521"/>
      <c r="E57" s="467">
        <f t="shared" si="4"/>
        <v>252311118.03999999</v>
      </c>
      <c r="F57" s="564">
        <v>252311118.03999999</v>
      </c>
      <c r="G57" s="466"/>
      <c r="H57" s="562">
        <f t="shared" si="5"/>
        <v>252311118.03999999</v>
      </c>
      <c r="S57" s="525"/>
      <c r="T57" s="525"/>
      <c r="U57" s="525"/>
      <c r="V57" s="525"/>
      <c r="W57" s="525"/>
      <c r="X57" s="525"/>
    </row>
    <row r="58" spans="1:24">
      <c r="A58" s="692">
        <v>26</v>
      </c>
      <c r="B58" s="347" t="s">
        <v>607</v>
      </c>
      <c r="C58" s="521">
        <v>-11366</v>
      </c>
      <c r="D58" s="521"/>
      <c r="E58" s="467">
        <f t="shared" si="4"/>
        <v>-11366</v>
      </c>
      <c r="F58" s="466">
        <v>-10173</v>
      </c>
      <c r="G58" s="466"/>
      <c r="H58" s="562">
        <f t="shared" si="5"/>
        <v>-10173</v>
      </c>
      <c r="S58" s="525"/>
      <c r="T58" s="525"/>
      <c r="U58" s="525"/>
      <c r="V58" s="525"/>
      <c r="W58" s="525"/>
      <c r="X58" s="525"/>
    </row>
    <row r="59" spans="1:24">
      <c r="A59" s="692">
        <v>27</v>
      </c>
      <c r="B59" s="347" t="s">
        <v>608</v>
      </c>
      <c r="C59" s="521">
        <f>SUM(C60:C61)</f>
        <v>0</v>
      </c>
      <c r="D59" s="521">
        <f>SUM(D60:D61)</f>
        <v>0</v>
      </c>
      <c r="E59" s="467">
        <f t="shared" si="4"/>
        <v>0</v>
      </c>
      <c r="F59" s="466">
        <f>SUM(F60:F61)</f>
        <v>0</v>
      </c>
      <c r="G59" s="466">
        <f>SUM(G60:G61)</f>
        <v>0</v>
      </c>
      <c r="H59" s="562">
        <f t="shared" si="5"/>
        <v>0</v>
      </c>
      <c r="S59" s="525"/>
      <c r="T59" s="525"/>
      <c r="U59" s="525"/>
      <c r="V59" s="525"/>
      <c r="W59" s="525"/>
      <c r="X59" s="525"/>
    </row>
    <row r="60" spans="1:24">
      <c r="A60" s="692">
        <v>27.1</v>
      </c>
      <c r="B60" s="345" t="s">
        <v>609</v>
      </c>
      <c r="C60" s="521"/>
      <c r="D60" s="521"/>
      <c r="E60" s="467">
        <f t="shared" si="4"/>
        <v>0</v>
      </c>
      <c r="F60" s="466"/>
      <c r="G60" s="466"/>
      <c r="H60" s="562">
        <f t="shared" si="5"/>
        <v>0</v>
      </c>
      <c r="S60" s="525"/>
      <c r="T60" s="525"/>
      <c r="U60" s="525"/>
      <c r="V60" s="525"/>
      <c r="W60" s="525"/>
      <c r="X60" s="525"/>
    </row>
    <row r="61" spans="1:24">
      <c r="A61" s="692">
        <v>27.2</v>
      </c>
      <c r="B61" s="345" t="s">
        <v>610</v>
      </c>
      <c r="C61" s="521"/>
      <c r="D61" s="521"/>
      <c r="E61" s="467">
        <f t="shared" si="4"/>
        <v>0</v>
      </c>
      <c r="F61" s="466"/>
      <c r="G61" s="466"/>
      <c r="H61" s="562">
        <f t="shared" si="5"/>
        <v>0</v>
      </c>
      <c r="S61" s="525"/>
      <c r="T61" s="525"/>
      <c r="U61" s="525"/>
      <c r="V61" s="525"/>
      <c r="W61" s="525"/>
      <c r="X61" s="525"/>
    </row>
    <row r="62" spans="1:24">
      <c r="A62" s="692">
        <v>28</v>
      </c>
      <c r="B62" s="332" t="s">
        <v>611</v>
      </c>
      <c r="C62" s="521">
        <v>-135683111.66</v>
      </c>
      <c r="D62" s="521"/>
      <c r="E62" s="467">
        <f t="shared" si="4"/>
        <v>-135683111.66</v>
      </c>
      <c r="F62" s="466">
        <v>-92910421.783722937</v>
      </c>
      <c r="G62" s="466"/>
      <c r="H62" s="562">
        <f t="shared" si="5"/>
        <v>-92910421.783722937</v>
      </c>
      <c r="S62" s="525"/>
      <c r="T62" s="525"/>
      <c r="U62" s="525"/>
      <c r="V62" s="525"/>
      <c r="W62" s="525"/>
      <c r="X62" s="525"/>
    </row>
    <row r="63" spans="1:24">
      <c r="A63" s="692">
        <v>29</v>
      </c>
      <c r="B63" s="347" t="s">
        <v>612</v>
      </c>
      <c r="C63" s="521">
        <f>SUM(C64:C66)</f>
        <v>-17840140.470000003</v>
      </c>
      <c r="D63" s="521">
        <f>SUM(D64:D66)</f>
        <v>0</v>
      </c>
      <c r="E63" s="467">
        <f t="shared" si="4"/>
        <v>-17840140.470000003</v>
      </c>
      <c r="F63" s="466">
        <f>SUM(F64:F66)</f>
        <v>36382468.386899993</v>
      </c>
      <c r="G63" s="466">
        <f>SUM(G64:G66)</f>
        <v>0</v>
      </c>
      <c r="H63" s="562">
        <f t="shared" si="5"/>
        <v>36382468.386899993</v>
      </c>
      <c r="S63" s="525"/>
      <c r="T63" s="525"/>
      <c r="U63" s="525"/>
      <c r="V63" s="525"/>
      <c r="W63" s="525"/>
      <c r="X63" s="525"/>
    </row>
    <row r="64" spans="1:24">
      <c r="A64" s="692">
        <v>29.1</v>
      </c>
      <c r="B64" s="351" t="s">
        <v>613</v>
      </c>
      <c r="C64" s="521">
        <v>2358668.17</v>
      </c>
      <c r="D64" s="521"/>
      <c r="E64" s="467">
        <f t="shared" si="4"/>
        <v>2358668.17</v>
      </c>
      <c r="F64" s="466">
        <v>2358668.17</v>
      </c>
      <c r="G64" s="466"/>
      <c r="H64" s="562">
        <f t="shared" si="5"/>
        <v>2358668.17</v>
      </c>
      <c r="S64" s="525"/>
      <c r="T64" s="525"/>
      <c r="U64" s="525"/>
      <c r="V64" s="525"/>
      <c r="W64" s="525"/>
      <c r="X64" s="525"/>
    </row>
    <row r="65" spans="1:24" ht="24.9" customHeight="1">
      <c r="A65" s="692">
        <v>29.2</v>
      </c>
      <c r="B65" s="359" t="s">
        <v>614</v>
      </c>
      <c r="C65" s="521">
        <v>2062925.87</v>
      </c>
      <c r="D65" s="521"/>
      <c r="E65" s="467">
        <f t="shared" si="4"/>
        <v>2062925.87</v>
      </c>
      <c r="F65" s="466">
        <v>1129029</v>
      </c>
      <c r="G65" s="466"/>
      <c r="H65" s="562">
        <f t="shared" si="5"/>
        <v>1129029</v>
      </c>
      <c r="S65" s="525"/>
      <c r="T65" s="525"/>
      <c r="U65" s="525"/>
      <c r="V65" s="525"/>
      <c r="W65" s="525"/>
      <c r="X65" s="525"/>
    </row>
    <row r="66" spans="1:24" ht="22.5" customHeight="1">
      <c r="A66" s="692">
        <v>29.3</v>
      </c>
      <c r="B66" s="359" t="s">
        <v>615</v>
      </c>
      <c r="C66" s="521">
        <v>-22261734.510000002</v>
      </c>
      <c r="D66" s="521"/>
      <c r="E66" s="467">
        <f t="shared" si="4"/>
        <v>-22261734.510000002</v>
      </c>
      <c r="F66" s="466">
        <v>32894771.216899995</v>
      </c>
      <c r="G66" s="466"/>
      <c r="H66" s="562">
        <f t="shared" si="5"/>
        <v>32894771.216899995</v>
      </c>
      <c r="S66" s="525"/>
      <c r="T66" s="525"/>
      <c r="U66" s="525"/>
      <c r="V66" s="525"/>
      <c r="W66" s="525"/>
      <c r="X66" s="525"/>
    </row>
    <row r="67" spans="1:24">
      <c r="A67" s="692">
        <v>30</v>
      </c>
      <c r="B67" s="333" t="s">
        <v>616</v>
      </c>
      <c r="C67" s="521">
        <v>4472859020.153944</v>
      </c>
      <c r="D67" s="521"/>
      <c r="E67" s="467">
        <f t="shared" si="4"/>
        <v>4472859020.153944</v>
      </c>
      <c r="F67" s="466">
        <v>3754947152.1762114</v>
      </c>
      <c r="G67" s="466"/>
      <c r="H67" s="562">
        <f t="shared" si="5"/>
        <v>3754947152.1762114</v>
      </c>
      <c r="S67" s="525"/>
      <c r="T67" s="525"/>
      <c r="U67" s="525"/>
      <c r="V67" s="525"/>
      <c r="W67" s="525"/>
      <c r="X67" s="525"/>
    </row>
    <row r="68" spans="1:24">
      <c r="A68" s="692">
        <v>31</v>
      </c>
      <c r="B68" s="352" t="s">
        <v>617</v>
      </c>
      <c r="C68" s="521">
        <f>SUM(C55,C56,C57,C58,C59,C62,C63,C67)</f>
        <v>4599629180.2439442</v>
      </c>
      <c r="D68" s="521">
        <f>SUM(D55,D56,D57,D58,D59,D62,D63,D67)</f>
        <v>0</v>
      </c>
      <c r="E68" s="467">
        <f t="shared" si="4"/>
        <v>4599629180.2439442</v>
      </c>
      <c r="F68" s="466">
        <f>SUM(F55,F56,F57,F58,F59,F62,F63,F67)</f>
        <v>3978713803.9993882</v>
      </c>
      <c r="G68" s="466">
        <f>SUM(G55,G56,G57,G58,G59,G62,G63,G67)</f>
        <v>0</v>
      </c>
      <c r="H68" s="562">
        <f t="shared" si="5"/>
        <v>3978713803.9993882</v>
      </c>
      <c r="S68" s="525"/>
      <c r="T68" s="525"/>
      <c r="U68" s="525"/>
      <c r="V68" s="525"/>
      <c r="W68" s="525"/>
      <c r="X68" s="525"/>
    </row>
    <row r="69" spans="1:24" ht="15" thickBot="1">
      <c r="A69" s="693">
        <v>32</v>
      </c>
      <c r="B69" s="694" t="s">
        <v>618</v>
      </c>
      <c r="C69" s="524">
        <f>SUM(C53,C68)</f>
        <v>18477549658.580444</v>
      </c>
      <c r="D69" s="524">
        <f>SUM(D53,D68)</f>
        <v>15663096942.403198</v>
      </c>
      <c r="E69" s="465">
        <f t="shared" si="4"/>
        <v>34140646600.983643</v>
      </c>
      <c r="F69" s="473">
        <f>SUM(F53,F68)</f>
        <v>14671145876.951193</v>
      </c>
      <c r="G69" s="473">
        <f>SUM(G53,G68)</f>
        <v>12224878593.479401</v>
      </c>
      <c r="H69" s="565">
        <f t="shared" si="5"/>
        <v>26896024470.430595</v>
      </c>
      <c r="S69" s="525"/>
      <c r="T69" s="525"/>
      <c r="U69" s="525"/>
      <c r="V69" s="525"/>
      <c r="W69" s="525"/>
      <c r="X69" s="525"/>
    </row>
    <row r="70" spans="1:24">
      <c r="S70" s="525"/>
      <c r="T70" s="525"/>
      <c r="U70" s="525"/>
      <c r="V70" s="525"/>
      <c r="W70" s="525"/>
      <c r="X70" s="525"/>
    </row>
    <row r="71" spans="1:24">
      <c r="S71" s="525"/>
      <c r="T71" s="525"/>
      <c r="U71" s="525"/>
      <c r="V71" s="525"/>
      <c r="W71" s="525"/>
      <c r="X71" s="525"/>
    </row>
  </sheetData>
  <protectedRanges>
    <protectedRange sqref="F57" name="unlocked_Sheet6_Table0_1"/>
  </protectedRanges>
  <mergeCells count="7">
    <mergeCell ref="C54:H54"/>
    <mergeCell ref="A4:A6"/>
    <mergeCell ref="B4:B5"/>
    <mergeCell ref="C4:E4"/>
    <mergeCell ref="F4:H4"/>
    <mergeCell ref="C6:H6"/>
    <mergeCell ref="C37:H37"/>
  </mergeCells>
  <dataValidations count="1">
    <dataValidation type="decimal" operator="notEqual" allowBlank="1" showErrorMessage="1" errorTitle="Invalid Value" error="This cell must contain a number." sqref="F57" xr:uid="{00000000-0002-0000-0200-000000000000}">
      <formula1>FALSE</formula1>
      <formula2>FALSE</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
  <sheetViews>
    <sheetView zoomScaleNormal="100" workbookViewId="0"/>
  </sheetViews>
  <sheetFormatPr defaultRowHeight="14.4"/>
  <cols>
    <col min="2" max="2" width="66.5546875" customWidth="1"/>
    <col min="3" max="8" width="17.88671875" customWidth="1"/>
  </cols>
  <sheetData>
    <row r="1" spans="1:8" s="5" customFormat="1" ht="13.8">
      <c r="A1" s="2" t="s">
        <v>30</v>
      </c>
      <c r="B1" s="3" t="str">
        <f>'Info '!C2</f>
        <v xml:space="preserve">JSC "Bank of Georgia" </v>
      </c>
      <c r="C1" s="3"/>
      <c r="D1" s="4"/>
      <c r="E1" s="4"/>
      <c r="F1" s="4"/>
      <c r="G1" s="4"/>
    </row>
    <row r="2" spans="1:8" s="5" customFormat="1" ht="13.8">
      <c r="A2" s="2" t="s">
        <v>31</v>
      </c>
      <c r="B2" s="273">
        <f>'1. key ratios '!B2</f>
        <v>45473</v>
      </c>
      <c r="C2" s="6"/>
      <c r="D2" s="7"/>
      <c r="E2" s="7"/>
      <c r="F2" s="7"/>
      <c r="G2" s="7"/>
      <c r="H2" s="8"/>
    </row>
    <row r="3" spans="1:8" ht="15" thickBot="1"/>
    <row r="4" spans="1:8">
      <c r="A4" s="722" t="s">
        <v>6</v>
      </c>
      <c r="B4" s="728" t="s">
        <v>619</v>
      </c>
      <c r="C4" s="726" t="s">
        <v>556</v>
      </c>
      <c r="D4" s="726"/>
      <c r="E4" s="726"/>
      <c r="F4" s="726" t="s">
        <v>557</v>
      </c>
      <c r="G4" s="726"/>
      <c r="H4" s="727"/>
    </row>
    <row r="5" spans="1:8" ht="15.6" customHeight="1">
      <c r="A5" s="723"/>
      <c r="B5" s="729"/>
      <c r="C5" s="336" t="s">
        <v>32</v>
      </c>
      <c r="D5" s="336" t="s">
        <v>33</v>
      </c>
      <c r="E5" s="336" t="s">
        <v>34</v>
      </c>
      <c r="F5" s="336" t="s">
        <v>32</v>
      </c>
      <c r="G5" s="336" t="s">
        <v>33</v>
      </c>
      <c r="H5" s="691" t="s">
        <v>34</v>
      </c>
    </row>
    <row r="6" spans="1:8">
      <c r="A6" s="695">
        <v>1</v>
      </c>
      <c r="B6" s="474" t="s">
        <v>620</v>
      </c>
      <c r="C6" s="466">
        <f>SUM(C7:C12)</f>
        <v>1028374183.2020745</v>
      </c>
      <c r="D6" s="466">
        <f>SUM(D7:D12)</f>
        <v>513562694.56446981</v>
      </c>
      <c r="E6" s="526">
        <f>C6+D6</f>
        <v>1541936877.7665443</v>
      </c>
      <c r="F6" s="466">
        <v>884347316.58905995</v>
      </c>
      <c r="G6" s="466">
        <v>379782940.61400008</v>
      </c>
      <c r="H6" s="468">
        <f>F6+G6</f>
        <v>1264130257.2030602</v>
      </c>
    </row>
    <row r="7" spans="1:8">
      <c r="A7" s="695">
        <v>1.1000000000000001</v>
      </c>
      <c r="B7" s="359" t="s">
        <v>563</v>
      </c>
      <c r="C7" s="466"/>
      <c r="D7" s="466"/>
      <c r="E7" s="526">
        <f t="shared" ref="E7:E45" si="0">C7+D7</f>
        <v>0</v>
      </c>
      <c r="F7" s="466"/>
      <c r="G7" s="466"/>
      <c r="H7" s="468">
        <f t="shared" ref="H7:H45" si="1">F7+G7</f>
        <v>0</v>
      </c>
    </row>
    <row r="8" spans="1:8">
      <c r="A8" s="695">
        <v>1.2</v>
      </c>
      <c r="B8" s="359" t="s">
        <v>565</v>
      </c>
      <c r="C8" s="466"/>
      <c r="D8" s="466"/>
      <c r="E8" s="526">
        <f t="shared" si="0"/>
        <v>0</v>
      </c>
      <c r="F8" s="466"/>
      <c r="G8" s="466"/>
      <c r="H8" s="468">
        <f t="shared" si="1"/>
        <v>0</v>
      </c>
    </row>
    <row r="9" spans="1:8" ht="21.6" customHeight="1">
      <c r="A9" s="695">
        <v>1.3</v>
      </c>
      <c r="B9" s="359" t="s">
        <v>621</v>
      </c>
      <c r="C9" s="466"/>
      <c r="D9" s="466"/>
      <c r="E9" s="526">
        <f t="shared" si="0"/>
        <v>0</v>
      </c>
      <c r="F9" s="466">
        <v>1043635.4999999994</v>
      </c>
      <c r="G9" s="466"/>
      <c r="H9" s="468">
        <f t="shared" si="1"/>
        <v>1043635.4999999994</v>
      </c>
    </row>
    <row r="10" spans="1:8">
      <c r="A10" s="695">
        <v>1.4</v>
      </c>
      <c r="B10" s="359" t="s">
        <v>567</v>
      </c>
      <c r="C10" s="466">
        <v>126913442.19829999</v>
      </c>
      <c r="D10" s="466">
        <v>66677768.561700001</v>
      </c>
      <c r="E10" s="526">
        <f t="shared" si="0"/>
        <v>193591210.75999999</v>
      </c>
      <c r="F10" s="466">
        <v>108116363.11999999</v>
      </c>
      <c r="G10" s="466">
        <v>41615846.869999997</v>
      </c>
      <c r="H10" s="468">
        <f t="shared" si="1"/>
        <v>149732209.98999998</v>
      </c>
    </row>
    <row r="11" spans="1:8">
      <c r="A11" s="695">
        <v>1.5</v>
      </c>
      <c r="B11" s="359" t="s">
        <v>571</v>
      </c>
      <c r="C11" s="469">
        <v>901460741.00377452</v>
      </c>
      <c r="D11" s="466">
        <v>446884926.00276983</v>
      </c>
      <c r="E11" s="526">
        <f t="shared" si="0"/>
        <v>1348345667.0065444</v>
      </c>
      <c r="F11" s="469">
        <v>773555342.26698196</v>
      </c>
      <c r="G11" s="466">
        <v>338167093.74400008</v>
      </c>
      <c r="H11" s="468">
        <f t="shared" si="1"/>
        <v>1111722436.010982</v>
      </c>
    </row>
    <row r="12" spans="1:8">
      <c r="A12" s="695">
        <v>1.6</v>
      </c>
      <c r="B12" s="359" t="s">
        <v>453</v>
      </c>
      <c r="C12" s="466">
        <v>0</v>
      </c>
      <c r="D12" s="466">
        <v>0</v>
      </c>
      <c r="E12" s="526">
        <f t="shared" si="0"/>
        <v>0</v>
      </c>
      <c r="F12" s="466">
        <v>1631975.7020779699</v>
      </c>
      <c r="G12" s="466"/>
      <c r="H12" s="468">
        <f t="shared" si="1"/>
        <v>1631975.7020779699</v>
      </c>
    </row>
    <row r="13" spans="1:8">
      <c r="A13" s="695">
        <v>2</v>
      </c>
      <c r="B13" s="474" t="s">
        <v>622</v>
      </c>
      <c r="C13" s="466">
        <f>SUM(C14:C17)</f>
        <v>-518663369.2299999</v>
      </c>
      <c r="D13" s="466">
        <f>SUM(D14:D17)</f>
        <v>-166515964.9300741</v>
      </c>
      <c r="E13" s="526">
        <f t="shared" si="0"/>
        <v>-685179334.160074</v>
      </c>
      <c r="F13" s="466">
        <v>-442466968.63</v>
      </c>
      <c r="G13" s="466">
        <v>-79221137.860100001</v>
      </c>
      <c r="H13" s="468">
        <f t="shared" si="1"/>
        <v>-521688106.49010003</v>
      </c>
    </row>
    <row r="14" spans="1:8">
      <c r="A14" s="695">
        <v>2.1</v>
      </c>
      <c r="B14" s="359" t="s">
        <v>623</v>
      </c>
      <c r="C14" s="466"/>
      <c r="D14" s="466"/>
      <c r="E14" s="526">
        <f t="shared" si="0"/>
        <v>0</v>
      </c>
      <c r="F14" s="466"/>
      <c r="G14" s="466"/>
      <c r="H14" s="468">
        <f t="shared" si="1"/>
        <v>0</v>
      </c>
    </row>
    <row r="15" spans="1:8" ht="24.6" customHeight="1">
      <c r="A15" s="695">
        <v>2.2000000000000002</v>
      </c>
      <c r="B15" s="359" t="s">
        <v>624</v>
      </c>
      <c r="C15" s="466"/>
      <c r="D15" s="466"/>
      <c r="E15" s="526">
        <f t="shared" si="0"/>
        <v>0</v>
      </c>
      <c r="F15" s="466"/>
      <c r="G15" s="466"/>
      <c r="H15" s="468">
        <f t="shared" si="1"/>
        <v>0</v>
      </c>
    </row>
    <row r="16" spans="1:8" ht="20.399999999999999" customHeight="1">
      <c r="A16" s="695">
        <v>2.2999999999999998</v>
      </c>
      <c r="B16" s="359" t="s">
        <v>625</v>
      </c>
      <c r="C16" s="466">
        <v>-518464647.02999991</v>
      </c>
      <c r="D16" s="466">
        <v>-170542669.42007411</v>
      </c>
      <c r="E16" s="526">
        <f t="shared" si="0"/>
        <v>-689007316.45007396</v>
      </c>
      <c r="F16" s="466">
        <v>-440173667.12</v>
      </c>
      <c r="G16" s="466">
        <v>-93750828.8301</v>
      </c>
      <c r="H16" s="468">
        <f t="shared" si="1"/>
        <v>-533924495.9501</v>
      </c>
    </row>
    <row r="17" spans="1:8">
      <c r="A17" s="695">
        <v>2.4</v>
      </c>
      <c r="B17" s="359" t="s">
        <v>626</v>
      </c>
      <c r="C17" s="466">
        <v>-198722.2</v>
      </c>
      <c r="D17" s="466">
        <v>4026704.49</v>
      </c>
      <c r="E17" s="526">
        <f t="shared" si="0"/>
        <v>3827982.29</v>
      </c>
      <c r="F17" s="466">
        <v>-2293301.5099999998</v>
      </c>
      <c r="G17" s="466">
        <v>14529690.970000001</v>
      </c>
      <c r="H17" s="468">
        <f t="shared" si="1"/>
        <v>12236389.460000001</v>
      </c>
    </row>
    <row r="18" spans="1:8">
      <c r="A18" s="695">
        <v>3</v>
      </c>
      <c r="B18" s="474" t="s">
        <v>627</v>
      </c>
      <c r="C18" s="466">
        <v>802345.66</v>
      </c>
      <c r="D18" s="466"/>
      <c r="E18" s="526">
        <f t="shared" si="0"/>
        <v>802345.66</v>
      </c>
      <c r="F18" s="466"/>
      <c r="G18" s="466"/>
      <c r="H18" s="468">
        <f t="shared" si="1"/>
        <v>0</v>
      </c>
    </row>
    <row r="19" spans="1:8">
      <c r="A19" s="695">
        <v>4</v>
      </c>
      <c r="B19" s="474" t="s">
        <v>628</v>
      </c>
      <c r="C19" s="466">
        <v>254952911.47</v>
      </c>
      <c r="D19" s="466">
        <v>94206862.758100003</v>
      </c>
      <c r="E19" s="526">
        <f t="shared" si="0"/>
        <v>349159774.2281</v>
      </c>
      <c r="F19" s="466">
        <v>206261731.39999998</v>
      </c>
      <c r="G19" s="466">
        <v>93722268.600000024</v>
      </c>
      <c r="H19" s="468">
        <f t="shared" si="1"/>
        <v>299984000</v>
      </c>
    </row>
    <row r="20" spans="1:8">
      <c r="A20" s="695">
        <v>5</v>
      </c>
      <c r="B20" s="474" t="s">
        <v>629</v>
      </c>
      <c r="C20" s="466">
        <v>-68316946.469999999</v>
      </c>
      <c r="D20" s="466">
        <v>-93691961.300000012</v>
      </c>
      <c r="E20" s="526">
        <f t="shared" si="0"/>
        <v>-162008907.77000001</v>
      </c>
      <c r="F20" s="466">
        <v>-69851566.899999991</v>
      </c>
      <c r="G20" s="466">
        <v>-90703723.309999987</v>
      </c>
      <c r="H20" s="468">
        <f t="shared" si="1"/>
        <v>-160555290.20999998</v>
      </c>
    </row>
    <row r="21" spans="1:8" ht="24" customHeight="1">
      <c r="A21" s="695">
        <v>6</v>
      </c>
      <c r="B21" s="474" t="s">
        <v>630</v>
      </c>
      <c r="C21" s="466">
        <v>0</v>
      </c>
      <c r="D21" s="466">
        <v>0</v>
      </c>
      <c r="E21" s="526">
        <f t="shared" si="0"/>
        <v>0</v>
      </c>
      <c r="F21" s="466">
        <v>0</v>
      </c>
      <c r="G21" s="466"/>
      <c r="H21" s="468">
        <f t="shared" si="1"/>
        <v>0</v>
      </c>
    </row>
    <row r="22" spans="1:8" ht="18.600000000000001" customHeight="1">
      <c r="A22" s="695">
        <v>7</v>
      </c>
      <c r="B22" s="474" t="s">
        <v>631</v>
      </c>
      <c r="C22" s="466">
        <v>314594</v>
      </c>
      <c r="D22" s="466">
        <v>0</v>
      </c>
      <c r="E22" s="526">
        <f t="shared" si="0"/>
        <v>314594</v>
      </c>
      <c r="F22" s="466"/>
      <c r="G22" s="466"/>
      <c r="H22" s="468">
        <f t="shared" si="1"/>
        <v>0</v>
      </c>
    </row>
    <row r="23" spans="1:8" ht="25.5" customHeight="1">
      <c r="A23" s="695">
        <v>8</v>
      </c>
      <c r="B23" s="475" t="s">
        <v>632</v>
      </c>
      <c r="C23" s="466">
        <v>643262.57999999996</v>
      </c>
      <c r="D23" s="466">
        <v>57283.739999999991</v>
      </c>
      <c r="E23" s="526">
        <f>C23+D23</f>
        <v>700546.32</v>
      </c>
      <c r="F23" s="466">
        <v>18196000</v>
      </c>
      <c r="G23" s="466"/>
      <c r="H23" s="468">
        <f t="shared" si="1"/>
        <v>18196000</v>
      </c>
    </row>
    <row r="24" spans="1:8" ht="34.5" customHeight="1">
      <c r="A24" s="695">
        <v>9</v>
      </c>
      <c r="B24" s="475" t="s">
        <v>633</v>
      </c>
      <c r="C24" s="466">
        <v>0</v>
      </c>
      <c r="D24" s="466"/>
      <c r="E24" s="526">
        <f t="shared" si="0"/>
        <v>0</v>
      </c>
      <c r="F24" s="466">
        <v>0</v>
      </c>
      <c r="G24" s="466"/>
      <c r="H24" s="468">
        <f t="shared" si="1"/>
        <v>0</v>
      </c>
    </row>
    <row r="25" spans="1:8">
      <c r="A25" s="695">
        <v>10</v>
      </c>
      <c r="B25" s="474" t="s">
        <v>634</v>
      </c>
      <c r="C25" s="466">
        <v>180738547.22420001</v>
      </c>
      <c r="D25" s="466">
        <v>0</v>
      </c>
      <c r="E25" s="526">
        <f t="shared" si="0"/>
        <v>180738547.22420001</v>
      </c>
      <c r="F25" s="466">
        <v>160361000</v>
      </c>
      <c r="G25" s="466">
        <v>0</v>
      </c>
      <c r="H25" s="468">
        <f t="shared" si="1"/>
        <v>160361000</v>
      </c>
    </row>
    <row r="26" spans="1:8">
      <c r="A26" s="695">
        <v>11</v>
      </c>
      <c r="B26" s="476" t="s">
        <v>635</v>
      </c>
      <c r="C26" s="466">
        <v>4545890.7300000004</v>
      </c>
      <c r="D26" s="466">
        <v>0</v>
      </c>
      <c r="E26" s="526">
        <f t="shared" si="0"/>
        <v>4545890.7300000004</v>
      </c>
      <c r="F26" s="466">
        <v>69622661.40625529</v>
      </c>
      <c r="G26" s="466"/>
      <c r="H26" s="468">
        <f t="shared" si="1"/>
        <v>69622661.40625529</v>
      </c>
    </row>
    <row r="27" spans="1:8">
      <c r="A27" s="695">
        <v>12</v>
      </c>
      <c r="B27" s="474" t="s">
        <v>636</v>
      </c>
      <c r="C27" s="466">
        <v>3153233.42</v>
      </c>
      <c r="D27" s="466">
        <v>4737822.1300000008</v>
      </c>
      <c r="E27" s="526">
        <f t="shared" si="0"/>
        <v>7891055.5500000007</v>
      </c>
      <c r="F27" s="466">
        <v>3805000</v>
      </c>
      <c r="G27" s="466"/>
      <c r="H27" s="468">
        <f t="shared" si="1"/>
        <v>3805000</v>
      </c>
    </row>
    <row r="28" spans="1:8">
      <c r="A28" s="695">
        <v>13</v>
      </c>
      <c r="B28" s="474" t="s">
        <v>637</v>
      </c>
      <c r="C28" s="466">
        <v>-2618065.8899275209</v>
      </c>
      <c r="D28" s="466">
        <v>0</v>
      </c>
      <c r="E28" s="526">
        <f t="shared" si="0"/>
        <v>-2618065.8899275209</v>
      </c>
      <c r="F28" s="466">
        <v>-41637.404399871899</v>
      </c>
      <c r="G28" s="466"/>
      <c r="H28" s="468">
        <f t="shared" si="1"/>
        <v>-41637.404399871899</v>
      </c>
    </row>
    <row r="29" spans="1:8">
      <c r="A29" s="695">
        <v>14</v>
      </c>
      <c r="B29" s="474" t="s">
        <v>638</v>
      </c>
      <c r="C29" s="466">
        <f>SUM(C30:C31)</f>
        <v>-266517967</v>
      </c>
      <c r="D29" s="466">
        <f>SUM(D30:D31)</f>
        <v>-13139417.439999998</v>
      </c>
      <c r="E29" s="526">
        <f t="shared" si="0"/>
        <v>-279657384.44</v>
      </c>
      <c r="F29" s="466">
        <v>-229551884.60000002</v>
      </c>
      <c r="G29" s="466">
        <v>0</v>
      </c>
      <c r="H29" s="468">
        <f t="shared" si="1"/>
        <v>-229551884.60000002</v>
      </c>
    </row>
    <row r="30" spans="1:8">
      <c r="A30" s="695">
        <v>14.1</v>
      </c>
      <c r="B30" s="477" t="s">
        <v>639</v>
      </c>
      <c r="C30" s="466">
        <v>-195377201.72</v>
      </c>
      <c r="D30" s="466">
        <v>0</v>
      </c>
      <c r="E30" s="526">
        <f t="shared" si="0"/>
        <v>-195377201.72</v>
      </c>
      <c r="F30" s="466">
        <v>-163282027.21000001</v>
      </c>
      <c r="G30" s="466"/>
      <c r="H30" s="468">
        <f t="shared" si="1"/>
        <v>-163282027.21000001</v>
      </c>
    </row>
    <row r="31" spans="1:8">
      <c r="A31" s="695">
        <v>14.2</v>
      </c>
      <c r="B31" s="477" t="s">
        <v>640</v>
      </c>
      <c r="C31" s="466">
        <v>-71140765.280000001</v>
      </c>
      <c r="D31" s="466">
        <v>-13139417.439999998</v>
      </c>
      <c r="E31" s="526">
        <f t="shared" si="0"/>
        <v>-84280182.719999999</v>
      </c>
      <c r="F31" s="466">
        <v>-66269857.390000001</v>
      </c>
      <c r="G31" s="466"/>
      <c r="H31" s="468">
        <f t="shared" si="1"/>
        <v>-66269857.390000001</v>
      </c>
    </row>
    <row r="32" spans="1:8">
      <c r="A32" s="695">
        <v>15</v>
      </c>
      <c r="B32" s="474" t="s">
        <v>641</v>
      </c>
      <c r="C32" s="466">
        <v>-52380761.369999997</v>
      </c>
      <c r="D32" s="466">
        <v>0</v>
      </c>
      <c r="E32" s="526">
        <f t="shared" si="0"/>
        <v>-52380761.369999997</v>
      </c>
      <c r="F32" s="466">
        <v>-47650476.130000003</v>
      </c>
      <c r="G32" s="466"/>
      <c r="H32" s="468">
        <f t="shared" si="1"/>
        <v>-47650476.130000003</v>
      </c>
    </row>
    <row r="33" spans="1:8" ht="22.5" customHeight="1">
      <c r="A33" s="695">
        <v>16</v>
      </c>
      <c r="B33" s="333" t="s">
        <v>642</v>
      </c>
      <c r="C33" s="466">
        <v>-3215793.27</v>
      </c>
      <c r="D33" s="466">
        <v>-1146029.8999999999</v>
      </c>
      <c r="E33" s="526">
        <f t="shared" si="0"/>
        <v>-4361823.17</v>
      </c>
      <c r="F33" s="466">
        <v>-11079160.449999999</v>
      </c>
      <c r="G33" s="466">
        <v>651584.39</v>
      </c>
      <c r="H33" s="468">
        <f t="shared" si="1"/>
        <v>-10427576.059999999</v>
      </c>
    </row>
    <row r="34" spans="1:8">
      <c r="A34" s="695">
        <v>17</v>
      </c>
      <c r="B34" s="474" t="s">
        <v>643</v>
      </c>
      <c r="C34" s="466">
        <f>SUM(C35:C36)</f>
        <v>-358680.1</v>
      </c>
      <c r="D34" s="466">
        <f>SUM(D35:D36)</f>
        <v>-486295.03820000007</v>
      </c>
      <c r="E34" s="526">
        <f>C34+D34</f>
        <v>-844975.13820000004</v>
      </c>
      <c r="F34" s="466">
        <v>-981934.85899999994</v>
      </c>
      <c r="G34" s="466">
        <v>0</v>
      </c>
      <c r="H34" s="468">
        <f t="shared" si="1"/>
        <v>-981934.85899999994</v>
      </c>
    </row>
    <row r="35" spans="1:8">
      <c r="A35" s="695">
        <v>17.100000000000001</v>
      </c>
      <c r="B35" s="477" t="s">
        <v>644</v>
      </c>
      <c r="C35" s="466">
        <v>-14629.130000000005</v>
      </c>
      <c r="D35" s="466">
        <v>-378285.63820000004</v>
      </c>
      <c r="E35" s="526">
        <f t="shared" si="0"/>
        <v>-392914.76820000005</v>
      </c>
      <c r="F35" s="466">
        <v>-683660.69900000002</v>
      </c>
      <c r="G35" s="466"/>
      <c r="H35" s="468">
        <f t="shared" si="1"/>
        <v>-683660.69900000002</v>
      </c>
    </row>
    <row r="36" spans="1:8">
      <c r="A36" s="695">
        <v>17.2</v>
      </c>
      <c r="B36" s="477" t="s">
        <v>645</v>
      </c>
      <c r="C36" s="466">
        <v>-344050.97</v>
      </c>
      <c r="D36" s="466">
        <v>-108009.4</v>
      </c>
      <c r="E36" s="526">
        <f t="shared" si="0"/>
        <v>-452060.37</v>
      </c>
      <c r="F36" s="466">
        <v>-298274.15999999997</v>
      </c>
      <c r="G36" s="466"/>
      <c r="H36" s="468">
        <f t="shared" si="1"/>
        <v>-298274.15999999997</v>
      </c>
    </row>
    <row r="37" spans="1:8" ht="41.4" customHeight="1">
      <c r="A37" s="695">
        <v>18</v>
      </c>
      <c r="B37" s="478" t="s">
        <v>646</v>
      </c>
      <c r="C37" s="466">
        <f>SUM(C38:C39)</f>
        <v>-28378808.978213482</v>
      </c>
      <c r="D37" s="466">
        <f>SUM(D38:D39)</f>
        <v>-15543066.677086525</v>
      </c>
      <c r="E37" s="526">
        <f t="shared" si="0"/>
        <v>-43921875.655300006</v>
      </c>
      <c r="F37" s="466">
        <v>-73773156.162228853</v>
      </c>
      <c r="G37" s="466">
        <v>0</v>
      </c>
      <c r="H37" s="468">
        <f t="shared" si="1"/>
        <v>-73773156.162228853</v>
      </c>
    </row>
    <row r="38" spans="1:8">
      <c r="A38" s="695">
        <v>18.100000000000001</v>
      </c>
      <c r="B38" s="479" t="s">
        <v>647</v>
      </c>
      <c r="C38" s="466">
        <v>-1595764.7366999998</v>
      </c>
      <c r="D38" s="466">
        <v>-113282.64000000013</v>
      </c>
      <c r="E38" s="526">
        <f t="shared" si="0"/>
        <v>-1709047.3766999999</v>
      </c>
      <c r="F38" s="466">
        <v>1868025.5100000002</v>
      </c>
      <c r="G38" s="466"/>
      <c r="H38" s="468">
        <f t="shared" si="1"/>
        <v>1868025.5100000002</v>
      </c>
    </row>
    <row r="39" spans="1:8">
      <c r="A39" s="695">
        <v>18.2</v>
      </c>
      <c r="B39" s="479" t="s">
        <v>648</v>
      </c>
      <c r="C39" s="466">
        <v>-26783044.241513483</v>
      </c>
      <c r="D39" s="466">
        <v>-15429784.037086524</v>
      </c>
      <c r="E39" s="526">
        <f t="shared" si="0"/>
        <v>-42212828.278600007</v>
      </c>
      <c r="F39" s="466">
        <v>-75641181.672228858</v>
      </c>
      <c r="G39" s="466"/>
      <c r="H39" s="468">
        <f t="shared" si="1"/>
        <v>-75641181.672228858</v>
      </c>
    </row>
    <row r="40" spans="1:8" ht="24.6" customHeight="1">
      <c r="A40" s="695">
        <v>19</v>
      </c>
      <c r="B40" s="478" t="s">
        <v>649</v>
      </c>
      <c r="C40" s="466">
        <v>-459068.32</v>
      </c>
      <c r="D40" s="466">
        <v>0</v>
      </c>
      <c r="E40" s="526">
        <f t="shared" si="0"/>
        <v>-459068.32</v>
      </c>
      <c r="F40" s="466"/>
      <c r="G40" s="466"/>
      <c r="H40" s="468">
        <f t="shared" si="1"/>
        <v>0</v>
      </c>
    </row>
    <row r="41" spans="1:8" ht="17.399999999999999" customHeight="1">
      <c r="A41" s="695">
        <v>20</v>
      </c>
      <c r="B41" s="478" t="s">
        <v>650</v>
      </c>
      <c r="C41" s="466">
        <v>-3538715.7250589998</v>
      </c>
      <c r="D41" s="466">
        <v>-87798.790000000037</v>
      </c>
      <c r="E41" s="526">
        <f t="shared" si="0"/>
        <v>-3626514.5150589999</v>
      </c>
      <c r="F41" s="466">
        <v>-6204135.4063438391</v>
      </c>
      <c r="G41" s="466"/>
      <c r="H41" s="468">
        <f t="shared" si="1"/>
        <v>-6204135.4063438391</v>
      </c>
    </row>
    <row r="42" spans="1:8" ht="26.4" customHeight="1">
      <c r="A42" s="695">
        <v>21</v>
      </c>
      <c r="B42" s="478" t="s">
        <v>651</v>
      </c>
      <c r="C42" s="466">
        <v>0</v>
      </c>
      <c r="D42" s="466"/>
      <c r="E42" s="526">
        <f t="shared" si="0"/>
        <v>0</v>
      </c>
      <c r="F42" s="466"/>
      <c r="G42" s="466"/>
      <c r="H42" s="468">
        <f t="shared" si="1"/>
        <v>0</v>
      </c>
    </row>
    <row r="43" spans="1:8">
      <c r="A43" s="695">
        <v>22</v>
      </c>
      <c r="B43" s="330" t="s">
        <v>652</v>
      </c>
      <c r="C43" s="466">
        <f>SUM(C6,C13,C18,C19,C20,C21,C22,C23,C24,C25,C26,C27,C28,C29,C32,C33,C34,C37,C40,C41,C42)</f>
        <v>529076791.93307465</v>
      </c>
      <c r="D43" s="466">
        <f>SUM(D6,D13,D18,D19,D20,D21,D22,D23,D24,D25,D26,D27,D28,D29,D32,D33,D34,D37,D40,D41,D42)</f>
        <v>321954129.1172092</v>
      </c>
      <c r="E43" s="526">
        <f>C43+D43</f>
        <v>851030921.05028391</v>
      </c>
      <c r="F43" s="466">
        <v>460992788.85334253</v>
      </c>
      <c r="G43" s="466">
        <v>304231932.43390006</v>
      </c>
      <c r="H43" s="468">
        <f t="shared" si="1"/>
        <v>765224721.28724265</v>
      </c>
    </row>
    <row r="44" spans="1:8">
      <c r="A44" s="695">
        <v>23</v>
      </c>
      <c r="B44" s="330" t="s">
        <v>653</v>
      </c>
      <c r="C44" s="466">
        <v>129879178.64999999</v>
      </c>
      <c r="D44" s="466"/>
      <c r="E44" s="526">
        <f t="shared" si="0"/>
        <v>129879178.64999999</v>
      </c>
      <c r="F44" s="466">
        <v>114143931.19222438</v>
      </c>
      <c r="G44" s="466"/>
      <c r="H44" s="468">
        <f t="shared" si="1"/>
        <v>114143931.19222438</v>
      </c>
    </row>
    <row r="45" spans="1:8" ht="15" thickBot="1">
      <c r="A45" s="696">
        <v>24</v>
      </c>
      <c r="B45" s="697" t="s">
        <v>654</v>
      </c>
      <c r="C45" s="473">
        <f>C43-C44</f>
        <v>399197613.28307468</v>
      </c>
      <c r="D45" s="473">
        <f>D43-D44</f>
        <v>321954129.1172092</v>
      </c>
      <c r="E45" s="527">
        <f t="shared" si="0"/>
        <v>721151742.40028381</v>
      </c>
      <c r="F45" s="473">
        <v>346848857.66111815</v>
      </c>
      <c r="G45" s="473">
        <v>304231932.43390006</v>
      </c>
      <c r="H45" s="528">
        <f t="shared" si="1"/>
        <v>651080790.09501815</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7"/>
  <sheetViews>
    <sheetView zoomScaleNormal="100" workbookViewId="0"/>
  </sheetViews>
  <sheetFormatPr defaultRowHeight="14.4"/>
  <cols>
    <col min="1" max="1" width="8.6640625" style="334"/>
    <col min="2" max="2" width="87.5546875" bestFit="1" customWidth="1"/>
    <col min="3" max="8" width="15.44140625" customWidth="1"/>
  </cols>
  <sheetData>
    <row r="1" spans="1:8" s="5" customFormat="1" ht="13.8">
      <c r="A1" s="2" t="s">
        <v>30</v>
      </c>
      <c r="B1" s="3" t="str">
        <f>'Info '!C2</f>
        <v xml:space="preserve">JSC "Bank of Georgia" </v>
      </c>
      <c r="C1" s="3"/>
      <c r="D1" s="4"/>
      <c r="E1" s="4"/>
      <c r="F1" s="4"/>
      <c r="G1" s="4"/>
    </row>
    <row r="2" spans="1:8" s="5" customFormat="1" ht="13.8">
      <c r="A2" s="2" t="s">
        <v>31</v>
      </c>
      <c r="B2" s="273">
        <f>'1. key ratios '!B2</f>
        <v>45473</v>
      </c>
      <c r="C2" s="6"/>
      <c r="D2" s="7"/>
      <c r="E2" s="7"/>
      <c r="F2" s="7"/>
      <c r="G2" s="7"/>
      <c r="H2" s="8"/>
    </row>
    <row r="3" spans="1:8" ht="15" thickBot="1">
      <c r="A3"/>
    </row>
    <row r="4" spans="1:8">
      <c r="A4" s="722" t="s">
        <v>6</v>
      </c>
      <c r="B4" s="730" t="s">
        <v>94</v>
      </c>
      <c r="C4" s="726" t="s">
        <v>556</v>
      </c>
      <c r="D4" s="726"/>
      <c r="E4" s="726"/>
      <c r="F4" s="726" t="s">
        <v>557</v>
      </c>
      <c r="G4" s="726"/>
      <c r="H4" s="727"/>
    </row>
    <row r="5" spans="1:8">
      <c r="A5" s="723"/>
      <c r="B5" s="731"/>
      <c r="C5" s="336" t="s">
        <v>32</v>
      </c>
      <c r="D5" s="336" t="s">
        <v>33</v>
      </c>
      <c r="E5" s="336" t="s">
        <v>34</v>
      </c>
      <c r="F5" s="336" t="s">
        <v>32</v>
      </c>
      <c r="G5" s="336" t="s">
        <v>33</v>
      </c>
      <c r="H5" s="691" t="s">
        <v>34</v>
      </c>
    </row>
    <row r="6" spans="1:8">
      <c r="A6" s="692">
        <v>1</v>
      </c>
      <c r="B6" s="698" t="s">
        <v>655</v>
      </c>
      <c r="C6" s="337"/>
      <c r="D6" s="337">
        <v>75205000</v>
      </c>
      <c r="E6" s="338">
        <f t="shared" ref="E6:E43" si="0">C6+D6</f>
        <v>75205000</v>
      </c>
      <c r="F6" s="337"/>
      <c r="G6" s="337"/>
      <c r="H6" s="566">
        <f t="shared" ref="H6:H43" si="1">F6+G6</f>
        <v>0</v>
      </c>
    </row>
    <row r="7" spans="1:8">
      <c r="A7" s="692">
        <v>2</v>
      </c>
      <c r="B7" s="698" t="s">
        <v>196</v>
      </c>
      <c r="C7" s="337"/>
      <c r="D7" s="337"/>
      <c r="E7" s="338">
        <f t="shared" si="0"/>
        <v>0</v>
      </c>
      <c r="F7" s="337"/>
      <c r="G7" s="337"/>
      <c r="H7" s="566">
        <f t="shared" si="1"/>
        <v>0</v>
      </c>
    </row>
    <row r="8" spans="1:8">
      <c r="A8" s="692">
        <v>3</v>
      </c>
      <c r="B8" s="698" t="s">
        <v>206</v>
      </c>
      <c r="C8" s="337">
        <f>C9+C10</f>
        <v>750223758.72000003</v>
      </c>
      <c r="D8" s="337">
        <f>D9+D10</f>
        <v>578216504.33290005</v>
      </c>
      <c r="E8" s="338">
        <f t="shared" si="0"/>
        <v>1328440263.0529001</v>
      </c>
      <c r="F8" s="337">
        <f>F9+F10</f>
        <v>1008039136.52</v>
      </c>
      <c r="G8" s="337">
        <f>G9+G10</f>
        <v>580768891.05879998</v>
      </c>
      <c r="H8" s="566">
        <f t="shared" si="1"/>
        <v>1588808027.5788</v>
      </c>
    </row>
    <row r="9" spans="1:8">
      <c r="A9" s="692">
        <v>3.1</v>
      </c>
      <c r="B9" s="699" t="s">
        <v>197</v>
      </c>
      <c r="C9" s="337">
        <v>384812057.86000001</v>
      </c>
      <c r="D9" s="337">
        <v>306261296.31999999</v>
      </c>
      <c r="E9" s="338">
        <f t="shared" si="0"/>
        <v>691073354.18000007</v>
      </c>
      <c r="F9" s="337">
        <v>477192746.48000002</v>
      </c>
      <c r="G9" s="337">
        <v>244682743.81999999</v>
      </c>
      <c r="H9" s="566">
        <f t="shared" si="1"/>
        <v>721875490.29999995</v>
      </c>
    </row>
    <row r="10" spans="1:8">
      <c r="A10" s="692">
        <v>3.2</v>
      </c>
      <c r="B10" s="699" t="s">
        <v>193</v>
      </c>
      <c r="C10" s="337">
        <v>365411700.86000001</v>
      </c>
      <c r="D10" s="337">
        <v>271955208.01289999</v>
      </c>
      <c r="E10" s="338">
        <f t="shared" si="0"/>
        <v>637366908.87290001</v>
      </c>
      <c r="F10" s="337">
        <v>530846390.04000002</v>
      </c>
      <c r="G10" s="337">
        <v>336086147.23879999</v>
      </c>
      <c r="H10" s="566">
        <f t="shared" si="1"/>
        <v>866932537.27880001</v>
      </c>
    </row>
    <row r="11" spans="1:8">
      <c r="A11" s="692">
        <v>4</v>
      </c>
      <c r="B11" s="700" t="s">
        <v>195</v>
      </c>
      <c r="C11" s="337">
        <f>C12+C13</f>
        <v>2991909000</v>
      </c>
      <c r="D11" s="337">
        <f>D12+D13</f>
        <v>0</v>
      </c>
      <c r="E11" s="338">
        <f t="shared" si="0"/>
        <v>2991909000</v>
      </c>
      <c r="F11" s="337">
        <f>F12+F13</f>
        <v>1666550000</v>
      </c>
      <c r="G11" s="337">
        <f>G12+G13</f>
        <v>0</v>
      </c>
      <c r="H11" s="566">
        <f t="shared" si="1"/>
        <v>1666550000</v>
      </c>
    </row>
    <row r="12" spans="1:8">
      <c r="A12" s="692">
        <v>4.0999999999999996</v>
      </c>
      <c r="B12" s="699" t="s">
        <v>179</v>
      </c>
      <c r="C12" s="337">
        <v>2991909000</v>
      </c>
      <c r="D12" s="337"/>
      <c r="E12" s="338">
        <f t="shared" si="0"/>
        <v>2991909000</v>
      </c>
      <c r="F12" s="337">
        <v>1666550000</v>
      </c>
      <c r="G12" s="337"/>
      <c r="H12" s="566">
        <f t="shared" si="1"/>
        <v>1666550000</v>
      </c>
    </row>
    <row r="13" spans="1:8">
      <c r="A13" s="692">
        <v>4.2</v>
      </c>
      <c r="B13" s="699" t="s">
        <v>180</v>
      </c>
      <c r="C13" s="337"/>
      <c r="D13" s="337"/>
      <c r="E13" s="338">
        <f t="shared" si="0"/>
        <v>0</v>
      </c>
      <c r="F13" s="337"/>
      <c r="G13" s="337"/>
      <c r="H13" s="566">
        <f t="shared" si="1"/>
        <v>0</v>
      </c>
    </row>
    <row r="14" spans="1:8">
      <c r="A14" s="692">
        <v>5</v>
      </c>
      <c r="B14" s="700" t="s">
        <v>205</v>
      </c>
      <c r="C14" s="337">
        <f>C15+C16+C17+C23+C24+C25+C26</f>
        <v>22903748072.650002</v>
      </c>
      <c r="D14" s="337">
        <f>D15+D16+D17+D23+D24+D25+D26</f>
        <v>23903686437.529999</v>
      </c>
      <c r="E14" s="338">
        <f t="shared" si="0"/>
        <v>46807434510.18</v>
      </c>
      <c r="F14" s="337">
        <f>F15+F16+F17+F23+F24+F25+F26</f>
        <v>19358650455.279999</v>
      </c>
      <c r="G14" s="337">
        <f>G15+G16+G17+G23+G24+G25+G26</f>
        <v>23400784281.68</v>
      </c>
      <c r="H14" s="566">
        <f t="shared" si="1"/>
        <v>42759434736.959999</v>
      </c>
    </row>
    <row r="15" spans="1:8">
      <c r="A15" s="692">
        <v>5.0999999999999996</v>
      </c>
      <c r="B15" s="339" t="s">
        <v>183</v>
      </c>
      <c r="C15" s="337">
        <v>526646613.83999997</v>
      </c>
      <c r="D15" s="337">
        <v>274631973.32999998</v>
      </c>
      <c r="E15" s="338">
        <f t="shared" si="0"/>
        <v>801278587.16999996</v>
      </c>
      <c r="F15" s="337">
        <v>389373987.29000002</v>
      </c>
      <c r="G15" s="337">
        <v>180038733.78999999</v>
      </c>
      <c r="H15" s="566">
        <f t="shared" si="1"/>
        <v>569412721.08000004</v>
      </c>
    </row>
    <row r="16" spans="1:8">
      <c r="A16" s="692">
        <v>5.2</v>
      </c>
      <c r="B16" s="339" t="s">
        <v>182</v>
      </c>
      <c r="C16" s="337">
        <v>162322834.02000001</v>
      </c>
      <c r="D16" s="337">
        <v>126191.81</v>
      </c>
      <c r="E16" s="338">
        <f t="shared" si="0"/>
        <v>162449025.83000001</v>
      </c>
      <c r="F16" s="337">
        <v>180262590.81999999</v>
      </c>
      <c r="G16" s="337">
        <v>160809.35</v>
      </c>
      <c r="H16" s="566">
        <f t="shared" si="1"/>
        <v>180423400.16999999</v>
      </c>
    </row>
    <row r="17" spans="1:8">
      <c r="A17" s="692">
        <v>5.3</v>
      </c>
      <c r="B17" s="339" t="s">
        <v>181</v>
      </c>
      <c r="C17" s="337">
        <f>SUM(C18:C22)</f>
        <v>19740657467.540001</v>
      </c>
      <c r="D17" s="337">
        <f>SUM(D18:D22)</f>
        <v>19189441502.84</v>
      </c>
      <c r="E17" s="338">
        <f>C17+D17</f>
        <v>38930098970.380005</v>
      </c>
      <c r="F17" s="337">
        <f>SUM(F18:F26)</f>
        <v>16174581278.66</v>
      </c>
      <c r="G17" s="337">
        <f>SUM(G18:G26)</f>
        <v>18615177696.110001</v>
      </c>
      <c r="H17" s="566">
        <f>F17+G17</f>
        <v>34789758974.770004</v>
      </c>
    </row>
    <row r="18" spans="1:8">
      <c r="A18" s="692" t="s">
        <v>15</v>
      </c>
      <c r="B18" s="340" t="s">
        <v>36</v>
      </c>
      <c r="C18" s="337">
        <v>13923513366.139999</v>
      </c>
      <c r="D18" s="337">
        <v>6403225451.4399996</v>
      </c>
      <c r="E18" s="338">
        <f t="shared" si="0"/>
        <v>20326738817.579998</v>
      </c>
      <c r="F18" s="337">
        <v>9558760332.9200001</v>
      </c>
      <c r="G18" s="337">
        <v>5373134266.6599998</v>
      </c>
      <c r="H18" s="566">
        <f t="shared" si="1"/>
        <v>14931894599.58</v>
      </c>
    </row>
    <row r="19" spans="1:8">
      <c r="A19" s="692" t="s">
        <v>16</v>
      </c>
      <c r="B19" s="340" t="s">
        <v>37</v>
      </c>
      <c r="C19" s="337">
        <v>4156850849.3800001</v>
      </c>
      <c r="D19" s="337">
        <v>10522574543.99</v>
      </c>
      <c r="E19" s="338">
        <f t="shared" si="0"/>
        <v>14679425393.369999</v>
      </c>
      <c r="F19" s="337">
        <v>2640024510.4200001</v>
      </c>
      <c r="G19" s="337">
        <v>7100426717.9700003</v>
      </c>
      <c r="H19" s="566">
        <f t="shared" si="1"/>
        <v>9740451228.3899994</v>
      </c>
    </row>
    <row r="20" spans="1:8">
      <c r="A20" s="692" t="s">
        <v>17</v>
      </c>
      <c r="B20" s="340" t="s">
        <v>38</v>
      </c>
      <c r="C20" s="337">
        <v>0</v>
      </c>
      <c r="D20" s="337">
        <v>0</v>
      </c>
      <c r="E20" s="338">
        <f t="shared" si="0"/>
        <v>0</v>
      </c>
      <c r="F20" s="337">
        <v>0</v>
      </c>
      <c r="G20" s="337">
        <v>0</v>
      </c>
      <c r="H20" s="566">
        <f t="shared" si="1"/>
        <v>0</v>
      </c>
    </row>
    <row r="21" spans="1:8">
      <c r="A21" s="692" t="s">
        <v>18</v>
      </c>
      <c r="B21" s="340" t="s">
        <v>39</v>
      </c>
      <c r="C21" s="337">
        <v>1660293252.02</v>
      </c>
      <c r="D21" s="337">
        <v>2263641507.4099998</v>
      </c>
      <c r="E21" s="338">
        <f t="shared" si="0"/>
        <v>3923934759.4299998</v>
      </c>
      <c r="F21" s="337">
        <v>1361363836.8099999</v>
      </c>
      <c r="G21" s="337">
        <v>1536209669.05</v>
      </c>
      <c r="H21" s="566">
        <f t="shared" si="1"/>
        <v>2897573505.8599997</v>
      </c>
    </row>
    <row r="22" spans="1:8">
      <c r="A22" s="692" t="s">
        <v>19</v>
      </c>
      <c r="B22" s="340" t="s">
        <v>40</v>
      </c>
      <c r="C22" s="337">
        <v>0</v>
      </c>
      <c r="D22" s="337">
        <v>0</v>
      </c>
      <c r="E22" s="338">
        <f t="shared" si="0"/>
        <v>0</v>
      </c>
      <c r="F22" s="337">
        <v>0</v>
      </c>
      <c r="G22" s="337">
        <v>0</v>
      </c>
      <c r="H22" s="566">
        <f t="shared" si="1"/>
        <v>0</v>
      </c>
    </row>
    <row r="23" spans="1:8">
      <c r="A23" s="692">
        <v>5.4</v>
      </c>
      <c r="B23" s="339" t="s">
        <v>184</v>
      </c>
      <c r="C23" s="337">
        <v>221430294.22999999</v>
      </c>
      <c r="D23" s="337">
        <v>201333143.21000001</v>
      </c>
      <c r="E23" s="338">
        <f t="shared" si="0"/>
        <v>422763437.44</v>
      </c>
      <c r="F23" s="337">
        <v>186612910.38</v>
      </c>
      <c r="G23" s="337">
        <v>195932694.94</v>
      </c>
      <c r="H23" s="566">
        <f t="shared" si="1"/>
        <v>382545605.31999999</v>
      </c>
    </row>
    <row r="24" spans="1:8">
      <c r="A24" s="692">
        <v>5.5</v>
      </c>
      <c r="B24" s="339" t="s">
        <v>185</v>
      </c>
      <c r="C24" s="337">
        <v>0</v>
      </c>
      <c r="D24" s="337">
        <v>0</v>
      </c>
      <c r="E24" s="338">
        <f t="shared" si="0"/>
        <v>0</v>
      </c>
      <c r="F24" s="337">
        <v>0</v>
      </c>
      <c r="G24" s="337">
        <v>0</v>
      </c>
      <c r="H24" s="566">
        <f t="shared" si="1"/>
        <v>0</v>
      </c>
    </row>
    <row r="25" spans="1:8">
      <c r="A25" s="692">
        <v>5.6</v>
      </c>
      <c r="B25" s="339" t="s">
        <v>186</v>
      </c>
      <c r="C25" s="337">
        <v>218751125.38</v>
      </c>
      <c r="D25" s="337">
        <v>1210403634.1400001</v>
      </c>
      <c r="E25" s="338">
        <f t="shared" si="0"/>
        <v>1429154759.52</v>
      </c>
      <c r="F25" s="337">
        <v>241491596.84999999</v>
      </c>
      <c r="G25" s="337">
        <v>1174639050.49</v>
      </c>
      <c r="H25" s="566">
        <f t="shared" si="1"/>
        <v>1416130647.3399999</v>
      </c>
    </row>
    <row r="26" spans="1:8">
      <c r="A26" s="692">
        <v>5.7</v>
      </c>
      <c r="B26" s="339" t="s">
        <v>40</v>
      </c>
      <c r="C26" s="337">
        <v>2033939737.6400001</v>
      </c>
      <c r="D26" s="337">
        <v>3027749992.1999998</v>
      </c>
      <c r="E26" s="338">
        <f t="shared" si="0"/>
        <v>5061689729.8400002</v>
      </c>
      <c r="F26" s="337">
        <v>2186328091.2800002</v>
      </c>
      <c r="G26" s="337">
        <v>3234835297</v>
      </c>
      <c r="H26" s="566">
        <f t="shared" si="1"/>
        <v>5421163388.2800007</v>
      </c>
    </row>
    <row r="27" spans="1:8">
      <c r="A27" s="692">
        <v>6</v>
      </c>
      <c r="B27" s="341" t="s">
        <v>656</v>
      </c>
      <c r="C27" s="337">
        <v>534835921.25999999</v>
      </c>
      <c r="D27" s="337">
        <v>391326513.78859997</v>
      </c>
      <c r="E27" s="338">
        <f t="shared" si="0"/>
        <v>926162435.04859996</v>
      </c>
      <c r="F27" s="337">
        <v>458513048.5</v>
      </c>
      <c r="G27" s="337">
        <v>355540819.12520003</v>
      </c>
      <c r="H27" s="566">
        <f t="shared" si="1"/>
        <v>814053867.62520003</v>
      </c>
    </row>
    <row r="28" spans="1:8">
      <c r="A28" s="692">
        <v>7</v>
      </c>
      <c r="B28" s="341" t="s">
        <v>657</v>
      </c>
      <c r="C28" s="337">
        <v>1198528312.5</v>
      </c>
      <c r="D28" s="337">
        <v>750658316.40450001</v>
      </c>
      <c r="E28" s="338">
        <f t="shared" si="0"/>
        <v>1949186628.9045</v>
      </c>
      <c r="F28" s="337">
        <v>1145717294.8099999</v>
      </c>
      <c r="G28" s="337">
        <v>632951637.50489998</v>
      </c>
      <c r="H28" s="566">
        <f t="shared" si="1"/>
        <v>1778668932.3148999</v>
      </c>
    </row>
    <row r="29" spans="1:8">
      <c r="A29" s="692">
        <v>8</v>
      </c>
      <c r="B29" s="341" t="s">
        <v>194</v>
      </c>
      <c r="C29" s="337">
        <v>0</v>
      </c>
      <c r="D29" s="337">
        <v>67428354.325100005</v>
      </c>
      <c r="E29" s="338">
        <f t="shared" si="0"/>
        <v>67428354.325100005</v>
      </c>
      <c r="F29" s="337">
        <v>0</v>
      </c>
      <c r="G29" s="567">
        <v>51877080.620199986</v>
      </c>
      <c r="H29" s="566">
        <f t="shared" si="1"/>
        <v>51877080.620199986</v>
      </c>
    </row>
    <row r="30" spans="1:8">
      <c r="A30" s="692">
        <v>9</v>
      </c>
      <c r="B30" s="342" t="s">
        <v>211</v>
      </c>
      <c r="C30" s="337">
        <f>C31+C32+C33+C34+C35+C36+C37</f>
        <v>657869412.27999997</v>
      </c>
      <c r="D30" s="337">
        <f>D31+D32+D33+D34+D35+D36+D37</f>
        <v>3815083676.8832121</v>
      </c>
      <c r="E30" s="338">
        <f t="shared" si="0"/>
        <v>4472953089.1632118</v>
      </c>
      <c r="F30" s="337">
        <f>F31+F32+F33+F34+F35+F36+F37</f>
        <v>461451921.22999984</v>
      </c>
      <c r="G30" s="337">
        <f>G31+G32+G33+G34+G35+G36+G37</f>
        <v>5185317271.0892639</v>
      </c>
      <c r="H30" s="566">
        <f t="shared" si="1"/>
        <v>5646769192.3192635</v>
      </c>
    </row>
    <row r="31" spans="1:8">
      <c r="A31" s="692">
        <v>9.1</v>
      </c>
      <c r="B31" s="701" t="s">
        <v>201</v>
      </c>
      <c r="C31" s="337">
        <v>480169016.9199999</v>
      </c>
      <c r="D31" s="337">
        <v>1755023954.0626252</v>
      </c>
      <c r="E31" s="338">
        <f t="shared" si="0"/>
        <v>2235192970.982625</v>
      </c>
      <c r="F31" s="337">
        <v>411907251.87999982</v>
      </c>
      <c r="G31" s="337">
        <v>2410126194.688746</v>
      </c>
      <c r="H31" s="566">
        <f t="shared" si="1"/>
        <v>2822033446.5687456</v>
      </c>
    </row>
    <row r="32" spans="1:8">
      <c r="A32" s="692">
        <v>9.1999999999999993</v>
      </c>
      <c r="B32" s="701" t="s">
        <v>202</v>
      </c>
      <c r="C32" s="337">
        <v>164200395.36000001</v>
      </c>
      <c r="D32" s="337">
        <v>2060059722.8205872</v>
      </c>
      <c r="E32" s="338">
        <f t="shared" si="0"/>
        <v>2224260118.1805873</v>
      </c>
      <c r="F32" s="337">
        <v>49544669.350000001</v>
      </c>
      <c r="G32" s="337">
        <v>2775191076.4005184</v>
      </c>
      <c r="H32" s="566">
        <f t="shared" si="1"/>
        <v>2824735745.7505183</v>
      </c>
    </row>
    <row r="33" spans="1:8">
      <c r="A33" s="692">
        <v>9.3000000000000007</v>
      </c>
      <c r="B33" s="701" t="s">
        <v>198</v>
      </c>
      <c r="C33" s="337">
        <v>13500000</v>
      </c>
      <c r="D33" s="337"/>
      <c r="E33" s="338">
        <f t="shared" si="0"/>
        <v>13500000</v>
      </c>
      <c r="F33" s="337"/>
      <c r="G33" s="337"/>
      <c r="H33" s="566">
        <f t="shared" si="1"/>
        <v>0</v>
      </c>
    </row>
    <row r="34" spans="1:8">
      <c r="A34" s="692">
        <v>9.4</v>
      </c>
      <c r="B34" s="701" t="s">
        <v>199</v>
      </c>
      <c r="C34" s="337"/>
      <c r="D34" s="337"/>
      <c r="E34" s="338">
        <f t="shared" si="0"/>
        <v>0</v>
      </c>
      <c r="F34" s="337"/>
      <c r="G34" s="337"/>
      <c r="H34" s="566">
        <f t="shared" si="1"/>
        <v>0</v>
      </c>
    </row>
    <row r="35" spans="1:8">
      <c r="A35" s="692">
        <v>9.5</v>
      </c>
      <c r="B35" s="701" t="s">
        <v>200</v>
      </c>
      <c r="C35" s="337"/>
      <c r="D35" s="337"/>
      <c r="E35" s="338">
        <f t="shared" si="0"/>
        <v>0</v>
      </c>
      <c r="F35" s="337"/>
      <c r="G35" s="337"/>
      <c r="H35" s="566">
        <f t="shared" si="1"/>
        <v>0</v>
      </c>
    </row>
    <row r="36" spans="1:8">
      <c r="A36" s="692">
        <v>9.6</v>
      </c>
      <c r="B36" s="701" t="s">
        <v>203</v>
      </c>
      <c r="C36" s="337"/>
      <c r="D36" s="337"/>
      <c r="E36" s="338">
        <f t="shared" si="0"/>
        <v>0</v>
      </c>
      <c r="F36" s="337"/>
      <c r="G36" s="337"/>
      <c r="H36" s="566">
        <f t="shared" si="1"/>
        <v>0</v>
      </c>
    </row>
    <row r="37" spans="1:8">
      <c r="A37" s="692">
        <v>9.6999999999999993</v>
      </c>
      <c r="B37" s="701" t="s">
        <v>204</v>
      </c>
      <c r="C37" s="337"/>
      <c r="D37" s="337"/>
      <c r="E37" s="338">
        <f t="shared" si="0"/>
        <v>0</v>
      </c>
      <c r="F37" s="337"/>
      <c r="G37" s="337"/>
      <c r="H37" s="566">
        <f t="shared" si="1"/>
        <v>0</v>
      </c>
    </row>
    <row r="38" spans="1:8">
      <c r="A38" s="692">
        <v>10</v>
      </c>
      <c r="B38" s="700" t="s">
        <v>207</v>
      </c>
      <c r="C38" s="337">
        <f>C39+C40+C41+C42</f>
        <v>339611712.56999999</v>
      </c>
      <c r="D38" s="337">
        <f>D39+D40+D41+D42</f>
        <v>91217782.410130009</v>
      </c>
      <c r="E38" s="338">
        <f t="shared" si="0"/>
        <v>430829494.98013002</v>
      </c>
      <c r="F38" s="337">
        <f>F39+F40+F41+F42</f>
        <v>375825322.93000001</v>
      </c>
      <c r="G38" s="337">
        <f>G39+G40+G41+G42</f>
        <v>84764836.51256901</v>
      </c>
      <c r="H38" s="566">
        <f t="shared" si="1"/>
        <v>460590159.44256902</v>
      </c>
    </row>
    <row r="39" spans="1:8">
      <c r="A39" s="692">
        <v>10.1</v>
      </c>
      <c r="B39" s="702" t="s">
        <v>208</v>
      </c>
      <c r="C39" s="337">
        <v>18503459.68</v>
      </c>
      <c r="D39" s="337">
        <v>3223861.24</v>
      </c>
      <c r="E39" s="338">
        <f t="shared" si="0"/>
        <v>21727320.920000002</v>
      </c>
      <c r="F39" s="337">
        <v>35310715.270000003</v>
      </c>
      <c r="G39" s="337">
        <v>1365650.59</v>
      </c>
      <c r="H39" s="566">
        <f t="shared" si="1"/>
        <v>36676365.860000007</v>
      </c>
    </row>
    <row r="40" spans="1:8">
      <c r="A40" s="692">
        <v>10.199999999999999</v>
      </c>
      <c r="B40" s="702" t="s">
        <v>209</v>
      </c>
      <c r="C40" s="337">
        <v>6392530.8700000001</v>
      </c>
      <c r="D40" s="337">
        <v>787428.54695300001</v>
      </c>
      <c r="E40" s="338">
        <f t="shared" si="0"/>
        <v>7179959.4169530002</v>
      </c>
      <c r="F40" s="337">
        <v>5205422.5</v>
      </c>
      <c r="G40" s="337">
        <v>738489.00318</v>
      </c>
      <c r="H40" s="566">
        <f t="shared" si="1"/>
        <v>5943911.50318</v>
      </c>
    </row>
    <row r="41" spans="1:8">
      <c r="A41" s="692">
        <v>10.3</v>
      </c>
      <c r="B41" s="702" t="s">
        <v>212</v>
      </c>
      <c r="C41" s="337">
        <v>241287381.63</v>
      </c>
      <c r="D41" s="337">
        <v>65688517.810000002</v>
      </c>
      <c r="E41" s="338">
        <f t="shared" si="0"/>
        <v>306975899.44</v>
      </c>
      <c r="F41" s="337">
        <v>266593166.66</v>
      </c>
      <c r="G41" s="337">
        <v>62068226.930000007</v>
      </c>
      <c r="H41" s="566">
        <f t="shared" si="1"/>
        <v>328661393.59000003</v>
      </c>
    </row>
    <row r="42" spans="1:8" ht="26.4">
      <c r="A42" s="692">
        <v>10.4</v>
      </c>
      <c r="B42" s="702" t="s">
        <v>213</v>
      </c>
      <c r="C42" s="337">
        <v>73428340.390000001</v>
      </c>
      <c r="D42" s="337">
        <v>21517974.813177001</v>
      </c>
      <c r="E42" s="338">
        <f t="shared" si="0"/>
        <v>94946315.203177005</v>
      </c>
      <c r="F42" s="337">
        <v>68716018.5</v>
      </c>
      <c r="G42" s="337">
        <v>20592469.989389002</v>
      </c>
      <c r="H42" s="566">
        <f t="shared" si="1"/>
        <v>89308488.489389002</v>
      </c>
    </row>
    <row r="43" spans="1:8" ht="15" thickBot="1">
      <c r="A43" s="693">
        <v>11</v>
      </c>
      <c r="B43" s="703" t="s">
        <v>210</v>
      </c>
      <c r="C43" s="568"/>
      <c r="D43" s="568"/>
      <c r="E43" s="569">
        <f t="shared" si="0"/>
        <v>0</v>
      </c>
      <c r="F43" s="568"/>
      <c r="G43" s="568"/>
      <c r="H43" s="570">
        <f t="shared" si="1"/>
        <v>0</v>
      </c>
    </row>
    <row r="44" spans="1:8">
      <c r="C44" s="343"/>
      <c r="D44" s="343"/>
      <c r="E44" s="343"/>
      <c r="F44" s="343"/>
      <c r="G44" s="343"/>
      <c r="H44" s="343"/>
    </row>
    <row r="45" spans="1:8">
      <c r="C45" s="343"/>
      <c r="D45" s="343"/>
      <c r="E45" s="343"/>
      <c r="F45" s="343"/>
      <c r="G45" s="343"/>
      <c r="H45" s="343"/>
    </row>
    <row r="46" spans="1:8">
      <c r="C46" s="343"/>
      <c r="D46" s="343"/>
      <c r="E46" s="343"/>
      <c r="F46" s="343"/>
      <c r="G46" s="343"/>
      <c r="H46" s="343"/>
    </row>
    <row r="47" spans="1:8">
      <c r="C47" s="343"/>
      <c r="D47" s="343"/>
      <c r="E47" s="343"/>
      <c r="F47" s="343"/>
      <c r="G47" s="343"/>
      <c r="H47" s="343"/>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9"/>
  <sheetViews>
    <sheetView zoomScaleNormal="100" workbookViewId="0">
      <pane xSplit="1" ySplit="4" topLeftCell="B5" activePane="bottomRight" state="frozen"/>
      <selection pane="topRight"/>
      <selection pane="bottomLeft"/>
      <selection pane="bottomRight" activeCell="B5" sqref="B5"/>
    </sheetView>
  </sheetViews>
  <sheetFormatPr defaultColWidth="9.109375" defaultRowHeight="13.2"/>
  <cols>
    <col min="1" max="1" width="9.5546875" style="4" bestFit="1" customWidth="1"/>
    <col min="2" max="2" width="93.5546875" style="4" customWidth="1"/>
    <col min="3" max="4" width="14.109375" style="4" customWidth="1"/>
    <col min="5" max="7" width="14.109375" style="14" customWidth="1"/>
    <col min="8" max="11" width="9.6640625" style="14" customWidth="1"/>
    <col min="12" max="16384" width="9.109375" style="14"/>
  </cols>
  <sheetData>
    <row r="1" spans="1:8">
      <c r="A1" s="2" t="s">
        <v>30</v>
      </c>
      <c r="B1" s="3" t="str">
        <f>'Info '!C2</f>
        <v xml:space="preserve">JSC "Bank of Georgia" </v>
      </c>
      <c r="C1" s="3"/>
    </row>
    <row r="2" spans="1:8">
      <c r="A2" s="2" t="s">
        <v>31</v>
      </c>
      <c r="B2" s="273">
        <f>'1. key ratios '!B2</f>
        <v>45473</v>
      </c>
      <c r="C2" s="6"/>
      <c r="D2" s="7"/>
      <c r="E2" s="17"/>
      <c r="F2" s="17"/>
      <c r="G2" s="17"/>
      <c r="H2" s="17"/>
    </row>
    <row r="3" spans="1:8">
      <c r="A3" s="2"/>
      <c r="B3" s="3"/>
      <c r="C3" s="6"/>
      <c r="D3" s="7"/>
      <c r="E3" s="17"/>
      <c r="F3" s="17"/>
      <c r="G3" s="17"/>
      <c r="H3" s="17"/>
    </row>
    <row r="4" spans="1:8" ht="15" customHeight="1" thickBot="1">
      <c r="A4" s="7" t="s">
        <v>96</v>
      </c>
      <c r="B4" s="81" t="s">
        <v>187</v>
      </c>
      <c r="C4" s="18" t="s">
        <v>35</v>
      </c>
    </row>
    <row r="5" spans="1:8" ht="15" customHeight="1">
      <c r="A5" s="135" t="s">
        <v>6</v>
      </c>
      <c r="B5" s="136"/>
      <c r="C5" s="271" t="str">
        <f>INT((MONTH($B$2))/3)&amp;"Q"&amp;"-"&amp;YEAR($B$2)</f>
        <v>2Q-2024</v>
      </c>
      <c r="D5" s="271" t="str">
        <f>IF(INT(MONTH($B$2))=3, "4"&amp;"Q"&amp;"-"&amp;YEAR($B$2)-1, IF(INT(MONTH($B$2))=6, "1"&amp;"Q"&amp;"-"&amp;YEAR($B$2), IF(INT(MONTH($B$2))=9, "2"&amp;"Q"&amp;"-"&amp;YEAR($B$2),IF(INT(MONTH($B$2))=12, "3"&amp;"Q"&amp;"-"&amp;YEAR($B$2), 0))))</f>
        <v>1Q-2024</v>
      </c>
      <c r="E5" s="271" t="str">
        <f>IF(INT(MONTH($B$2))=3, "3"&amp;"Q"&amp;"-"&amp;YEAR($B$2)-1, IF(INT(MONTH($B$2))=6, "4"&amp;"Q"&amp;"-"&amp;YEAR($B$2)-1, IF(INT(MONTH($B$2))=9, "1"&amp;"Q"&amp;"-"&amp;YEAR($B$2),IF(INT(MONTH($B$2))=12, "2"&amp;"Q"&amp;"-"&amp;YEAR($B$2), 0))))</f>
        <v>4Q-2023</v>
      </c>
      <c r="F5" s="271" t="str">
        <f>IF(INT(MONTH($B$2))=3, "2"&amp;"Q"&amp;"-"&amp;YEAR($B$2)-1, IF(INT(MONTH($B$2))=6, "3"&amp;"Q"&amp;"-"&amp;YEAR($B$2)-1, IF(INT(MONTH($B$2))=9, "4"&amp;"Q"&amp;"-"&amp;YEAR($B$2)-1,IF(INT(MONTH($B$2))=12, "1"&amp;"Q"&amp;"-"&amp;YEAR($B$2), 0))))</f>
        <v>3Q-2023</v>
      </c>
      <c r="G5" s="272" t="str">
        <f>IF(INT(MONTH($B$2))=3, "1"&amp;"Q"&amp;"-"&amp;YEAR($B$2)-1, IF(INT(MONTH($B$2))=6, "2"&amp;"Q"&amp;"-"&amp;YEAR($B$2)-1, IF(INT(MONTH($B$2))=9, "3"&amp;"Q"&amp;"-"&amp;YEAR($B$2)-1,IF(INT(MONTH($B$2))=12, "4"&amp;"Q"&amp;"-"&amp;YEAR($B$2)-1, 0))))</f>
        <v>2Q-2023</v>
      </c>
    </row>
    <row r="6" spans="1:8" ht="15" customHeight="1">
      <c r="A6" s="19">
        <v>1</v>
      </c>
      <c r="B6" s="704" t="s">
        <v>191</v>
      </c>
      <c r="C6" s="571">
        <f>C7+C9+C10</f>
        <v>22426821830.40469</v>
      </c>
      <c r="D6" s="571">
        <v>20736060090</v>
      </c>
      <c r="E6" s="571">
        <v>19603125123</v>
      </c>
      <c r="F6" s="571">
        <v>18320269657</v>
      </c>
      <c r="G6" s="218">
        <v>17506854490</v>
      </c>
    </row>
    <row r="7" spans="1:8" ht="15" customHeight="1">
      <c r="A7" s="19">
        <v>1.1000000000000001</v>
      </c>
      <c r="B7" s="704" t="s">
        <v>355</v>
      </c>
      <c r="C7" s="572">
        <v>21364584005.443333</v>
      </c>
      <c r="D7" s="572">
        <v>19703346868</v>
      </c>
      <c r="E7" s="572">
        <v>18593535254</v>
      </c>
      <c r="F7" s="572">
        <v>17378289500</v>
      </c>
      <c r="G7" s="573">
        <v>16612623304</v>
      </c>
    </row>
    <row r="8" spans="1:8">
      <c r="A8" s="19" t="s">
        <v>14</v>
      </c>
      <c r="B8" s="704" t="s">
        <v>95</v>
      </c>
      <c r="C8" s="572">
        <v>389274510.64000005</v>
      </c>
      <c r="D8" s="572">
        <v>369204714</v>
      </c>
      <c r="E8" s="572">
        <v>147144735</v>
      </c>
      <c r="F8" s="572">
        <v>148740749</v>
      </c>
      <c r="G8" s="573">
        <v>148568391</v>
      </c>
    </row>
    <row r="9" spans="1:8" ht="15" customHeight="1">
      <c r="A9" s="19">
        <v>1.2</v>
      </c>
      <c r="B9" s="705" t="s">
        <v>94</v>
      </c>
      <c r="C9" s="572">
        <v>1052128836.7773751</v>
      </c>
      <c r="D9" s="572">
        <v>1022918577</v>
      </c>
      <c r="E9" s="572">
        <v>996979916</v>
      </c>
      <c r="F9" s="572">
        <v>931327318</v>
      </c>
      <c r="G9" s="573">
        <v>885032059</v>
      </c>
    </row>
    <row r="10" spans="1:8" ht="15" customHeight="1">
      <c r="A10" s="19">
        <v>1.3</v>
      </c>
      <c r="B10" s="704" t="s">
        <v>28</v>
      </c>
      <c r="C10" s="572">
        <v>10108988.183981599</v>
      </c>
      <c r="D10" s="572">
        <v>9794644</v>
      </c>
      <c r="E10" s="572">
        <v>12609953</v>
      </c>
      <c r="F10" s="572">
        <v>10652840</v>
      </c>
      <c r="G10" s="573">
        <v>9199126</v>
      </c>
    </row>
    <row r="11" spans="1:8" ht="15" customHeight="1">
      <c r="A11" s="19">
        <v>2</v>
      </c>
      <c r="B11" s="704" t="s">
        <v>188</v>
      </c>
      <c r="C11" s="572">
        <v>38315288.675940849</v>
      </c>
      <c r="D11" s="572">
        <v>19330756</v>
      </c>
      <c r="E11" s="572">
        <v>123503667</v>
      </c>
      <c r="F11" s="572">
        <v>54126011</v>
      </c>
      <c r="G11" s="573">
        <v>90265975</v>
      </c>
    </row>
    <row r="12" spans="1:8" ht="15" customHeight="1">
      <c r="A12" s="19">
        <v>3</v>
      </c>
      <c r="B12" s="704" t="s">
        <v>189</v>
      </c>
      <c r="C12" s="572">
        <v>3335276249.9999995</v>
      </c>
      <c r="D12" s="572">
        <v>3335276250</v>
      </c>
      <c r="E12" s="572">
        <v>3335276250</v>
      </c>
      <c r="F12" s="572">
        <v>2507003750</v>
      </c>
      <c r="G12" s="573">
        <v>2507003750</v>
      </c>
    </row>
    <row r="13" spans="1:8" ht="15" customHeight="1" thickBot="1">
      <c r="A13" s="21">
        <v>4</v>
      </c>
      <c r="B13" s="22" t="s">
        <v>190</v>
      </c>
      <c r="C13" s="219">
        <f>C6+C11+C12</f>
        <v>25800413369.080631</v>
      </c>
      <c r="D13" s="219">
        <v>24090667096</v>
      </c>
      <c r="E13" s="219">
        <v>23061905040</v>
      </c>
      <c r="F13" s="219">
        <v>20881399418</v>
      </c>
      <c r="G13" s="220">
        <v>20104124214</v>
      </c>
    </row>
    <row r="14" spans="1:8">
      <c r="B14" s="25"/>
    </row>
    <row r="15" spans="1:8" ht="26.4">
      <c r="B15" s="26" t="s">
        <v>356</v>
      </c>
    </row>
    <row r="16" spans="1:8">
      <c r="B16" s="26"/>
    </row>
    <row r="17" s="14" customFormat="1" ht="10.199999999999999"/>
    <row r="18" s="14" customFormat="1" ht="10.199999999999999"/>
    <row r="19" s="14" customFormat="1" ht="10.199999999999999"/>
    <row r="20" s="14" customFormat="1" ht="10.199999999999999"/>
    <row r="21" s="14" customFormat="1" ht="10.199999999999999"/>
    <row r="22" s="14" customFormat="1" ht="10.199999999999999"/>
    <row r="23" s="14" customFormat="1" ht="10.199999999999999"/>
    <row r="24" s="14" customFormat="1" ht="10.199999999999999"/>
    <row r="25" s="14" customFormat="1" ht="10.199999999999999"/>
    <row r="26" s="14" customFormat="1" ht="10.199999999999999"/>
    <row r="27" s="14" customFormat="1" ht="10.199999999999999"/>
    <row r="28" s="14" customFormat="1" ht="10.199999999999999"/>
    <row r="29" s="14" customFormat="1" ht="10.199999999999999"/>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4"/>
  <sheetViews>
    <sheetView zoomScaleNormal="100" workbookViewId="0">
      <pane xSplit="1" ySplit="4" topLeftCell="B5" activePane="bottomRight" state="frozen"/>
      <selection pane="topRight"/>
      <selection pane="bottomLeft"/>
      <selection pane="bottomRight" activeCell="B5" sqref="B5"/>
    </sheetView>
  </sheetViews>
  <sheetFormatPr defaultColWidth="9.109375" defaultRowHeight="13.8"/>
  <cols>
    <col min="1" max="1" width="9.5546875" style="4" bestFit="1" customWidth="1"/>
    <col min="2" max="2" width="65.5546875" style="4" customWidth="1"/>
    <col min="3" max="3" width="82.44140625" style="4" customWidth="1"/>
    <col min="4" max="16384" width="9.109375" style="5"/>
  </cols>
  <sheetData>
    <row r="1" spans="1:8">
      <c r="A1" s="2" t="s">
        <v>30</v>
      </c>
      <c r="B1" s="3" t="str">
        <f>'Info '!C2</f>
        <v xml:space="preserve">JSC "Bank of Georgia" </v>
      </c>
    </row>
    <row r="2" spans="1:8">
      <c r="A2" s="2" t="s">
        <v>31</v>
      </c>
      <c r="B2" s="273">
        <f>'1. key ratios '!B2</f>
        <v>45473</v>
      </c>
    </row>
    <row r="4" spans="1:8" ht="27.9" customHeight="1" thickBot="1">
      <c r="A4" s="27" t="s">
        <v>41</v>
      </c>
      <c r="B4" s="28" t="s">
        <v>163</v>
      </c>
      <c r="C4" s="29"/>
    </row>
    <row r="5" spans="1:8">
      <c r="A5" s="30"/>
      <c r="B5" s="269" t="s">
        <v>42</v>
      </c>
      <c r="C5" s="270" t="s">
        <v>369</v>
      </c>
    </row>
    <row r="6" spans="1:8">
      <c r="A6" s="31">
        <v>1</v>
      </c>
      <c r="B6" s="707" t="s">
        <v>713</v>
      </c>
      <c r="C6" s="708" t="s">
        <v>716</v>
      </c>
    </row>
    <row r="7" spans="1:8">
      <c r="A7" s="31">
        <v>2</v>
      </c>
      <c r="B7" s="707" t="s">
        <v>717</v>
      </c>
      <c r="C7" s="708" t="s">
        <v>718</v>
      </c>
    </row>
    <row r="8" spans="1:8">
      <c r="A8" s="31">
        <v>3</v>
      </c>
      <c r="B8" s="707" t="s">
        <v>719</v>
      </c>
      <c r="C8" s="708" t="s">
        <v>718</v>
      </c>
    </row>
    <row r="9" spans="1:8">
      <c r="A9" s="31">
        <v>4</v>
      </c>
      <c r="B9" s="707" t="s">
        <v>720</v>
      </c>
      <c r="C9" s="708" t="s">
        <v>721</v>
      </c>
    </row>
    <row r="10" spans="1:8">
      <c r="A10" s="31">
        <v>5</v>
      </c>
      <c r="B10" s="707" t="s">
        <v>722</v>
      </c>
      <c r="C10" s="708" t="s">
        <v>721</v>
      </c>
    </row>
    <row r="11" spans="1:8">
      <c r="A11" s="31">
        <v>6</v>
      </c>
      <c r="B11" s="707" t="s">
        <v>723</v>
      </c>
      <c r="C11" s="708" t="s">
        <v>721</v>
      </c>
    </row>
    <row r="12" spans="1:8">
      <c r="A12" s="31">
        <v>7</v>
      </c>
      <c r="B12" s="707" t="s">
        <v>724</v>
      </c>
      <c r="C12" s="708" t="s">
        <v>721</v>
      </c>
      <c r="H12" s="32"/>
    </row>
    <row r="13" spans="1:8">
      <c r="A13" s="31"/>
      <c r="B13" s="707"/>
      <c r="C13" s="708"/>
    </row>
    <row r="14" spans="1:8">
      <c r="A14" s="31"/>
      <c r="B14" s="707"/>
      <c r="C14" s="708"/>
    </row>
    <row r="15" spans="1:8">
      <c r="A15" s="31"/>
      <c r="B15" s="707"/>
      <c r="C15" s="708"/>
    </row>
    <row r="16" spans="1:8">
      <c r="A16" s="31"/>
      <c r="B16" s="707"/>
      <c r="C16" s="708"/>
    </row>
    <row r="17" spans="1:3">
      <c r="A17" s="31"/>
      <c r="B17" s="706" t="s">
        <v>43</v>
      </c>
      <c r="C17" s="709" t="s">
        <v>370</v>
      </c>
    </row>
    <row r="18" spans="1:3">
      <c r="A18" s="31">
        <v>1</v>
      </c>
      <c r="B18" s="707" t="s">
        <v>714</v>
      </c>
      <c r="C18" s="710" t="s">
        <v>725</v>
      </c>
    </row>
    <row r="19" spans="1:3">
      <c r="A19" s="31">
        <v>2</v>
      </c>
      <c r="B19" s="707" t="s">
        <v>726</v>
      </c>
      <c r="C19" s="710" t="s">
        <v>727</v>
      </c>
    </row>
    <row r="20" spans="1:3">
      <c r="A20" s="31">
        <v>3</v>
      </c>
      <c r="B20" s="707" t="s">
        <v>728</v>
      </c>
      <c r="C20" s="710" t="s">
        <v>727</v>
      </c>
    </row>
    <row r="21" spans="1:3">
      <c r="A21" s="31">
        <v>4</v>
      </c>
      <c r="B21" s="707" t="s">
        <v>729</v>
      </c>
      <c r="C21" s="710" t="s">
        <v>730</v>
      </c>
    </row>
    <row r="22" spans="1:3">
      <c r="A22" s="31">
        <v>5</v>
      </c>
      <c r="B22" s="707" t="s">
        <v>731</v>
      </c>
      <c r="C22" s="710" t="s">
        <v>732</v>
      </c>
    </row>
    <row r="23" spans="1:3">
      <c r="A23" s="31">
        <v>6</v>
      </c>
      <c r="B23" s="707" t="s">
        <v>733</v>
      </c>
      <c r="C23" s="710" t="s">
        <v>734</v>
      </c>
    </row>
    <row r="24" spans="1:3">
      <c r="A24" s="31">
        <v>7</v>
      </c>
      <c r="B24" s="707" t="s">
        <v>735</v>
      </c>
      <c r="C24" s="710" t="s">
        <v>727</v>
      </c>
    </row>
    <row r="25" spans="1:3">
      <c r="A25" s="31">
        <v>8</v>
      </c>
      <c r="B25" s="707" t="s">
        <v>749</v>
      </c>
      <c r="C25" s="710" t="s">
        <v>750</v>
      </c>
    </row>
    <row r="26" spans="1:3">
      <c r="A26" s="31"/>
      <c r="B26" s="707"/>
      <c r="C26" s="710"/>
    </row>
    <row r="27" spans="1:3" ht="15.75" customHeight="1">
      <c r="A27" s="31"/>
      <c r="B27" s="707"/>
      <c r="C27" s="711"/>
    </row>
    <row r="28" spans="1:3" ht="15.75" customHeight="1">
      <c r="A28" s="31"/>
      <c r="B28" s="707"/>
      <c r="C28" s="711"/>
    </row>
    <row r="29" spans="1:3" ht="30" customHeight="1">
      <c r="A29" s="31"/>
      <c r="B29" s="732" t="s">
        <v>44</v>
      </c>
      <c r="C29" s="733"/>
    </row>
    <row r="30" spans="1:3">
      <c r="A30" s="31">
        <v>1</v>
      </c>
      <c r="B30" s="707" t="s">
        <v>736</v>
      </c>
      <c r="C30" s="495">
        <v>0.99517562190867503</v>
      </c>
    </row>
    <row r="31" spans="1:3" ht="15.75" customHeight="1">
      <c r="A31" s="31"/>
      <c r="B31" s="707"/>
      <c r="C31" s="495"/>
    </row>
    <row r="32" spans="1:3" ht="29.25" customHeight="1">
      <c r="A32" s="31"/>
      <c r="B32" s="732" t="s">
        <v>45</v>
      </c>
      <c r="C32" s="733"/>
    </row>
    <row r="33" spans="1:3">
      <c r="A33" s="31">
        <v>1</v>
      </c>
      <c r="B33" s="707" t="s">
        <v>737</v>
      </c>
      <c r="C33" s="495">
        <v>0.1975104685401535</v>
      </c>
    </row>
    <row r="34" spans="1:3" ht="14.4" thickBot="1">
      <c r="A34" s="33"/>
      <c r="B34" s="712"/>
      <c r="C34" s="713"/>
    </row>
  </sheetData>
  <mergeCells count="2">
    <mergeCell ref="B32:C32"/>
    <mergeCell ref="B29:C29"/>
  </mergeCells>
  <dataValidations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3"/>
  <sheetViews>
    <sheetView zoomScaleNormal="100" workbookViewId="0">
      <pane xSplit="1" ySplit="5" topLeftCell="B6" activePane="bottomRight" state="frozen"/>
      <selection pane="topRight"/>
      <selection pane="bottomLeft"/>
      <selection pane="bottomRight" activeCell="B6" sqref="B6:B7"/>
    </sheetView>
  </sheetViews>
  <sheetFormatPr defaultColWidth="9.109375" defaultRowHeight="13.8"/>
  <cols>
    <col min="1" max="1" width="9.5546875" style="4" bestFit="1" customWidth="1"/>
    <col min="2" max="2" width="54.33203125" style="4" customWidth="1"/>
    <col min="3" max="3" width="28" style="4" customWidth="1"/>
    <col min="4" max="4" width="22.44140625" style="4" customWidth="1"/>
    <col min="5" max="5" width="22.33203125" style="4" customWidth="1"/>
    <col min="6" max="6" width="12" style="5" bestFit="1" customWidth="1"/>
    <col min="7" max="7" width="12.5546875" style="5" bestFit="1" customWidth="1"/>
    <col min="8" max="16384" width="9.109375" style="5"/>
  </cols>
  <sheetData>
    <row r="1" spans="1:7">
      <c r="A1" s="170" t="s">
        <v>30</v>
      </c>
      <c r="B1" s="3" t="str">
        <f>'Info '!C2</f>
        <v xml:space="preserve">JSC "Bank of Georgia" </v>
      </c>
      <c r="C1" s="45"/>
      <c r="D1" s="45"/>
      <c r="E1" s="45"/>
      <c r="F1" s="12"/>
    </row>
    <row r="2" spans="1:7" s="34" customFormat="1" ht="15.75" customHeight="1">
      <c r="A2" s="170" t="s">
        <v>31</v>
      </c>
      <c r="B2" s="273">
        <f>'1. key ratios '!B2</f>
        <v>45473</v>
      </c>
    </row>
    <row r="3" spans="1:7" s="34" customFormat="1" ht="15.75" customHeight="1">
      <c r="A3" s="170"/>
    </row>
    <row r="4" spans="1:7" s="34" customFormat="1" ht="15.75" customHeight="1" thickBot="1">
      <c r="A4" s="171" t="s">
        <v>99</v>
      </c>
      <c r="B4" s="738" t="s">
        <v>225</v>
      </c>
      <c r="C4" s="739"/>
      <c r="D4" s="739"/>
      <c r="E4" s="739"/>
    </row>
    <row r="5" spans="1:7" s="38" customFormat="1" ht="17.399999999999999" customHeight="1">
      <c r="A5" s="123"/>
      <c r="B5" s="124"/>
      <c r="C5" s="36" t="s">
        <v>0</v>
      </c>
      <c r="D5" s="36" t="s">
        <v>1</v>
      </c>
      <c r="E5" s="37" t="s">
        <v>2</v>
      </c>
    </row>
    <row r="6" spans="1:7" s="12" customFormat="1" ht="14.4" customHeight="1">
      <c r="A6" s="172"/>
      <c r="B6" s="734" t="s">
        <v>232</v>
      </c>
      <c r="C6" s="734" t="s">
        <v>658</v>
      </c>
      <c r="D6" s="736" t="s">
        <v>98</v>
      </c>
      <c r="E6" s="737"/>
      <c r="G6" s="5"/>
    </row>
    <row r="7" spans="1:7" s="12" customFormat="1" ht="99.6" customHeight="1">
      <c r="A7" s="172"/>
      <c r="B7" s="735"/>
      <c r="C7" s="734"/>
      <c r="D7" s="714" t="s">
        <v>97</v>
      </c>
      <c r="E7" s="203" t="s">
        <v>233</v>
      </c>
      <c r="G7" s="5"/>
    </row>
    <row r="8" spans="1:7" ht="20.399999999999999">
      <c r="A8" s="692">
        <v>1</v>
      </c>
      <c r="B8" s="688" t="s">
        <v>559</v>
      </c>
      <c r="C8" s="480">
        <f>SUM(C9:C11)</f>
        <v>3684485451.8122001</v>
      </c>
      <c r="D8" s="480">
        <f t="shared" ref="D8:E8" si="0">SUM(D9:D11)</f>
        <v>0</v>
      </c>
      <c r="E8" s="481">
        <f t="shared" si="0"/>
        <v>3684485451.8122001</v>
      </c>
      <c r="F8" s="12"/>
    </row>
    <row r="9" spans="1:7" ht="14.4">
      <c r="A9" s="692">
        <v>1.1000000000000001</v>
      </c>
      <c r="B9" s="328" t="s">
        <v>560</v>
      </c>
      <c r="C9" s="480">
        <f>'[4]2. SOFP'!E8</f>
        <v>674741913.79299998</v>
      </c>
      <c r="D9" s="480"/>
      <c r="E9" s="482">
        <f>C9-D9</f>
        <v>674741913.79299998</v>
      </c>
      <c r="F9" s="12"/>
    </row>
    <row r="10" spans="1:7" ht="14.4">
      <c r="A10" s="692">
        <v>1.2</v>
      </c>
      <c r="B10" s="328" t="s">
        <v>561</v>
      </c>
      <c r="C10" s="480">
        <f>'[4]2. SOFP'!E9</f>
        <v>2071250907.8854001</v>
      </c>
      <c r="D10" s="480"/>
      <c r="E10" s="482">
        <f t="shared" ref="E10:E36" si="1">C10-D10</f>
        <v>2071250907.8854001</v>
      </c>
      <c r="F10" s="12"/>
    </row>
    <row r="11" spans="1:7" ht="14.4">
      <c r="A11" s="692">
        <v>1.3</v>
      </c>
      <c r="B11" s="328" t="s">
        <v>562</v>
      </c>
      <c r="C11" s="480">
        <f>'[4]2. SOFP'!E10</f>
        <v>938492630.13380003</v>
      </c>
      <c r="D11" s="480"/>
      <c r="E11" s="482">
        <f t="shared" si="1"/>
        <v>938492630.13380003</v>
      </c>
      <c r="F11" s="12"/>
    </row>
    <row r="12" spans="1:7" ht="14.4">
      <c r="A12" s="692">
        <v>2</v>
      </c>
      <c r="B12" s="350" t="s">
        <v>563</v>
      </c>
      <c r="C12" s="480">
        <f>'[4]2. SOFP'!E11</f>
        <v>13923246.959999999</v>
      </c>
      <c r="D12" s="480"/>
      <c r="E12" s="482">
        <f t="shared" si="1"/>
        <v>13923246.959999999</v>
      </c>
      <c r="F12" s="12"/>
    </row>
    <row r="13" spans="1:7" ht="14.4">
      <c r="A13" s="692">
        <v>2.1</v>
      </c>
      <c r="B13" s="326" t="s">
        <v>564</v>
      </c>
      <c r="C13" s="480">
        <f>'[4]2. SOFP'!E12</f>
        <v>13923246.959999999</v>
      </c>
      <c r="D13" s="480"/>
      <c r="E13" s="482">
        <f t="shared" si="1"/>
        <v>13923246.959999999</v>
      </c>
      <c r="F13" s="12"/>
    </row>
    <row r="14" spans="1:7" ht="20.399999999999999">
      <c r="A14" s="692">
        <v>3</v>
      </c>
      <c r="B14" s="689" t="s">
        <v>565</v>
      </c>
      <c r="C14" s="480">
        <f>'[4]2. SOFP'!E13</f>
        <v>0</v>
      </c>
      <c r="D14" s="480"/>
      <c r="E14" s="482">
        <f t="shared" si="1"/>
        <v>0</v>
      </c>
      <c r="F14" s="12"/>
    </row>
    <row r="15" spans="1:7" ht="14.4">
      <c r="A15" s="692">
        <v>4</v>
      </c>
      <c r="B15" s="333" t="s">
        <v>566</v>
      </c>
      <c r="C15" s="480">
        <f>'[4]2. SOFP'!E14</f>
        <v>0</v>
      </c>
      <c r="D15" s="480"/>
      <c r="E15" s="482">
        <f t="shared" si="1"/>
        <v>0</v>
      </c>
      <c r="F15" s="12"/>
    </row>
    <row r="16" spans="1:7" ht="20.399999999999999">
      <c r="A16" s="692">
        <v>5</v>
      </c>
      <c r="B16" s="330" t="s">
        <v>567</v>
      </c>
      <c r="C16" s="480">
        <f>SUM(C17:C19)</f>
        <v>6330084672.1373005</v>
      </c>
      <c r="D16" s="480">
        <f t="shared" ref="D16:E16" si="2">SUM(D17:D19)</f>
        <v>6222994.8939000005</v>
      </c>
      <c r="E16" s="481">
        <f t="shared" si="2"/>
        <v>6323861677.2434006</v>
      </c>
      <c r="F16" s="12"/>
    </row>
    <row r="17" spans="1:6" ht="14.4">
      <c r="A17" s="692">
        <v>5.0999999999999996</v>
      </c>
      <c r="B17" s="477" t="s">
        <v>568</v>
      </c>
      <c r="C17" s="480">
        <f>'[4]2. SOFP'!E16</f>
        <v>7615197.8939000005</v>
      </c>
      <c r="D17" s="480">
        <f>'[4]9. Capital'!C18</f>
        <v>6222994.8939000005</v>
      </c>
      <c r="E17" s="482">
        <f t="shared" si="1"/>
        <v>1392203</v>
      </c>
      <c r="F17" s="12"/>
    </row>
    <row r="18" spans="1:6" ht="14.4">
      <c r="A18" s="692">
        <v>5.2</v>
      </c>
      <c r="B18" s="477" t="s">
        <v>569</v>
      </c>
      <c r="C18" s="480">
        <f>'[4]2. SOFP'!E17</f>
        <v>6322469474.2434006</v>
      </c>
      <c r="D18" s="480"/>
      <c r="E18" s="482">
        <f t="shared" si="1"/>
        <v>6322469474.2434006</v>
      </c>
      <c r="F18" s="12"/>
    </row>
    <row r="19" spans="1:6" ht="14.4">
      <c r="A19" s="692">
        <v>5.3</v>
      </c>
      <c r="B19" s="351" t="s">
        <v>570</v>
      </c>
      <c r="C19" s="480">
        <f>'[4]2. SOFP'!E18</f>
        <v>0</v>
      </c>
      <c r="D19" s="480"/>
      <c r="E19" s="482">
        <f t="shared" si="1"/>
        <v>0</v>
      </c>
      <c r="F19" s="12"/>
    </row>
    <row r="20" spans="1:6" ht="14.4">
      <c r="A20" s="692">
        <v>6</v>
      </c>
      <c r="B20" s="689" t="s">
        <v>571</v>
      </c>
      <c r="C20" s="480">
        <f>SUM(C21:C22)</f>
        <v>22250314128.503475</v>
      </c>
      <c r="D20" s="480">
        <f t="shared" ref="D20:E20" si="3">SUM(D21:D22)</f>
        <v>0</v>
      </c>
      <c r="E20" s="481">
        <f t="shared" si="3"/>
        <v>22250314128.503475</v>
      </c>
      <c r="F20" s="12"/>
    </row>
    <row r="21" spans="1:6" ht="14.4">
      <c r="A21" s="692">
        <v>6.1</v>
      </c>
      <c r="B21" s="477" t="s">
        <v>569</v>
      </c>
      <c r="C21" s="480">
        <f>'[4]2. SOFP'!E20</f>
        <v>598266787.51660001</v>
      </c>
      <c r="D21" s="483"/>
      <c r="E21" s="482">
        <f t="shared" si="1"/>
        <v>598266787.51660001</v>
      </c>
      <c r="F21" s="12"/>
    </row>
    <row r="22" spans="1:6" ht="14.4">
      <c r="A22" s="692">
        <v>6.2</v>
      </c>
      <c r="B22" s="351" t="s">
        <v>570</v>
      </c>
      <c r="C22" s="480">
        <f>'[4]2. SOFP'!E21</f>
        <v>21652047340.986874</v>
      </c>
      <c r="D22" s="483"/>
      <c r="E22" s="482">
        <f t="shared" si="1"/>
        <v>21652047340.986874</v>
      </c>
      <c r="F22" s="12"/>
    </row>
    <row r="23" spans="1:6" ht="14.4">
      <c r="A23" s="692">
        <v>7</v>
      </c>
      <c r="B23" s="350" t="s">
        <v>572</v>
      </c>
      <c r="C23" s="480">
        <f>'[4]2. SOFP'!E22</f>
        <v>397420284.64000005</v>
      </c>
      <c r="D23" s="484">
        <v>9537977</v>
      </c>
      <c r="E23" s="482">
        <f t="shared" si="1"/>
        <v>387882307.64000005</v>
      </c>
      <c r="F23" s="12"/>
    </row>
    <row r="24" spans="1:6" ht="20.399999999999999">
      <c r="A24" s="692">
        <v>8</v>
      </c>
      <c r="B24" s="350" t="s">
        <v>573</v>
      </c>
      <c r="C24" s="480">
        <f>'[4]2. SOFP'!E23</f>
        <v>20066035.68</v>
      </c>
      <c r="D24" s="484">
        <v>0</v>
      </c>
      <c r="E24" s="482">
        <f t="shared" si="1"/>
        <v>20066035.68</v>
      </c>
      <c r="F24" s="12"/>
    </row>
    <row r="25" spans="1:6" ht="14.4">
      <c r="A25" s="692">
        <v>9</v>
      </c>
      <c r="B25" s="333" t="s">
        <v>574</v>
      </c>
      <c r="C25" s="483">
        <f>SUM(C26:C27)</f>
        <v>640795859.77999997</v>
      </c>
      <c r="D25" s="483">
        <f t="shared" ref="D25:E25" si="4">SUM(D26:D27)</f>
        <v>2358668.17</v>
      </c>
      <c r="E25" s="485">
        <f t="shared" si="4"/>
        <v>638437191.61000001</v>
      </c>
      <c r="F25" s="12"/>
    </row>
    <row r="26" spans="1:6" ht="14.4">
      <c r="A26" s="692">
        <v>9.1</v>
      </c>
      <c r="B26" s="477" t="s">
        <v>575</v>
      </c>
      <c r="C26" s="480">
        <f>'[4]2. SOFP'!E25</f>
        <v>527216002.94</v>
      </c>
      <c r="D26" s="483">
        <f>'[4]2. SOFP'!E64</f>
        <v>2358668.17</v>
      </c>
      <c r="E26" s="482">
        <f t="shared" si="1"/>
        <v>524857334.76999998</v>
      </c>
      <c r="F26" s="12"/>
    </row>
    <row r="27" spans="1:6" ht="14.4">
      <c r="A27" s="692">
        <v>9.1999999999999993</v>
      </c>
      <c r="B27" s="477" t="s">
        <v>576</v>
      </c>
      <c r="C27" s="480">
        <f>'[4]2. SOFP'!E26</f>
        <v>113579856.84</v>
      </c>
      <c r="D27" s="483"/>
      <c r="E27" s="482">
        <f t="shared" si="1"/>
        <v>113579856.84</v>
      </c>
      <c r="F27" s="12"/>
    </row>
    <row r="28" spans="1:6" ht="14.4">
      <c r="A28" s="692">
        <v>10</v>
      </c>
      <c r="B28" s="333" t="s">
        <v>577</v>
      </c>
      <c r="C28" s="483">
        <f>SUM(C29:C30)</f>
        <v>182376834.04000002</v>
      </c>
      <c r="D28" s="483">
        <f t="shared" ref="D28:E28" si="5">SUM(D29:D30)</f>
        <v>182376834.04000002</v>
      </c>
      <c r="E28" s="485">
        <f t="shared" si="5"/>
        <v>0</v>
      </c>
      <c r="F28" s="12"/>
    </row>
    <row r="29" spans="1:6" ht="14.4">
      <c r="A29" s="692">
        <v>10.1</v>
      </c>
      <c r="B29" s="477" t="s">
        <v>578</v>
      </c>
      <c r="C29" s="480">
        <f>'[4]2. SOFP'!E28</f>
        <v>33331342.84</v>
      </c>
      <c r="D29" s="483">
        <f>C29</f>
        <v>33331342.84</v>
      </c>
      <c r="E29" s="482">
        <f t="shared" si="1"/>
        <v>0</v>
      </c>
      <c r="F29" s="12"/>
    </row>
    <row r="30" spans="1:6" ht="14.4">
      <c r="A30" s="692">
        <v>10.199999999999999</v>
      </c>
      <c r="B30" s="477" t="s">
        <v>579</v>
      </c>
      <c r="C30" s="480">
        <f>'[4]2. SOFP'!E29</f>
        <v>149045491.20000002</v>
      </c>
      <c r="D30" s="483">
        <f>C30</f>
        <v>149045491.20000002</v>
      </c>
      <c r="E30" s="482">
        <f t="shared" si="1"/>
        <v>0</v>
      </c>
      <c r="F30" s="12"/>
    </row>
    <row r="31" spans="1:6" ht="14.4">
      <c r="A31" s="692">
        <v>11</v>
      </c>
      <c r="B31" s="333" t="s">
        <v>580</v>
      </c>
      <c r="C31" s="483">
        <f>SUM(C32:C33)</f>
        <v>0</v>
      </c>
      <c r="D31" s="483">
        <f t="shared" ref="D31:E31" si="6">SUM(D32:D33)</f>
        <v>0</v>
      </c>
      <c r="E31" s="485">
        <f t="shared" si="6"/>
        <v>0</v>
      </c>
      <c r="F31" s="12"/>
    </row>
    <row r="32" spans="1:6" ht="14.4">
      <c r="A32" s="692">
        <v>11.1</v>
      </c>
      <c r="B32" s="477" t="s">
        <v>581</v>
      </c>
      <c r="C32" s="480">
        <f>'[4]2. SOFP'!E31</f>
        <v>0</v>
      </c>
      <c r="D32" s="483"/>
      <c r="E32" s="482">
        <f t="shared" si="1"/>
        <v>0</v>
      </c>
      <c r="F32" s="12"/>
    </row>
    <row r="33" spans="1:7" ht="14.4">
      <c r="A33" s="692">
        <v>11.2</v>
      </c>
      <c r="B33" s="477" t="s">
        <v>582</v>
      </c>
      <c r="C33" s="480">
        <f>'[4]2. SOFP'!E32</f>
        <v>0</v>
      </c>
      <c r="D33" s="483"/>
      <c r="E33" s="482">
        <f t="shared" si="1"/>
        <v>0</v>
      </c>
      <c r="F33" s="12"/>
    </row>
    <row r="34" spans="1:7" ht="14.4">
      <c r="A34" s="692">
        <v>13</v>
      </c>
      <c r="B34" s="333" t="s">
        <v>583</v>
      </c>
      <c r="C34" s="480">
        <f>'[4]2. SOFP'!E33</f>
        <v>621180087.22283196</v>
      </c>
      <c r="D34" s="483"/>
      <c r="E34" s="482">
        <f t="shared" si="1"/>
        <v>621180087.22283196</v>
      </c>
      <c r="F34" s="12"/>
    </row>
    <row r="35" spans="1:7" ht="14.4">
      <c r="A35" s="692">
        <v>13.1</v>
      </c>
      <c r="B35" s="690" t="s">
        <v>584</v>
      </c>
      <c r="C35" s="480">
        <f>'[4]2. SOFP'!E34</f>
        <v>300618242.21999997</v>
      </c>
      <c r="D35" s="483"/>
      <c r="E35" s="482">
        <f t="shared" si="1"/>
        <v>300618242.21999997</v>
      </c>
      <c r="F35" s="12"/>
    </row>
    <row r="36" spans="1:7" ht="14.4">
      <c r="A36" s="692">
        <v>13.2</v>
      </c>
      <c r="B36" s="690" t="s">
        <v>585</v>
      </c>
      <c r="C36" s="480">
        <f>'[4]2. SOFP'!E35</f>
        <v>0</v>
      </c>
      <c r="D36" s="483"/>
      <c r="E36" s="482">
        <f t="shared" si="1"/>
        <v>0</v>
      </c>
      <c r="F36" s="12"/>
    </row>
    <row r="37" spans="1:7" ht="27" thickBot="1">
      <c r="A37" s="96"/>
      <c r="B37" s="173" t="s">
        <v>234</v>
      </c>
      <c r="C37" s="486">
        <f>SUM(C8,C12,C14,C15,C16,C20,C23,C24,C25,C28,C31,C34)</f>
        <v>34140646600.775806</v>
      </c>
      <c r="D37" s="486">
        <f t="shared" ref="D37:E37" si="7">SUM(D8,D12,D14,D15,D16,D20,D23,D24,D25,D28,D31,D34)</f>
        <v>200496474.10390002</v>
      </c>
      <c r="E37" s="487">
        <f t="shared" si="7"/>
        <v>33940150126.671906</v>
      </c>
    </row>
    <row r="38" spans="1:7">
      <c r="A38" s="5"/>
      <c r="B38" s="5"/>
      <c r="C38" s="5"/>
      <c r="D38" s="5"/>
      <c r="E38" s="5"/>
    </row>
    <row r="39" spans="1:7">
      <c r="A39" s="5"/>
      <c r="B39" s="5"/>
      <c r="C39" s="5"/>
      <c r="D39" s="5"/>
      <c r="E39" s="5"/>
    </row>
    <row r="41" spans="1:7" s="4" customFormat="1">
      <c r="B41" s="40"/>
      <c r="F41" s="5"/>
      <c r="G41" s="5"/>
    </row>
    <row r="42" spans="1:7" s="4" customFormat="1">
      <c r="B42" s="40"/>
      <c r="F42" s="5"/>
      <c r="G42" s="5"/>
    </row>
    <row r="43" spans="1:7" s="4" customFormat="1">
      <c r="B43" s="40"/>
      <c r="F43" s="5"/>
      <c r="G43" s="5"/>
    </row>
    <row r="44" spans="1:7" s="4" customFormat="1">
      <c r="B44" s="40"/>
      <c r="F44" s="5"/>
      <c r="G44" s="5"/>
    </row>
    <row r="45" spans="1:7" s="4" customFormat="1">
      <c r="B45" s="40"/>
      <c r="F45" s="5"/>
      <c r="G45" s="5"/>
    </row>
    <row r="46" spans="1:7" s="4" customFormat="1">
      <c r="B46" s="40"/>
      <c r="F46" s="5"/>
      <c r="G46" s="5"/>
    </row>
    <row r="47" spans="1:7" s="4" customFormat="1">
      <c r="B47" s="40"/>
      <c r="F47" s="5"/>
      <c r="G47" s="5"/>
    </row>
    <row r="48" spans="1:7" s="4" customFormat="1">
      <c r="B48" s="40"/>
      <c r="F48" s="5"/>
      <c r="G48" s="5"/>
    </row>
    <row r="49" spans="2:7" s="4" customFormat="1">
      <c r="B49" s="40"/>
      <c r="F49" s="5"/>
      <c r="G49" s="5"/>
    </row>
    <row r="50" spans="2:7" s="4" customFormat="1">
      <c r="B50" s="40"/>
      <c r="F50" s="5"/>
      <c r="G50" s="5"/>
    </row>
    <row r="51" spans="2:7" s="4" customFormat="1">
      <c r="B51" s="40"/>
      <c r="F51" s="5"/>
      <c r="G51" s="5"/>
    </row>
    <row r="52" spans="2:7" s="4" customFormat="1">
      <c r="B52" s="40"/>
      <c r="F52" s="5"/>
      <c r="G52" s="5"/>
    </row>
    <row r="53" spans="2:7" s="4" customFormat="1">
      <c r="B53" s="40"/>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B5" activePane="bottomRight" state="frozen"/>
      <selection pane="topRight"/>
      <selection pane="bottomLeft"/>
      <selection pane="bottomRight" activeCell="B5" sqref="B5"/>
    </sheetView>
  </sheetViews>
  <sheetFormatPr defaultColWidth="9.109375" defaultRowHeight="13.2" outlineLevelRow="1"/>
  <cols>
    <col min="1" max="1" width="9.5546875" style="4" bestFit="1" customWidth="1"/>
    <col min="2" max="2" width="114.33203125" style="4" customWidth="1"/>
    <col min="3" max="3" width="18.88671875" style="4" customWidth="1"/>
    <col min="4" max="4" width="25.44140625" style="4" customWidth="1"/>
    <col min="5" max="5" width="24.33203125" style="4" customWidth="1"/>
    <col min="6" max="6" width="24" style="4" customWidth="1"/>
    <col min="7" max="7" width="10" style="4" bestFit="1" customWidth="1"/>
    <col min="8" max="8" width="12" style="4" bestFit="1" customWidth="1"/>
    <col min="9" max="9" width="12.5546875" style="4" bestFit="1" customWidth="1"/>
    <col min="10" max="16384" width="9.109375" style="4"/>
  </cols>
  <sheetData>
    <row r="1" spans="1:6">
      <c r="A1" s="2" t="s">
        <v>30</v>
      </c>
      <c r="B1" s="3" t="str">
        <f>'Info '!C2</f>
        <v xml:space="preserve">JSC "Bank of Georgia" </v>
      </c>
    </row>
    <row r="2" spans="1:6" s="34" customFormat="1" ht="15.75" customHeight="1">
      <c r="A2" s="2" t="s">
        <v>31</v>
      </c>
      <c r="B2" s="273">
        <f>'1. key ratios '!B2</f>
        <v>45473</v>
      </c>
      <c r="C2" s="4"/>
      <c r="D2" s="4"/>
      <c r="E2" s="4"/>
      <c r="F2" s="4"/>
    </row>
    <row r="3" spans="1:6" s="34" customFormat="1" ht="15.75" customHeight="1">
      <c r="C3" s="4"/>
      <c r="D3" s="4"/>
      <c r="E3" s="4"/>
      <c r="F3" s="4"/>
    </row>
    <row r="4" spans="1:6" s="34" customFormat="1" ht="13.8" thickBot="1">
      <c r="A4" s="34" t="s">
        <v>46</v>
      </c>
      <c r="B4" s="174" t="s">
        <v>552</v>
      </c>
      <c r="C4" s="35" t="s">
        <v>35</v>
      </c>
      <c r="D4" s="4"/>
      <c r="E4" s="4"/>
      <c r="F4" s="4"/>
    </row>
    <row r="5" spans="1:6" ht="14.4">
      <c r="A5" s="129">
        <v>1</v>
      </c>
      <c r="B5" s="175" t="s">
        <v>554</v>
      </c>
      <c r="C5" s="574">
        <f>'[4]7. LI1'!E37</f>
        <v>33940150126.671906</v>
      </c>
    </row>
    <row r="6" spans="1:6" s="130" customFormat="1" ht="14.4">
      <c r="A6" s="41">
        <v>2.1</v>
      </c>
      <c r="B6" s="126" t="s">
        <v>214</v>
      </c>
      <c r="C6" s="575">
        <v>2941327991.1999998</v>
      </c>
    </row>
    <row r="7" spans="1:6" s="25" customFormat="1" ht="14.4" outlineLevel="1">
      <c r="A7" s="19">
        <v>2.2000000000000002</v>
      </c>
      <c r="B7" s="20" t="s">
        <v>215</v>
      </c>
      <c r="C7" s="576">
        <v>1094081257.0866003</v>
      </c>
    </row>
    <row r="8" spans="1:6" s="25" customFormat="1" ht="14.4">
      <c r="A8" s="19">
        <v>3</v>
      </c>
      <c r="B8" s="127" t="s">
        <v>553</v>
      </c>
      <c r="C8" s="577">
        <f>SUM(C5:C7)</f>
        <v>37975559374.958504</v>
      </c>
    </row>
    <row r="9" spans="1:6" s="130" customFormat="1" ht="14.4">
      <c r="A9" s="41">
        <v>4</v>
      </c>
      <c r="B9" s="43" t="s">
        <v>48</v>
      </c>
      <c r="C9" s="575">
        <v>0</v>
      </c>
    </row>
    <row r="10" spans="1:6" s="25" customFormat="1" ht="14.4" outlineLevel="1">
      <c r="A10" s="19">
        <v>5.0999999999999996</v>
      </c>
      <c r="B10" s="20" t="s">
        <v>216</v>
      </c>
      <c r="C10" s="575">
        <v>-1673681385.7752497</v>
      </c>
    </row>
    <row r="11" spans="1:6" s="25" customFormat="1" ht="14.4" outlineLevel="1">
      <c r="A11" s="19">
        <v>5.2</v>
      </c>
      <c r="B11" s="20" t="s">
        <v>217</v>
      </c>
      <c r="C11" s="576">
        <v>-1070485772.2440783</v>
      </c>
    </row>
    <row r="12" spans="1:6" s="25" customFormat="1" ht="14.4">
      <c r="A12" s="19">
        <v>6</v>
      </c>
      <c r="B12" s="125" t="s">
        <v>357</v>
      </c>
      <c r="C12" s="578"/>
    </row>
    <row r="13" spans="1:6" s="25" customFormat="1" ht="15" thickBot="1">
      <c r="A13" s="21">
        <v>7</v>
      </c>
      <c r="B13" s="128" t="s">
        <v>177</v>
      </c>
      <c r="C13" s="579">
        <f>SUM(C8:C12)</f>
        <v>35231392216.939171</v>
      </c>
    </row>
    <row r="15" spans="1:6" ht="26.4">
      <c r="A15" s="142"/>
      <c r="B15" s="26" t="s">
        <v>358</v>
      </c>
    </row>
    <row r="16" spans="1:6">
      <c r="A16" s="142"/>
      <c r="B16" s="142"/>
    </row>
    <row r="17" spans="1:5" ht="13.8">
      <c r="A17" s="137"/>
      <c r="B17" s="138"/>
      <c r="C17" s="142"/>
      <c r="D17" s="142"/>
      <c r="E17" s="142"/>
    </row>
    <row r="18" spans="1:5" ht="14.4">
      <c r="A18" s="143"/>
      <c r="B18" s="144"/>
      <c r="C18" s="142"/>
      <c r="D18" s="142"/>
      <c r="E18" s="142"/>
    </row>
    <row r="19" spans="1:5" ht="13.8">
      <c r="A19" s="145"/>
      <c r="B19" s="139"/>
      <c r="C19" s="142"/>
      <c r="D19" s="142"/>
      <c r="E19" s="142"/>
    </row>
    <row r="20" spans="1:5" ht="13.8">
      <c r="A20" s="146"/>
      <c r="B20" s="140"/>
      <c r="C20" s="142"/>
      <c r="D20" s="142"/>
      <c r="E20" s="142"/>
    </row>
    <row r="21" spans="1:5" ht="13.8">
      <c r="A21" s="146"/>
      <c r="B21" s="144"/>
      <c r="C21" s="142"/>
      <c r="D21" s="142"/>
      <c r="E21" s="142"/>
    </row>
    <row r="22" spans="1:5" ht="13.8">
      <c r="A22" s="145"/>
      <c r="B22" s="141"/>
      <c r="C22" s="142"/>
      <c r="D22" s="142"/>
      <c r="E22" s="142"/>
    </row>
    <row r="23" spans="1:5" ht="13.8">
      <c r="A23" s="146"/>
      <c r="B23" s="140"/>
      <c r="C23" s="142"/>
      <c r="D23" s="142"/>
      <c r="E23" s="142"/>
    </row>
    <row r="24" spans="1:5" ht="13.8">
      <c r="A24" s="146"/>
      <c r="B24" s="140"/>
      <c r="C24" s="142"/>
      <c r="D24" s="142"/>
      <c r="E24" s="142"/>
    </row>
    <row r="25" spans="1:5" ht="13.8">
      <c r="A25" s="146"/>
      <c r="B25" s="147"/>
      <c r="C25" s="142"/>
      <c r="D25" s="142"/>
      <c r="E25" s="142"/>
    </row>
    <row r="26" spans="1:5" ht="13.8">
      <c r="A26" s="146"/>
      <c r="B26" s="144"/>
      <c r="C26" s="142"/>
      <c r="D26" s="142"/>
      <c r="E26" s="142"/>
    </row>
    <row r="27" spans="1:5">
      <c r="A27" s="142"/>
      <c r="B27" s="148"/>
      <c r="C27" s="142"/>
      <c r="D27" s="142"/>
      <c r="E27" s="142"/>
    </row>
    <row r="28" spans="1:5">
      <c r="A28" s="142"/>
      <c r="B28" s="148"/>
      <c r="C28" s="142"/>
      <c r="D28" s="142"/>
      <c r="E28" s="142"/>
    </row>
    <row r="29" spans="1:5">
      <c r="A29" s="142"/>
      <c r="B29" s="148"/>
      <c r="C29" s="142"/>
      <c r="D29" s="142"/>
      <c r="E29" s="142"/>
    </row>
    <row r="30" spans="1:5">
      <c r="A30" s="142"/>
      <c r="B30" s="148"/>
      <c r="C30" s="142"/>
      <c r="D30" s="142"/>
      <c r="E30" s="142"/>
    </row>
    <row r="31" spans="1:5">
      <c r="A31" s="142"/>
      <c r="B31" s="148"/>
      <c r="C31" s="142"/>
      <c r="D31" s="142"/>
      <c r="E31" s="142"/>
    </row>
    <row r="32" spans="1:5">
      <c r="A32" s="142"/>
      <c r="B32" s="148"/>
      <c r="C32" s="142"/>
      <c r="D32" s="142"/>
      <c r="E32" s="142"/>
    </row>
    <row r="33" spans="1:5">
      <c r="A33" s="142"/>
      <c r="B33" s="148"/>
      <c r="C33" s="142"/>
      <c r="D33" s="142"/>
      <c r="E33" s="142"/>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6"/>
  <sheetViews>
    <sheetView zoomScaleNormal="100" workbookViewId="0">
      <pane xSplit="1" ySplit="5" topLeftCell="B6" activePane="bottomRight" state="frozen"/>
      <selection pane="topRight"/>
      <selection pane="bottomLeft"/>
      <selection pane="bottomRight" activeCell="B6" sqref="B6"/>
    </sheetView>
  </sheetViews>
  <sheetFormatPr defaultColWidth="9.109375" defaultRowHeight="13.2"/>
  <cols>
    <col min="1" max="1" width="9.5546875" style="45" bestFit="1" customWidth="1"/>
    <col min="2" max="2" width="132.44140625" style="4" customWidth="1"/>
    <col min="3" max="3" width="18.44140625" style="4" customWidth="1"/>
    <col min="4" max="4" width="12.5546875" style="4" bestFit="1" customWidth="1"/>
    <col min="5" max="16384" width="9.109375" style="4"/>
  </cols>
  <sheetData>
    <row r="1" spans="1:4">
      <c r="A1" s="2" t="s">
        <v>30</v>
      </c>
      <c r="B1" s="3" t="str">
        <f>'Info '!C2</f>
        <v xml:space="preserve">JSC "Bank of Georgia" </v>
      </c>
    </row>
    <row r="2" spans="1:4" s="34" customFormat="1" ht="15.75" customHeight="1">
      <c r="A2" s="34" t="s">
        <v>31</v>
      </c>
      <c r="B2" s="273">
        <f>'1. key ratios '!B2</f>
        <v>45473</v>
      </c>
    </row>
    <row r="3" spans="1:4" s="34" customFormat="1" ht="15.75" customHeight="1"/>
    <row r="4" spans="1:4" ht="13.8" thickBot="1">
      <c r="A4" s="45" t="s">
        <v>143</v>
      </c>
      <c r="B4" s="81" t="s">
        <v>142</v>
      </c>
    </row>
    <row r="5" spans="1:4">
      <c r="A5" s="46" t="s">
        <v>6</v>
      </c>
      <c r="B5" s="47"/>
      <c r="C5" s="48" t="s">
        <v>35</v>
      </c>
    </row>
    <row r="6" spans="1:4" ht="13.8">
      <c r="A6" s="49">
        <v>1</v>
      </c>
      <c r="B6" s="50" t="s">
        <v>141</v>
      </c>
      <c r="C6" s="580">
        <f>SUM(C7:C11)</f>
        <v>4599640546.2439442</v>
      </c>
      <c r="D6" s="116"/>
    </row>
    <row r="7" spans="1:4" ht="13.8">
      <c r="A7" s="49">
        <v>2</v>
      </c>
      <c r="B7" s="51" t="s">
        <v>140</v>
      </c>
      <c r="C7" s="581">
        <v>27993660.18</v>
      </c>
      <c r="D7" s="116"/>
    </row>
    <row r="8" spans="1:4" ht="13.8">
      <c r="A8" s="49">
        <v>3</v>
      </c>
      <c r="B8" s="52" t="s">
        <v>139</v>
      </c>
      <c r="C8" s="581">
        <v>116628006.38</v>
      </c>
      <c r="D8" s="116"/>
    </row>
    <row r="9" spans="1:4" ht="13.8">
      <c r="A9" s="49">
        <v>4</v>
      </c>
      <c r="B9" s="52" t="s">
        <v>138</v>
      </c>
      <c r="C9" s="581">
        <v>-17840140.469999999</v>
      </c>
      <c r="D9" s="116"/>
    </row>
    <row r="10" spans="1:4" ht="13.8">
      <c r="A10" s="49">
        <v>5</v>
      </c>
      <c r="B10" s="52" t="s">
        <v>137</v>
      </c>
      <c r="C10" s="581">
        <v>0</v>
      </c>
      <c r="D10" s="116"/>
    </row>
    <row r="11" spans="1:4" ht="13.8">
      <c r="A11" s="49">
        <v>6</v>
      </c>
      <c r="B11" s="53" t="s">
        <v>136</v>
      </c>
      <c r="C11" s="581">
        <v>4472859020.153944</v>
      </c>
      <c r="D11" s="116"/>
    </row>
    <row r="12" spans="1:4" s="25" customFormat="1" ht="13.8">
      <c r="A12" s="49">
        <v>7</v>
      </c>
      <c r="B12" s="50" t="s">
        <v>135</v>
      </c>
      <c r="C12" s="582">
        <f>SUM(C13:C28)</f>
        <v>212109020.891</v>
      </c>
      <c r="D12" s="116"/>
    </row>
    <row r="13" spans="1:4" s="25" customFormat="1" ht="13.8">
      <c r="A13" s="49">
        <v>8</v>
      </c>
      <c r="B13" s="54" t="s">
        <v>134</v>
      </c>
      <c r="C13" s="581">
        <v>11986855.447100002</v>
      </c>
      <c r="D13" s="116"/>
    </row>
    <row r="14" spans="1:4" s="25" customFormat="1" ht="26.4">
      <c r="A14" s="49">
        <v>9</v>
      </c>
      <c r="B14" s="55" t="s">
        <v>133</v>
      </c>
      <c r="C14" s="581">
        <v>0</v>
      </c>
      <c r="D14" s="116"/>
    </row>
    <row r="15" spans="1:4" s="25" customFormat="1" ht="13.8">
      <c r="A15" s="49">
        <v>10</v>
      </c>
      <c r="B15" s="56" t="s">
        <v>132</v>
      </c>
      <c r="C15" s="581">
        <v>182376834.03999999</v>
      </c>
      <c r="D15" s="116"/>
    </row>
    <row r="16" spans="1:4" s="25" customFormat="1" ht="13.8">
      <c r="A16" s="49">
        <v>11</v>
      </c>
      <c r="B16" s="57" t="s">
        <v>131</v>
      </c>
      <c r="C16" s="581">
        <v>0</v>
      </c>
      <c r="D16" s="116"/>
    </row>
    <row r="17" spans="1:4" s="25" customFormat="1" ht="13.8">
      <c r="A17" s="49">
        <v>12</v>
      </c>
      <c r="B17" s="56" t="s">
        <v>130</v>
      </c>
      <c r="C17" s="581">
        <v>11366</v>
      </c>
      <c r="D17" s="116"/>
    </row>
    <row r="18" spans="1:4" s="25" customFormat="1" ht="13.8">
      <c r="A18" s="49">
        <v>13</v>
      </c>
      <c r="B18" s="56" t="s">
        <v>129</v>
      </c>
      <c r="C18" s="581">
        <v>6222994.8939000005</v>
      </c>
      <c r="D18" s="116"/>
    </row>
    <row r="19" spans="1:4" s="25" customFormat="1" ht="13.8">
      <c r="A19" s="49">
        <v>14</v>
      </c>
      <c r="B19" s="56" t="s">
        <v>128</v>
      </c>
      <c r="C19" s="581">
        <v>0</v>
      </c>
      <c r="D19" s="116"/>
    </row>
    <row r="20" spans="1:4" s="25" customFormat="1" ht="13.8">
      <c r="A20" s="49">
        <v>15</v>
      </c>
      <c r="B20" s="56" t="s">
        <v>127</v>
      </c>
      <c r="C20" s="581">
        <v>0</v>
      </c>
      <c r="D20" s="116"/>
    </row>
    <row r="21" spans="1:4" s="25" customFormat="1" ht="26.4">
      <c r="A21" s="49">
        <v>16</v>
      </c>
      <c r="B21" s="55" t="s">
        <v>126</v>
      </c>
      <c r="C21" s="581">
        <v>0</v>
      </c>
      <c r="D21" s="116"/>
    </row>
    <row r="22" spans="1:4" s="25" customFormat="1" ht="13.8">
      <c r="A22" s="49">
        <v>17</v>
      </c>
      <c r="B22" s="58" t="s">
        <v>125</v>
      </c>
      <c r="C22" s="581">
        <v>9537977</v>
      </c>
      <c r="D22" s="116"/>
    </row>
    <row r="23" spans="1:4" s="25" customFormat="1" ht="13.8">
      <c r="A23" s="49">
        <v>18</v>
      </c>
      <c r="B23" s="58" t="s">
        <v>551</v>
      </c>
      <c r="C23" s="581">
        <v>1972993.5099999998</v>
      </c>
      <c r="D23" s="116"/>
    </row>
    <row r="24" spans="1:4" s="25" customFormat="1" ht="13.8">
      <c r="A24" s="49">
        <v>19</v>
      </c>
      <c r="B24" s="55" t="s">
        <v>124</v>
      </c>
      <c r="C24" s="581">
        <v>0</v>
      </c>
      <c r="D24" s="116"/>
    </row>
    <row r="25" spans="1:4" s="25" customFormat="1" ht="26.4">
      <c r="A25" s="49">
        <v>20</v>
      </c>
      <c r="B25" s="55" t="s">
        <v>101</v>
      </c>
      <c r="C25" s="583"/>
      <c r="D25" s="116"/>
    </row>
    <row r="26" spans="1:4" s="25" customFormat="1" ht="13.8">
      <c r="A26" s="49">
        <v>21</v>
      </c>
      <c r="B26" s="59" t="s">
        <v>123</v>
      </c>
      <c r="C26" s="583"/>
      <c r="D26" s="116"/>
    </row>
    <row r="27" spans="1:4" s="25" customFormat="1" ht="13.8">
      <c r="A27" s="49">
        <v>22</v>
      </c>
      <c r="B27" s="59" t="s">
        <v>122</v>
      </c>
      <c r="C27" s="583"/>
      <c r="D27" s="116"/>
    </row>
    <row r="28" spans="1:4" s="25" customFormat="1" ht="13.8">
      <c r="A28" s="49">
        <v>23</v>
      </c>
      <c r="B28" s="59" t="s">
        <v>121</v>
      </c>
      <c r="C28" s="583"/>
      <c r="D28" s="116"/>
    </row>
    <row r="29" spans="1:4" s="25" customFormat="1" ht="13.8">
      <c r="A29" s="49">
        <v>24</v>
      </c>
      <c r="B29" s="60" t="s">
        <v>120</v>
      </c>
      <c r="C29" s="582">
        <f>C6-C12</f>
        <v>4387531525.3529444</v>
      </c>
      <c r="D29" s="116"/>
    </row>
    <row r="30" spans="1:4" s="25" customFormat="1" ht="13.8">
      <c r="A30" s="61"/>
      <c r="B30" s="62"/>
      <c r="C30" s="583"/>
      <c r="D30" s="116"/>
    </row>
    <row r="31" spans="1:4" s="25" customFormat="1" ht="13.8">
      <c r="A31" s="61">
        <v>25</v>
      </c>
      <c r="B31" s="60" t="s">
        <v>119</v>
      </c>
      <c r="C31" s="582">
        <f>C32+C35</f>
        <v>983535000</v>
      </c>
      <c r="D31" s="116"/>
    </row>
    <row r="32" spans="1:4" s="25" customFormat="1" ht="13.8">
      <c r="A32" s="61">
        <v>26</v>
      </c>
      <c r="B32" s="52" t="s">
        <v>118</v>
      </c>
      <c r="C32" s="584">
        <f>C33+C34</f>
        <v>0</v>
      </c>
      <c r="D32" s="116"/>
    </row>
    <row r="33" spans="1:4" s="25" customFormat="1" ht="13.8">
      <c r="A33" s="61">
        <v>27</v>
      </c>
      <c r="B33" s="63" t="s">
        <v>192</v>
      </c>
      <c r="C33" s="583"/>
      <c r="D33" s="116"/>
    </row>
    <row r="34" spans="1:4" s="25" customFormat="1" ht="13.8">
      <c r="A34" s="61">
        <v>28</v>
      </c>
      <c r="B34" s="63" t="s">
        <v>117</v>
      </c>
      <c r="C34" s="583"/>
      <c r="D34" s="116"/>
    </row>
    <row r="35" spans="1:4" s="25" customFormat="1" ht="13.8">
      <c r="A35" s="61">
        <v>29</v>
      </c>
      <c r="B35" s="52" t="s">
        <v>116</v>
      </c>
      <c r="C35" s="581">
        <v>983535000</v>
      </c>
      <c r="D35" s="116"/>
    </row>
    <row r="36" spans="1:4" s="25" customFormat="1" ht="13.8">
      <c r="A36" s="61">
        <v>30</v>
      </c>
      <c r="B36" s="60" t="s">
        <v>115</v>
      </c>
      <c r="C36" s="582"/>
      <c r="D36" s="116"/>
    </row>
    <row r="37" spans="1:4" s="25" customFormat="1" ht="13.8">
      <c r="A37" s="61">
        <v>31</v>
      </c>
      <c r="B37" s="55" t="s">
        <v>114</v>
      </c>
      <c r="C37" s="583"/>
      <c r="D37" s="116"/>
    </row>
    <row r="38" spans="1:4" s="25" customFormat="1" ht="13.8">
      <c r="A38" s="61">
        <v>32</v>
      </c>
      <c r="B38" s="56" t="s">
        <v>113</v>
      </c>
      <c r="C38" s="583"/>
      <c r="D38" s="116"/>
    </row>
    <row r="39" spans="1:4" s="25" customFormat="1" ht="13.8">
      <c r="A39" s="61">
        <v>33</v>
      </c>
      <c r="B39" s="55" t="s">
        <v>112</v>
      </c>
      <c r="C39" s="583"/>
      <c r="D39" s="116"/>
    </row>
    <row r="40" spans="1:4" s="25" customFormat="1" ht="26.4">
      <c r="A40" s="61">
        <v>34</v>
      </c>
      <c r="B40" s="55" t="s">
        <v>101</v>
      </c>
      <c r="C40" s="583"/>
      <c r="D40" s="116"/>
    </row>
    <row r="41" spans="1:4" s="25" customFormat="1" ht="13.8">
      <c r="A41" s="61">
        <v>35</v>
      </c>
      <c r="B41" s="59" t="s">
        <v>111</v>
      </c>
      <c r="C41" s="583"/>
      <c r="D41" s="116"/>
    </row>
    <row r="42" spans="1:4" s="25" customFormat="1" ht="13.8">
      <c r="A42" s="61">
        <v>36</v>
      </c>
      <c r="B42" s="60" t="s">
        <v>110</v>
      </c>
      <c r="C42" s="582">
        <f>C31-C36</f>
        <v>983535000</v>
      </c>
      <c r="D42" s="116"/>
    </row>
    <row r="43" spans="1:4" s="25" customFormat="1" ht="13.8">
      <c r="A43" s="61"/>
      <c r="B43" s="62"/>
      <c r="C43" s="583"/>
      <c r="D43" s="116"/>
    </row>
    <row r="44" spans="1:4" s="25" customFormat="1" ht="13.8">
      <c r="A44" s="61">
        <v>37</v>
      </c>
      <c r="B44" s="64" t="s">
        <v>109</v>
      </c>
      <c r="C44" s="582">
        <f>SUM(C45:C47)</f>
        <v>656742697</v>
      </c>
      <c r="D44" s="116"/>
    </row>
    <row r="45" spans="1:4" s="25" customFormat="1" ht="13.8">
      <c r="A45" s="61">
        <v>38</v>
      </c>
      <c r="B45" s="52" t="s">
        <v>108</v>
      </c>
      <c r="C45" s="583">
        <v>656742697</v>
      </c>
      <c r="D45" s="116"/>
    </row>
    <row r="46" spans="1:4" s="25" customFormat="1" ht="13.8">
      <c r="A46" s="61">
        <v>39</v>
      </c>
      <c r="B46" s="52" t="s">
        <v>107</v>
      </c>
      <c r="C46" s="583"/>
      <c r="D46" s="116"/>
    </row>
    <row r="47" spans="1:4" s="25" customFormat="1" ht="13.8">
      <c r="A47" s="61">
        <v>40</v>
      </c>
      <c r="B47" s="52" t="s">
        <v>106</v>
      </c>
      <c r="C47" s="583"/>
      <c r="D47" s="116"/>
    </row>
    <row r="48" spans="1:4" s="25" customFormat="1" ht="13.8">
      <c r="A48" s="61">
        <v>41</v>
      </c>
      <c r="B48" s="64" t="s">
        <v>105</v>
      </c>
      <c r="C48" s="582">
        <f>SUM(C49:C52)</f>
        <v>0</v>
      </c>
      <c r="D48" s="116"/>
    </row>
    <row r="49" spans="1:4" s="25" customFormat="1" ht="13.8">
      <c r="A49" s="61">
        <v>42</v>
      </c>
      <c r="B49" s="55" t="s">
        <v>104</v>
      </c>
      <c r="C49" s="583"/>
      <c r="D49" s="116"/>
    </row>
    <row r="50" spans="1:4" s="25" customFormat="1" ht="13.8">
      <c r="A50" s="61">
        <v>43</v>
      </c>
      <c r="B50" s="56" t="s">
        <v>103</v>
      </c>
      <c r="C50" s="583">
        <v>0</v>
      </c>
      <c r="D50" s="116"/>
    </row>
    <row r="51" spans="1:4" s="25" customFormat="1" ht="13.8">
      <c r="A51" s="61">
        <v>44</v>
      </c>
      <c r="B51" s="55" t="s">
        <v>102</v>
      </c>
      <c r="C51" s="583">
        <v>0</v>
      </c>
      <c r="D51" s="116"/>
    </row>
    <row r="52" spans="1:4" s="25" customFormat="1" ht="26.4">
      <c r="A52" s="61">
        <v>45</v>
      </c>
      <c r="B52" s="55" t="s">
        <v>101</v>
      </c>
      <c r="C52" s="583"/>
      <c r="D52" s="116"/>
    </row>
    <row r="53" spans="1:4" s="25" customFormat="1" ht="14.4" thickBot="1">
      <c r="A53" s="61">
        <v>46</v>
      </c>
      <c r="B53" s="65" t="s">
        <v>100</v>
      </c>
      <c r="C53" s="585">
        <f>C44-C48</f>
        <v>656742697</v>
      </c>
      <c r="D53" s="116"/>
    </row>
    <row r="56" spans="1:4">
      <c r="B56" s="4" t="s">
        <v>7</v>
      </c>
    </row>
  </sheetData>
  <dataValidations count="1">
    <dataValidation operator="lessThanOrEqual" allowBlank="1" showInputMessage="1" showErrorMessage="1" errorTitle="Should be negative number" error="Should be whole negative number or 0" sqref="C36:C53 C25:C34"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3"/>
  <sheetViews>
    <sheetView zoomScaleNormal="100" workbookViewId="0"/>
  </sheetViews>
  <sheetFormatPr defaultColWidth="9.109375" defaultRowHeight="13.8"/>
  <cols>
    <col min="1" max="1" width="9.44140625" style="162" bestFit="1" customWidth="1"/>
    <col min="2" max="2" width="59" style="162" customWidth="1"/>
    <col min="3" max="3" width="16.6640625" style="162" bestFit="1" customWidth="1"/>
    <col min="4" max="4" width="15.6640625" style="162" bestFit="1" customWidth="1"/>
    <col min="5" max="16384" width="9.109375" style="162"/>
  </cols>
  <sheetData>
    <row r="1" spans="1:4">
      <c r="A1" s="204" t="s">
        <v>30</v>
      </c>
      <c r="B1" s="3" t="str">
        <f>'Info '!C2</f>
        <v xml:space="preserve">JSC "Bank of Georgia" </v>
      </c>
    </row>
    <row r="2" spans="1:4" s="137" customFormat="1" ht="15.75" customHeight="1">
      <c r="A2" s="137" t="s">
        <v>31</v>
      </c>
      <c r="B2" s="273">
        <f>'1. key ratios '!B2</f>
        <v>45473</v>
      </c>
    </row>
    <row r="3" spans="1:4" s="137" customFormat="1" ht="15.75" customHeight="1"/>
    <row r="4" spans="1:4" ht="14.4" thickBot="1">
      <c r="A4" s="178" t="s">
        <v>280</v>
      </c>
      <c r="B4" s="212" t="s">
        <v>281</v>
      </c>
    </row>
    <row r="5" spans="1:4" s="213" customFormat="1" ht="12.75" customHeight="1">
      <c r="A5" s="261"/>
      <c r="B5" s="262" t="s">
        <v>284</v>
      </c>
      <c r="C5" s="205" t="s">
        <v>282</v>
      </c>
      <c r="D5" s="206" t="s">
        <v>283</v>
      </c>
    </row>
    <row r="6" spans="1:4" s="214" customFormat="1">
      <c r="A6" s="207">
        <v>1</v>
      </c>
      <c r="B6" s="257" t="s">
        <v>285</v>
      </c>
      <c r="C6" s="257"/>
      <c r="D6" s="208"/>
    </row>
    <row r="7" spans="1:4" s="214" customFormat="1">
      <c r="A7" s="209" t="s">
        <v>271</v>
      </c>
      <c r="B7" s="258" t="s">
        <v>286</v>
      </c>
      <c r="C7" s="586">
        <v>4.4999999999999998E-2</v>
      </c>
      <c r="D7" s="587">
        <f>C7*'[4]5. RWA'!$C$13</f>
        <v>1161018601.6086283</v>
      </c>
    </row>
    <row r="8" spans="1:4" s="214" customFormat="1">
      <c r="A8" s="209" t="s">
        <v>272</v>
      </c>
      <c r="B8" s="258" t="s">
        <v>287</v>
      </c>
      <c r="C8" s="588">
        <v>0.06</v>
      </c>
      <c r="D8" s="587">
        <f>C8*'[4]5. RWA'!$C$13</f>
        <v>1548024802.1448379</v>
      </c>
    </row>
    <row r="9" spans="1:4" s="214" customFormat="1">
      <c r="A9" s="209" t="s">
        <v>273</v>
      </c>
      <c r="B9" s="258" t="s">
        <v>288</v>
      </c>
      <c r="C9" s="588">
        <v>0.08</v>
      </c>
      <c r="D9" s="587">
        <f>C9*'[4]5. RWA'!$C$13</f>
        <v>2064033069.5264506</v>
      </c>
    </row>
    <row r="10" spans="1:4" s="214" customFormat="1">
      <c r="A10" s="207" t="s">
        <v>274</v>
      </c>
      <c r="B10" s="257" t="s">
        <v>289</v>
      </c>
      <c r="C10" s="589"/>
      <c r="D10" s="590"/>
    </row>
    <row r="11" spans="1:4" s="215" customFormat="1">
      <c r="A11" s="210" t="s">
        <v>275</v>
      </c>
      <c r="B11" s="254" t="s">
        <v>354</v>
      </c>
      <c r="C11" s="591">
        <v>2.5000000000000001E-2</v>
      </c>
      <c r="D11" s="592">
        <f>C11*'[4]5. RWA'!$C$13</f>
        <v>645010334.22701585</v>
      </c>
    </row>
    <row r="12" spans="1:4" s="215" customFormat="1">
      <c r="A12" s="210" t="s">
        <v>276</v>
      </c>
      <c r="B12" s="254" t="s">
        <v>290</v>
      </c>
      <c r="C12" s="591">
        <v>2.5000000000000001E-3</v>
      </c>
      <c r="D12" s="592">
        <f>C12*'[4]5. RWA'!$C$13</f>
        <v>64501033.422701582</v>
      </c>
    </row>
    <row r="13" spans="1:4" s="215" customFormat="1">
      <c r="A13" s="210" t="s">
        <v>277</v>
      </c>
      <c r="B13" s="254" t="s">
        <v>291</v>
      </c>
      <c r="C13" s="591">
        <v>2.5000000000000001E-2</v>
      </c>
      <c r="D13" s="592">
        <f>C13*'[4]5. RWA'!$C$13</f>
        <v>645010334.22701585</v>
      </c>
    </row>
    <row r="14" spans="1:4" s="215" customFormat="1">
      <c r="A14" s="207" t="s">
        <v>278</v>
      </c>
      <c r="B14" s="257" t="s">
        <v>351</v>
      </c>
      <c r="C14" s="593"/>
      <c r="D14" s="590"/>
    </row>
    <row r="15" spans="1:4" s="215" customFormat="1">
      <c r="A15" s="210">
        <v>3.1</v>
      </c>
      <c r="B15" s="254" t="s">
        <v>296</v>
      </c>
      <c r="C15" s="591">
        <v>4.697586638028195E-2</v>
      </c>
      <c r="D15" s="592">
        <f>C15*'[4]5. RWA'!$C$13</f>
        <v>1211996770.9819717</v>
      </c>
    </row>
    <row r="16" spans="1:4" s="215" customFormat="1">
      <c r="A16" s="210">
        <v>3.2</v>
      </c>
      <c r="B16" s="254" t="s">
        <v>297</v>
      </c>
      <c r="C16" s="591">
        <v>5.3911830912995909E-2</v>
      </c>
      <c r="D16" s="592">
        <f>C16*'[4]5. RWA'!$C$13</f>
        <v>1390947523.0392742</v>
      </c>
    </row>
    <row r="17" spans="1:6" s="214" customFormat="1">
      <c r="A17" s="210">
        <v>3.3</v>
      </c>
      <c r="B17" s="254" t="s">
        <v>298</v>
      </c>
      <c r="C17" s="591">
        <v>6.3038100034987971E-2</v>
      </c>
      <c r="D17" s="592">
        <f>C17*'[4]5. RWA'!$C$13</f>
        <v>1626409038.904146</v>
      </c>
    </row>
    <row r="18" spans="1:6" s="213" customFormat="1" ht="12.75" customHeight="1">
      <c r="A18" s="259"/>
      <c r="B18" s="260" t="s">
        <v>350</v>
      </c>
      <c r="C18" s="255" t="s">
        <v>282</v>
      </c>
      <c r="D18" s="488" t="s">
        <v>283</v>
      </c>
    </row>
    <row r="19" spans="1:6" s="214" customFormat="1">
      <c r="A19" s="211">
        <v>4</v>
      </c>
      <c r="B19" s="254" t="s">
        <v>292</v>
      </c>
      <c r="C19" s="591">
        <f>C7+C11+C12+C13+C15</f>
        <v>0.14447586638028195</v>
      </c>
      <c r="D19" s="587">
        <f>C19*'[4]5. RWA'!$C$13</f>
        <v>3727537074.4673333</v>
      </c>
    </row>
    <row r="20" spans="1:6" s="214" customFormat="1">
      <c r="A20" s="211">
        <v>5</v>
      </c>
      <c r="B20" s="254" t="s">
        <v>90</v>
      </c>
      <c r="C20" s="591">
        <f>C8+C11+C12+C13+C16</f>
        <v>0.16641183091299588</v>
      </c>
      <c r="D20" s="587">
        <f>C20*'[4]5. RWA'!$C$13</f>
        <v>4293494027.0608444</v>
      </c>
    </row>
    <row r="21" spans="1:6" s="214" customFormat="1" ht="14.4" thickBot="1">
      <c r="A21" s="216" t="s">
        <v>279</v>
      </c>
      <c r="B21" s="217" t="s">
        <v>293</v>
      </c>
      <c r="C21" s="256">
        <f>C9+C11+C12+C13+C17</f>
        <v>0.19553810003498798</v>
      </c>
      <c r="D21" s="594">
        <f>C21*'[4]5. RWA'!$C$13</f>
        <v>5044963810.3073301</v>
      </c>
    </row>
    <row r="22" spans="1:6">
      <c r="F22" s="178"/>
    </row>
    <row r="23" spans="1:6" ht="53.4">
      <c r="B23" s="177" t="s">
        <v>353</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73"/>
  <sheetViews>
    <sheetView zoomScaleNormal="100" workbookViewId="0">
      <pane xSplit="1" ySplit="5" topLeftCell="B6" activePane="bottomRight" state="frozen"/>
      <selection pane="topRight"/>
      <selection pane="bottomLeft"/>
      <selection pane="bottomRight" activeCell="B6" sqref="B6"/>
    </sheetView>
  </sheetViews>
  <sheetFormatPr defaultColWidth="9.109375" defaultRowHeight="14.4"/>
  <cols>
    <col min="1" max="1" width="10.6640625" style="4" customWidth="1"/>
    <col min="2" max="2" width="91.88671875" style="4" customWidth="1"/>
    <col min="3" max="3" width="53.109375" style="4" customWidth="1"/>
    <col min="4" max="4" width="32.33203125" style="4" customWidth="1"/>
    <col min="5" max="5" width="9.44140625" style="5" customWidth="1"/>
    <col min="10" max="16384" width="9.109375" style="5"/>
  </cols>
  <sheetData>
    <row r="1" spans="1:9">
      <c r="A1" s="2" t="s">
        <v>30</v>
      </c>
      <c r="B1" s="3" t="str">
        <f>'Info '!C2</f>
        <v xml:space="preserve">JSC "Bank of Georgia" </v>
      </c>
      <c r="E1" s="4"/>
    </row>
    <row r="2" spans="1:9" s="34" customFormat="1" ht="15.75" customHeight="1">
      <c r="A2" s="2" t="s">
        <v>31</v>
      </c>
      <c r="B2" s="273">
        <f>'1. key ratios '!B2</f>
        <v>45473</v>
      </c>
      <c r="F2"/>
      <c r="G2"/>
      <c r="H2"/>
      <c r="I2"/>
    </row>
    <row r="3" spans="1:9" s="34" customFormat="1" ht="15.75" customHeight="1">
      <c r="A3" s="66"/>
      <c r="F3"/>
      <c r="G3"/>
      <c r="H3"/>
      <c r="I3"/>
    </row>
    <row r="4" spans="1:9" s="34" customFormat="1" ht="15.75" customHeight="1" thickBot="1">
      <c r="A4" s="34" t="s">
        <v>47</v>
      </c>
      <c r="B4" s="131" t="s">
        <v>178</v>
      </c>
      <c r="D4" s="15" t="s">
        <v>35</v>
      </c>
      <c r="F4"/>
      <c r="G4"/>
      <c r="H4"/>
      <c r="I4"/>
    </row>
    <row r="5" spans="1:9" ht="26.4">
      <c r="A5" s="67" t="s">
        <v>6</v>
      </c>
      <c r="B5" s="153" t="s">
        <v>218</v>
      </c>
      <c r="C5" s="68" t="s">
        <v>658</v>
      </c>
      <c r="D5" s="69" t="s">
        <v>49</v>
      </c>
    </row>
    <row r="6" spans="1:9">
      <c r="A6" s="311">
        <v>1</v>
      </c>
      <c r="B6" s="312" t="s">
        <v>559</v>
      </c>
      <c r="C6" s="595">
        <f>SUM(C7:C9)</f>
        <v>3684485451.8122001</v>
      </c>
      <c r="D6" s="70"/>
      <c r="E6" s="71"/>
    </row>
    <row r="7" spans="1:9">
      <c r="A7" s="311">
        <v>1.1000000000000001</v>
      </c>
      <c r="B7" s="313" t="s">
        <v>560</v>
      </c>
      <c r="C7" s="596">
        <f>'[4]2. SOFP'!E8</f>
        <v>674741913.79299998</v>
      </c>
      <c r="D7" s="72"/>
      <c r="E7" s="71"/>
    </row>
    <row r="8" spans="1:9">
      <c r="A8" s="311">
        <v>1.2</v>
      </c>
      <c r="B8" s="313" t="s">
        <v>561</v>
      </c>
      <c r="C8" s="596">
        <f>'[4]2. SOFP'!E9</f>
        <v>2071250907.8854001</v>
      </c>
      <c r="D8" s="72"/>
      <c r="E8" s="71"/>
    </row>
    <row r="9" spans="1:9">
      <c r="A9" s="311">
        <v>1.3</v>
      </c>
      <c r="B9" s="313" t="s">
        <v>562</v>
      </c>
      <c r="C9" s="596">
        <f>'[4]2. SOFP'!E10</f>
        <v>938492630.13380003</v>
      </c>
      <c r="D9" s="355"/>
      <c r="E9" s="71"/>
    </row>
    <row r="10" spans="1:9">
      <c r="A10" s="311">
        <v>2</v>
      </c>
      <c r="B10" s="314" t="s">
        <v>563</v>
      </c>
      <c r="C10" s="596">
        <f>'[4]2. SOFP'!E11</f>
        <v>13923246.959999999</v>
      </c>
      <c r="D10" s="355"/>
      <c r="E10" s="71"/>
    </row>
    <row r="11" spans="1:9">
      <c r="A11" s="311">
        <v>2.1</v>
      </c>
      <c r="B11" s="315" t="s">
        <v>564</v>
      </c>
      <c r="C11" s="597">
        <f>'[4]2. SOFP'!E12</f>
        <v>13923246.959999999</v>
      </c>
      <c r="D11" s="356"/>
      <c r="E11" s="73"/>
    </row>
    <row r="12" spans="1:9">
      <c r="A12" s="311">
        <v>3</v>
      </c>
      <c r="B12" s="316" t="s">
        <v>565</v>
      </c>
      <c r="C12" s="598"/>
      <c r="D12" s="356"/>
      <c r="E12" s="73"/>
    </row>
    <row r="13" spans="1:9">
      <c r="A13" s="311">
        <v>4</v>
      </c>
      <c r="B13" s="317" t="s">
        <v>566</v>
      </c>
      <c r="C13" s="599"/>
      <c r="D13" s="356"/>
      <c r="E13" s="73"/>
    </row>
    <row r="14" spans="1:9">
      <c r="A14" s="489">
        <v>5</v>
      </c>
      <c r="B14" s="490" t="s">
        <v>567</v>
      </c>
      <c r="C14" s="599">
        <f>SUM(C15)+C17</f>
        <v>6330084672.1373005</v>
      </c>
      <c r="D14" s="356"/>
      <c r="E14" s="73"/>
    </row>
    <row r="15" spans="1:9">
      <c r="A15" s="325">
        <v>5.0999999999999996</v>
      </c>
      <c r="B15" s="477" t="s">
        <v>568</v>
      </c>
      <c r="C15" s="600">
        <f>'[4]2. SOFP'!E16</f>
        <v>7615197.8939000005</v>
      </c>
      <c r="D15" s="356"/>
      <c r="E15" s="73"/>
    </row>
    <row r="16" spans="1:9" ht="20.399999999999999">
      <c r="A16" s="348"/>
      <c r="B16" s="493" t="s">
        <v>710</v>
      </c>
      <c r="C16" s="600">
        <f>'[4]9. Capital'!C18</f>
        <v>6222994.8939000005</v>
      </c>
      <c r="D16" s="461" t="s">
        <v>748</v>
      </c>
      <c r="E16" s="71"/>
    </row>
    <row r="17" spans="1:5">
      <c r="A17" s="491">
        <v>5.2</v>
      </c>
      <c r="B17" s="492" t="s">
        <v>569</v>
      </c>
      <c r="C17" s="600">
        <f>'[4]2. SOFP'!E17</f>
        <v>6322469474.2434006</v>
      </c>
      <c r="D17" s="355"/>
      <c r="E17" s="71"/>
    </row>
    <row r="18" spans="1:5">
      <c r="A18" s="311">
        <v>5.3</v>
      </c>
      <c r="B18" s="319" t="s">
        <v>570</v>
      </c>
      <c r="C18" s="600">
        <f>'[4]2. SOFP'!E18</f>
        <v>0</v>
      </c>
      <c r="D18" s="355"/>
      <c r="E18" s="71"/>
    </row>
    <row r="19" spans="1:5">
      <c r="A19" s="311">
        <v>6</v>
      </c>
      <c r="B19" s="316" t="s">
        <v>571</v>
      </c>
      <c r="C19" s="598">
        <f>SUM(C20:C21)</f>
        <v>22250314128.503475</v>
      </c>
      <c r="D19" s="355"/>
      <c r="E19" s="71"/>
    </row>
    <row r="20" spans="1:5">
      <c r="A20" s="311">
        <v>6.1</v>
      </c>
      <c r="B20" s="318" t="s">
        <v>569</v>
      </c>
      <c r="C20" s="600">
        <f>'[4]2. SOFP'!E20</f>
        <v>598266787.51660001</v>
      </c>
      <c r="D20" s="355"/>
      <c r="E20" s="71"/>
    </row>
    <row r="21" spans="1:5">
      <c r="A21" s="311">
        <v>6.2</v>
      </c>
      <c r="B21" s="319" t="s">
        <v>570</v>
      </c>
      <c r="C21" s="600">
        <f>'[4]2. SOFP'!E21</f>
        <v>21652047340.986874</v>
      </c>
      <c r="D21" s="355"/>
      <c r="E21" s="71"/>
    </row>
    <row r="22" spans="1:5">
      <c r="A22" s="489">
        <v>7</v>
      </c>
      <c r="B22" s="320" t="s">
        <v>572</v>
      </c>
      <c r="C22" s="601">
        <f>'[4]2. SOFP'!E22</f>
        <v>397420284.64000005</v>
      </c>
      <c r="D22" s="355"/>
      <c r="E22" s="71"/>
    </row>
    <row r="23" spans="1:5">
      <c r="A23" s="325"/>
      <c r="B23" s="497" t="s">
        <v>740</v>
      </c>
      <c r="C23" s="601">
        <f>'[4]9. Capital'!C22</f>
        <v>9537977</v>
      </c>
      <c r="D23" s="461" t="s">
        <v>711</v>
      </c>
      <c r="E23" s="71"/>
    </row>
    <row r="24" spans="1:5" ht="20.399999999999999">
      <c r="A24" s="325"/>
      <c r="B24" s="350" t="str">
        <f>'9.Capital'!B24</f>
        <v>Significant investments in the common shares of commercial banks, insurance entities and other financial institutions (amount above 10% limit)</v>
      </c>
      <c r="C24" s="601"/>
      <c r="D24" s="355"/>
      <c r="E24" s="71"/>
    </row>
    <row r="25" spans="1:5">
      <c r="A25" s="491">
        <v>8</v>
      </c>
      <c r="B25" s="494" t="s">
        <v>573</v>
      </c>
      <c r="C25" s="601">
        <f>'[4]2. SOFP'!E23</f>
        <v>20066035.68</v>
      </c>
      <c r="D25" s="355"/>
      <c r="E25" s="71"/>
    </row>
    <row r="26" spans="1:5">
      <c r="A26" s="311">
        <v>9</v>
      </c>
      <c r="B26" s="317" t="s">
        <v>574</v>
      </c>
      <c r="C26" s="599">
        <f>SUM(C27:C28)</f>
        <v>640795859.77999997</v>
      </c>
      <c r="D26" s="357"/>
      <c r="E26" s="71"/>
    </row>
    <row r="27" spans="1:5">
      <c r="A27" s="311">
        <v>9.1</v>
      </c>
      <c r="B27" s="318" t="s">
        <v>575</v>
      </c>
      <c r="C27" s="602">
        <f>'[4]2. SOFP'!E25</f>
        <v>527216002.94</v>
      </c>
      <c r="D27" s="358"/>
      <c r="E27" s="71"/>
    </row>
    <row r="28" spans="1:5">
      <c r="A28" s="311">
        <v>9.1999999999999993</v>
      </c>
      <c r="B28" s="318" t="s">
        <v>576</v>
      </c>
      <c r="C28" s="602">
        <f>'[4]2. SOFP'!E26</f>
        <v>113579856.84</v>
      </c>
      <c r="D28" s="354"/>
      <c r="E28" s="75"/>
    </row>
    <row r="29" spans="1:5">
      <c r="A29" s="311">
        <v>10</v>
      </c>
      <c r="B29" s="317" t="s">
        <v>577</v>
      </c>
      <c r="C29" s="599">
        <f>SUM(C30:C31)</f>
        <v>182376834.04000002</v>
      </c>
      <c r="D29" s="498"/>
      <c r="E29" s="71"/>
    </row>
    <row r="30" spans="1:5">
      <c r="A30" s="311">
        <v>10.1</v>
      </c>
      <c r="B30" s="318" t="s">
        <v>578</v>
      </c>
      <c r="C30" s="602">
        <f>'[4]2. SOFP'!E28</f>
        <v>33331342.84</v>
      </c>
      <c r="D30" s="461" t="s">
        <v>712</v>
      </c>
      <c r="E30" s="71"/>
    </row>
    <row r="31" spans="1:5">
      <c r="A31" s="311">
        <v>10.199999999999999</v>
      </c>
      <c r="B31" s="318" t="s">
        <v>579</v>
      </c>
      <c r="C31" s="602">
        <f>'[4]2. SOFP'!E29</f>
        <v>149045491.20000002</v>
      </c>
      <c r="D31" s="461" t="s">
        <v>712</v>
      </c>
      <c r="E31" s="71"/>
    </row>
    <row r="32" spans="1:5">
      <c r="A32" s="311">
        <v>11</v>
      </c>
      <c r="B32" s="317" t="s">
        <v>580</v>
      </c>
      <c r="C32" s="599">
        <f>SUM(C33:C34)</f>
        <v>0</v>
      </c>
      <c r="D32" s="72"/>
      <c r="E32" s="71"/>
    </row>
    <row r="33" spans="1:5">
      <c r="A33" s="311">
        <v>11.1</v>
      </c>
      <c r="B33" s="318" t="s">
        <v>581</v>
      </c>
      <c r="C33" s="602">
        <f>'[4]2. SOFP'!E31</f>
        <v>0</v>
      </c>
      <c r="D33" s="72"/>
      <c r="E33" s="71"/>
    </row>
    <row r="34" spans="1:5">
      <c r="A34" s="311">
        <v>11.2</v>
      </c>
      <c r="B34" s="318" t="s">
        <v>582</v>
      </c>
      <c r="C34" s="602">
        <f>'[4]2. SOFP'!E32</f>
        <v>0</v>
      </c>
      <c r="D34" s="72"/>
      <c r="E34" s="71"/>
    </row>
    <row r="35" spans="1:5">
      <c r="A35" s="311">
        <v>13</v>
      </c>
      <c r="B35" s="317" t="s">
        <v>583</v>
      </c>
      <c r="C35" s="602">
        <f>'[4]2. SOFP'!E33</f>
        <v>621180087.22283196</v>
      </c>
      <c r="D35" s="72"/>
      <c r="E35" s="71"/>
    </row>
    <row r="36" spans="1:5">
      <c r="A36" s="311">
        <v>13.1</v>
      </c>
      <c r="B36" s="321" t="s">
        <v>584</v>
      </c>
      <c r="C36" s="603">
        <f>'[4]2. SOFP'!E34</f>
        <v>300618242.21999997</v>
      </c>
      <c r="D36" s="72"/>
      <c r="E36" s="71"/>
    </row>
    <row r="37" spans="1:5">
      <c r="A37" s="311">
        <v>13.2</v>
      </c>
      <c r="B37" s="321" t="s">
        <v>585</v>
      </c>
      <c r="C37" s="603">
        <f>'[4]2. SOFP'!E35</f>
        <v>0</v>
      </c>
      <c r="D37" s="74"/>
      <c r="E37" s="71"/>
    </row>
    <row r="38" spans="1:5">
      <c r="A38" s="311">
        <v>14</v>
      </c>
      <c r="B38" s="322" t="s">
        <v>586</v>
      </c>
      <c r="C38" s="604">
        <f>SUM(C6,C10,C12,C13,C14,C19,C22,C25,C26,C29,C32,C35)</f>
        <v>34140646600.775806</v>
      </c>
      <c r="D38" s="74"/>
      <c r="E38" s="71"/>
    </row>
    <row r="39" spans="1:5">
      <c r="A39" s="311"/>
      <c r="B39" s="323" t="s">
        <v>587</v>
      </c>
      <c r="C39" s="605"/>
      <c r="D39" s="76"/>
      <c r="E39" s="71"/>
    </row>
    <row r="40" spans="1:5">
      <c r="A40" s="311">
        <v>15</v>
      </c>
      <c r="B40" s="324" t="s">
        <v>588</v>
      </c>
      <c r="C40" s="597">
        <f>'[4]2. SOFP'!E38</f>
        <v>10646427.48</v>
      </c>
      <c r="D40" s="354"/>
      <c r="E40" s="75"/>
    </row>
    <row r="41" spans="1:5">
      <c r="A41" s="325">
        <v>15.1</v>
      </c>
      <c r="B41" s="326" t="s">
        <v>564</v>
      </c>
      <c r="C41" s="597">
        <f>'[4]2. SOFP'!E39</f>
        <v>10646427.48</v>
      </c>
      <c r="D41" s="72"/>
      <c r="E41" s="71"/>
    </row>
    <row r="42" spans="1:5">
      <c r="A42" s="325">
        <v>16</v>
      </c>
      <c r="B42" s="314" t="s">
        <v>589</v>
      </c>
      <c r="C42" s="601"/>
      <c r="D42" s="72"/>
      <c r="E42" s="71"/>
    </row>
    <row r="43" spans="1:5">
      <c r="A43" s="325">
        <v>17</v>
      </c>
      <c r="B43" s="314" t="s">
        <v>590</v>
      </c>
      <c r="C43" s="601">
        <f>SUM(C44:C47)</f>
        <v>27254888066.923302</v>
      </c>
      <c r="D43" s="72"/>
      <c r="E43" s="71"/>
    </row>
    <row r="44" spans="1:5">
      <c r="A44" s="325">
        <v>17.100000000000001</v>
      </c>
      <c r="B44" s="327" t="s">
        <v>591</v>
      </c>
      <c r="C44" s="606">
        <f>'[4]2. SOFP'!E42</f>
        <v>23696030853.223301</v>
      </c>
      <c r="D44" s="72"/>
      <c r="E44" s="71"/>
    </row>
    <row r="45" spans="1:5">
      <c r="A45" s="325">
        <v>17.2</v>
      </c>
      <c r="B45" s="328" t="s">
        <v>592</v>
      </c>
      <c r="C45" s="596">
        <f>'[4]2. SOFP'!E43</f>
        <v>3342945172.9500008</v>
      </c>
      <c r="D45" s="72"/>
      <c r="E45" s="71"/>
    </row>
    <row r="46" spans="1:5">
      <c r="A46" s="325">
        <v>17.3</v>
      </c>
      <c r="B46" s="344" t="s">
        <v>593</v>
      </c>
      <c r="C46" s="606">
        <f>'[4]2. SOFP'!E44</f>
        <v>73978411.709999993</v>
      </c>
      <c r="D46" s="74"/>
      <c r="E46" s="71"/>
    </row>
    <row r="47" spans="1:5">
      <c r="A47" s="325">
        <v>17.399999999999999</v>
      </c>
      <c r="B47" s="345" t="s">
        <v>594</v>
      </c>
      <c r="C47" s="606">
        <f>'[4]2. SOFP'!E45</f>
        <v>141933629.03999999</v>
      </c>
      <c r="D47" s="346"/>
      <c r="E47" s="71"/>
    </row>
    <row r="48" spans="1:5">
      <c r="A48" s="325">
        <v>18</v>
      </c>
      <c r="B48" s="347" t="s">
        <v>595</v>
      </c>
      <c r="C48" s="607">
        <f>'[4]2. SOFP'!E46</f>
        <v>3833064.1182000008</v>
      </c>
      <c r="D48" s="353"/>
      <c r="E48" s="75"/>
    </row>
    <row r="49" spans="1:4">
      <c r="A49" s="325">
        <v>19</v>
      </c>
      <c r="B49" s="347" t="s">
        <v>596</v>
      </c>
      <c r="C49" s="607">
        <f>SUM(C50:C51)</f>
        <v>58503314.939999998</v>
      </c>
      <c r="D49" s="348"/>
    </row>
    <row r="50" spans="1:4">
      <c r="A50" s="325">
        <v>19.100000000000001</v>
      </c>
      <c r="B50" s="349" t="s">
        <v>597</v>
      </c>
      <c r="C50" s="608">
        <f>'[4]2. SOFP'!E48</f>
        <v>37682771.149999999</v>
      </c>
      <c r="D50" s="348"/>
    </row>
    <row r="51" spans="1:4">
      <c r="A51" s="325">
        <v>19.2</v>
      </c>
      <c r="B51" s="349" t="s">
        <v>598</v>
      </c>
      <c r="C51" s="608">
        <f>'[4]2. SOFP'!E49</f>
        <v>20820543.789999999</v>
      </c>
      <c r="D51" s="348"/>
    </row>
    <row r="52" spans="1:4">
      <c r="A52" s="325">
        <v>20</v>
      </c>
      <c r="B52" s="329" t="s">
        <v>599</v>
      </c>
      <c r="C52" s="608">
        <f>'[4]2. SOFP'!E50</f>
        <v>1690902404.8799999</v>
      </c>
      <c r="D52" s="348"/>
    </row>
    <row r="53" spans="1:4">
      <c r="A53" s="325"/>
      <c r="B53" s="496" t="s">
        <v>738</v>
      </c>
      <c r="C53" s="608">
        <f>'[4]9. Capital'!C35</f>
        <v>983535000</v>
      </c>
      <c r="D53" s="461" t="s">
        <v>746</v>
      </c>
    </row>
    <row r="54" spans="1:4">
      <c r="A54" s="325"/>
      <c r="B54" s="496" t="s">
        <v>739</v>
      </c>
      <c r="C54" s="608">
        <f>'[4]9. Capital'!C45</f>
        <v>656742697</v>
      </c>
      <c r="D54" s="461" t="s">
        <v>747</v>
      </c>
    </row>
    <row r="55" spans="1:4">
      <c r="A55" s="325">
        <v>21</v>
      </c>
      <c r="B55" s="350" t="s">
        <v>600</v>
      </c>
      <c r="C55" s="608">
        <f>'[4]2. SOFP'!E51</f>
        <v>522244142.39819998</v>
      </c>
      <c r="D55" s="348"/>
    </row>
    <row r="56" spans="1:4">
      <c r="A56" s="325">
        <v>21.1</v>
      </c>
      <c r="B56" s="328" t="s">
        <v>601</v>
      </c>
      <c r="C56" s="608">
        <f>'[4]2. SOFP'!E52</f>
        <v>276039892.38999999</v>
      </c>
      <c r="D56" s="348"/>
    </row>
    <row r="57" spans="1:4">
      <c r="A57" s="325">
        <v>22</v>
      </c>
      <c r="B57" s="330" t="s">
        <v>602</v>
      </c>
      <c r="C57" s="604">
        <f>SUM(C40,C42,C43,C48,C49,C52,C55)</f>
        <v>29541017420.7397</v>
      </c>
      <c r="D57" s="348"/>
    </row>
    <row r="58" spans="1:4">
      <c r="A58" s="325"/>
      <c r="B58" s="331" t="s">
        <v>603</v>
      </c>
      <c r="C58" s="605"/>
      <c r="D58" s="348"/>
    </row>
    <row r="59" spans="1:4">
      <c r="A59" s="325">
        <v>23</v>
      </c>
      <c r="B59" s="329" t="s">
        <v>604</v>
      </c>
      <c r="C59" s="604">
        <f>'[4]2. SOFP'!E55</f>
        <v>27993660.18</v>
      </c>
      <c r="D59" s="461" t="s">
        <v>743</v>
      </c>
    </row>
    <row r="60" spans="1:4">
      <c r="A60" s="325">
        <v>24</v>
      </c>
      <c r="B60" s="329" t="s">
        <v>605</v>
      </c>
      <c r="C60" s="604">
        <f>'[4]2. SOFP'!E56</f>
        <v>0</v>
      </c>
      <c r="D60" s="348"/>
    </row>
    <row r="61" spans="1:4">
      <c r="A61" s="325">
        <v>25</v>
      </c>
      <c r="B61" s="347" t="s">
        <v>606</v>
      </c>
      <c r="C61" s="609">
        <f>'[4]2. SOFP'!E57</f>
        <v>252311118.03999999</v>
      </c>
      <c r="D61" s="461" t="s">
        <v>744</v>
      </c>
    </row>
    <row r="62" spans="1:4">
      <c r="A62" s="325">
        <v>26</v>
      </c>
      <c r="B62" s="347" t="s">
        <v>607</v>
      </c>
      <c r="C62" s="607">
        <f>'[4]2. SOFP'!E58</f>
        <v>-11366</v>
      </c>
      <c r="D62" s="461" t="s">
        <v>745</v>
      </c>
    </row>
    <row r="63" spans="1:4">
      <c r="A63" s="325">
        <v>27</v>
      </c>
      <c r="B63" s="347" t="s">
        <v>608</v>
      </c>
      <c r="C63" s="607">
        <f>'[4]2. SOFP'!E59</f>
        <v>0</v>
      </c>
      <c r="D63" s="348"/>
    </row>
    <row r="64" spans="1:4">
      <c r="A64" s="325">
        <v>27.1</v>
      </c>
      <c r="B64" s="345" t="s">
        <v>609</v>
      </c>
      <c r="C64" s="607">
        <f>'[4]2. SOFP'!E60</f>
        <v>0</v>
      </c>
      <c r="D64" s="348"/>
    </row>
    <row r="65" spans="1:4">
      <c r="A65" s="325">
        <v>27.2</v>
      </c>
      <c r="B65" s="345" t="s">
        <v>610</v>
      </c>
      <c r="C65" s="607">
        <f>'[4]2. SOFP'!E61</f>
        <v>0</v>
      </c>
      <c r="D65" s="348"/>
    </row>
    <row r="66" spans="1:4">
      <c r="A66" s="325">
        <v>28</v>
      </c>
      <c r="B66" s="332" t="s">
        <v>611</v>
      </c>
      <c r="C66" s="607">
        <f>'[4]2. SOFP'!E62</f>
        <v>-135683111.66</v>
      </c>
      <c r="D66" s="348"/>
    </row>
    <row r="67" spans="1:4">
      <c r="A67" s="325">
        <v>29</v>
      </c>
      <c r="B67" s="347" t="s">
        <v>612</v>
      </c>
      <c r="C67" s="607">
        <f>SUM(C68:C70)</f>
        <v>-17840140.470000003</v>
      </c>
      <c r="D67" s="348"/>
    </row>
    <row r="68" spans="1:4">
      <c r="A68" s="325">
        <v>29.1</v>
      </c>
      <c r="B68" s="351" t="s">
        <v>613</v>
      </c>
      <c r="C68" s="600">
        <f>'[4]2. SOFP'!E64</f>
        <v>2358668.17</v>
      </c>
      <c r="D68" s="348"/>
    </row>
    <row r="69" spans="1:4">
      <c r="A69" s="325">
        <v>29.2</v>
      </c>
      <c r="B69" s="359" t="s">
        <v>614</v>
      </c>
      <c r="C69" s="610">
        <f>'[4]2. SOFP'!E65</f>
        <v>2062925.87</v>
      </c>
      <c r="D69" s="461" t="s">
        <v>741</v>
      </c>
    </row>
    <row r="70" spans="1:4">
      <c r="A70" s="325">
        <v>29.3</v>
      </c>
      <c r="B70" s="359" t="s">
        <v>615</v>
      </c>
      <c r="C70" s="602">
        <f>'[4]2. SOFP'!E66</f>
        <v>-22261734.510000002</v>
      </c>
      <c r="D70" s="461" t="s">
        <v>741</v>
      </c>
    </row>
    <row r="71" spans="1:4">
      <c r="A71" s="325">
        <v>30</v>
      </c>
      <c r="B71" s="333" t="s">
        <v>616</v>
      </c>
      <c r="C71" s="599">
        <f>'[4]2. SOFP'!E67</f>
        <v>4472859020.153944</v>
      </c>
      <c r="D71" s="461" t="s">
        <v>741</v>
      </c>
    </row>
    <row r="72" spans="1:4">
      <c r="A72" s="325">
        <v>31</v>
      </c>
      <c r="B72" s="352" t="s">
        <v>617</v>
      </c>
      <c r="C72" s="611">
        <f>SUM(C59,C60,C61,C62,C63,C66,C67,C71)</f>
        <v>4599629180.2439442</v>
      </c>
      <c r="D72" s="461" t="s">
        <v>742</v>
      </c>
    </row>
    <row r="73" spans="1:4" ht="15" thickBot="1">
      <c r="A73" s="325">
        <v>32</v>
      </c>
      <c r="B73" s="333" t="s">
        <v>618</v>
      </c>
      <c r="C73" s="612">
        <f>SUM(C57,C72)</f>
        <v>34140646600.983643</v>
      </c>
      <c r="D73" s="348"/>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4"/>
  <sheetViews>
    <sheetView zoomScaleNormal="100" workbookViewId="0">
      <pane xSplit="1" ySplit="4" topLeftCell="B5" activePane="bottomRight" state="frozen"/>
      <selection pane="topRight"/>
      <selection pane="bottomLeft"/>
      <selection pane="bottomRight" activeCell="B5" sqref="B5"/>
    </sheetView>
  </sheetViews>
  <sheetFormatPr defaultColWidth="9.109375" defaultRowHeight="13.2"/>
  <cols>
    <col min="1" max="1" width="10.5546875" style="4" bestFit="1" customWidth="1"/>
    <col min="2" max="2" width="95" style="4" customWidth="1"/>
    <col min="3" max="3" width="13" style="4" bestFit="1" customWidth="1"/>
    <col min="4" max="4" width="16.44140625" style="4" bestFit="1" customWidth="1"/>
    <col min="5" max="5" width="13" style="4" bestFit="1" customWidth="1"/>
    <col min="6" max="6" width="16.44140625" style="4" bestFit="1" customWidth="1"/>
    <col min="7" max="7" width="13" style="4" bestFit="1" customWidth="1"/>
    <col min="8" max="8" width="13.33203125" style="4" bestFit="1" customWidth="1"/>
    <col min="9" max="9" width="13" style="4" bestFit="1" customWidth="1"/>
    <col min="10" max="10" width="13.33203125" style="4" bestFit="1" customWidth="1"/>
    <col min="11" max="11" width="13" style="4" bestFit="1" customWidth="1"/>
    <col min="12" max="16" width="13" style="14" bestFit="1" customWidth="1"/>
    <col min="17" max="17" width="14.6640625" style="14" customWidth="1"/>
    <col min="18" max="18" width="13" style="14" bestFit="1" customWidth="1"/>
    <col min="19" max="19" width="34.88671875" style="14" customWidth="1"/>
    <col min="20" max="16384" width="9.109375" style="14"/>
  </cols>
  <sheetData>
    <row r="1" spans="1:19">
      <c r="A1" s="2" t="s">
        <v>30</v>
      </c>
      <c r="B1" s="3" t="str">
        <f>'Info '!C2</f>
        <v xml:space="preserve">JSC "Bank of Georgia" </v>
      </c>
    </row>
    <row r="2" spans="1:19">
      <c r="A2" s="2" t="s">
        <v>31</v>
      </c>
      <c r="B2" s="273">
        <f>'1. key ratios '!B2</f>
        <v>45473</v>
      </c>
    </row>
    <row r="4" spans="1:19" ht="27" thickBot="1">
      <c r="A4" s="4" t="s">
        <v>146</v>
      </c>
      <c r="B4" s="169" t="s">
        <v>251</v>
      </c>
    </row>
    <row r="5" spans="1:19" s="160" customFormat="1" ht="13.8">
      <c r="A5" s="155"/>
      <c r="B5" s="156"/>
      <c r="C5" s="157" t="s">
        <v>0</v>
      </c>
      <c r="D5" s="157" t="s">
        <v>1</v>
      </c>
      <c r="E5" s="157" t="s">
        <v>2</v>
      </c>
      <c r="F5" s="157" t="s">
        <v>3</v>
      </c>
      <c r="G5" s="157" t="s">
        <v>4</v>
      </c>
      <c r="H5" s="157" t="s">
        <v>5</v>
      </c>
      <c r="I5" s="157" t="s">
        <v>8</v>
      </c>
      <c r="J5" s="157" t="s">
        <v>9</v>
      </c>
      <c r="K5" s="157" t="s">
        <v>10</v>
      </c>
      <c r="L5" s="157" t="s">
        <v>11</v>
      </c>
      <c r="M5" s="157" t="s">
        <v>12</v>
      </c>
      <c r="N5" s="157" t="s">
        <v>13</v>
      </c>
      <c r="O5" s="157" t="s">
        <v>235</v>
      </c>
      <c r="P5" s="157" t="s">
        <v>236</v>
      </c>
      <c r="Q5" s="157" t="s">
        <v>237</v>
      </c>
      <c r="R5" s="158" t="s">
        <v>238</v>
      </c>
      <c r="S5" s="159" t="s">
        <v>239</v>
      </c>
    </row>
    <row r="6" spans="1:19" s="160" customFormat="1" ht="99" customHeight="1">
      <c r="A6" s="161"/>
      <c r="B6" s="744" t="s">
        <v>240</v>
      </c>
      <c r="C6" s="740">
        <v>0</v>
      </c>
      <c r="D6" s="741"/>
      <c r="E6" s="740">
        <v>0.2</v>
      </c>
      <c r="F6" s="741"/>
      <c r="G6" s="740">
        <v>0.35</v>
      </c>
      <c r="H6" s="741"/>
      <c r="I6" s="740">
        <v>0.5</v>
      </c>
      <c r="J6" s="741"/>
      <c r="K6" s="740">
        <v>0.75</v>
      </c>
      <c r="L6" s="741"/>
      <c r="M6" s="740">
        <v>1</v>
      </c>
      <c r="N6" s="741"/>
      <c r="O6" s="740">
        <v>1.5</v>
      </c>
      <c r="P6" s="741"/>
      <c r="Q6" s="740">
        <v>2.5</v>
      </c>
      <c r="R6" s="741"/>
      <c r="S6" s="742" t="s">
        <v>145</v>
      </c>
    </row>
    <row r="7" spans="1:19" s="160" customFormat="1" ht="30.75" customHeight="1">
      <c r="A7" s="161"/>
      <c r="B7" s="745"/>
      <c r="C7" s="152" t="s">
        <v>148</v>
      </c>
      <c r="D7" s="152" t="s">
        <v>147</v>
      </c>
      <c r="E7" s="152" t="s">
        <v>148</v>
      </c>
      <c r="F7" s="152" t="s">
        <v>147</v>
      </c>
      <c r="G7" s="152" t="s">
        <v>148</v>
      </c>
      <c r="H7" s="152" t="s">
        <v>147</v>
      </c>
      <c r="I7" s="152" t="s">
        <v>148</v>
      </c>
      <c r="J7" s="152" t="s">
        <v>147</v>
      </c>
      <c r="K7" s="152" t="s">
        <v>148</v>
      </c>
      <c r="L7" s="152" t="s">
        <v>147</v>
      </c>
      <c r="M7" s="152" t="s">
        <v>148</v>
      </c>
      <c r="N7" s="152" t="s">
        <v>147</v>
      </c>
      <c r="O7" s="152" t="s">
        <v>148</v>
      </c>
      <c r="P7" s="152" t="s">
        <v>147</v>
      </c>
      <c r="Q7" s="152" t="s">
        <v>148</v>
      </c>
      <c r="R7" s="152" t="s">
        <v>147</v>
      </c>
      <c r="S7" s="743"/>
    </row>
    <row r="8" spans="1:19" s="78" customFormat="1" ht="13.8">
      <c r="A8" s="77">
        <v>1</v>
      </c>
      <c r="B8" s="1" t="s">
        <v>51</v>
      </c>
      <c r="C8" s="613">
        <v>5940571257.0573006</v>
      </c>
      <c r="D8" s="613"/>
      <c r="E8" s="613">
        <v>0</v>
      </c>
      <c r="F8" s="614"/>
      <c r="G8" s="613"/>
      <c r="H8" s="613"/>
      <c r="I8" s="613">
        <v>0</v>
      </c>
      <c r="J8" s="613"/>
      <c r="K8" s="613">
        <v>0.35</v>
      </c>
      <c r="L8" s="613"/>
      <c r="M8" s="613">
        <v>1917416831.7881</v>
      </c>
      <c r="N8" s="613"/>
      <c r="O8" s="613">
        <v>0</v>
      </c>
      <c r="P8" s="613"/>
      <c r="Q8" s="613">
        <v>0</v>
      </c>
      <c r="R8" s="614"/>
      <c r="S8" s="615">
        <f>$C$6*SUM(C8:D8)+$E$6*SUM(E8:F8)+$G$6*SUM(G8:H8)+$I$6*SUM(I8:J8)+$K$6*SUM(K8:L8)+$M$6*SUM(M8:N8)+$O$6*SUM(O8:P8)+$Q$6*SUM(Q8:R8)</f>
        <v>1917416832.0506001</v>
      </c>
    </row>
    <row r="9" spans="1:19" s="78" customFormat="1" ht="13.8">
      <c r="A9" s="77">
        <v>2</v>
      </c>
      <c r="B9" s="1" t="s">
        <v>52</v>
      </c>
      <c r="C9" s="613">
        <v>0</v>
      </c>
      <c r="D9" s="613"/>
      <c r="E9" s="613">
        <v>0</v>
      </c>
      <c r="F9" s="613"/>
      <c r="G9" s="613"/>
      <c r="H9" s="613"/>
      <c r="I9" s="613">
        <v>0</v>
      </c>
      <c r="J9" s="613"/>
      <c r="K9" s="613">
        <v>0</v>
      </c>
      <c r="L9" s="613"/>
      <c r="M9" s="613">
        <v>0</v>
      </c>
      <c r="N9" s="613"/>
      <c r="O9" s="613">
        <v>0</v>
      </c>
      <c r="P9" s="613"/>
      <c r="Q9" s="613">
        <v>0</v>
      </c>
      <c r="R9" s="614"/>
      <c r="S9" s="615">
        <f t="shared" ref="S9:S21" si="0">$C$6*SUM(C9:D9)+$E$6*SUM(E9:F9)+$G$6*SUM(G9:H9)+$I$6*SUM(I9:J9)+$K$6*SUM(K9:L9)+$M$6*SUM(M9:N9)+$O$6*SUM(O9:P9)+$Q$6*SUM(Q9:R9)</f>
        <v>0</v>
      </c>
    </row>
    <row r="10" spans="1:19" s="78" customFormat="1" ht="13.8">
      <c r="A10" s="77">
        <v>3</v>
      </c>
      <c r="B10" s="1" t="s">
        <v>164</v>
      </c>
      <c r="C10" s="613">
        <v>0</v>
      </c>
      <c r="D10" s="613"/>
      <c r="E10" s="613">
        <v>0</v>
      </c>
      <c r="F10" s="613"/>
      <c r="G10" s="613"/>
      <c r="H10" s="613"/>
      <c r="I10" s="613">
        <v>0</v>
      </c>
      <c r="J10" s="613"/>
      <c r="K10" s="613">
        <v>0</v>
      </c>
      <c r="L10" s="613"/>
      <c r="M10" s="613">
        <v>0</v>
      </c>
      <c r="N10" s="613"/>
      <c r="O10" s="613">
        <v>0</v>
      </c>
      <c r="P10" s="613"/>
      <c r="Q10" s="613">
        <v>0</v>
      </c>
      <c r="R10" s="614"/>
      <c r="S10" s="615">
        <f t="shared" si="0"/>
        <v>0</v>
      </c>
    </row>
    <row r="11" spans="1:19" s="78" customFormat="1" ht="13.8">
      <c r="A11" s="77">
        <v>4</v>
      </c>
      <c r="B11" s="1" t="s">
        <v>53</v>
      </c>
      <c r="C11" s="613">
        <v>975106737.50999999</v>
      </c>
      <c r="D11" s="613"/>
      <c r="E11" s="613">
        <v>0</v>
      </c>
      <c r="F11" s="613"/>
      <c r="G11" s="613"/>
      <c r="H11" s="613"/>
      <c r="I11" s="613">
        <v>0</v>
      </c>
      <c r="J11" s="613"/>
      <c r="K11" s="613">
        <v>0</v>
      </c>
      <c r="L11" s="613"/>
      <c r="M11" s="613">
        <v>0</v>
      </c>
      <c r="N11" s="613"/>
      <c r="O11" s="613">
        <v>0</v>
      </c>
      <c r="P11" s="613"/>
      <c r="Q11" s="613">
        <v>0</v>
      </c>
      <c r="R11" s="614"/>
      <c r="S11" s="615">
        <f t="shared" si="0"/>
        <v>0</v>
      </c>
    </row>
    <row r="12" spans="1:19" s="78" customFormat="1" ht="13.8">
      <c r="A12" s="77">
        <v>5</v>
      </c>
      <c r="B12" s="1" t="s">
        <v>54</v>
      </c>
      <c r="C12" s="613">
        <v>0</v>
      </c>
      <c r="D12" s="613"/>
      <c r="E12" s="613">
        <v>0</v>
      </c>
      <c r="F12" s="613"/>
      <c r="G12" s="613"/>
      <c r="H12" s="613"/>
      <c r="I12" s="613">
        <v>0</v>
      </c>
      <c r="J12" s="613"/>
      <c r="K12" s="613">
        <v>0</v>
      </c>
      <c r="L12" s="613"/>
      <c r="M12" s="613">
        <v>0</v>
      </c>
      <c r="N12" s="613"/>
      <c r="O12" s="613">
        <v>0</v>
      </c>
      <c r="P12" s="613"/>
      <c r="Q12" s="613">
        <v>0</v>
      </c>
      <c r="R12" s="614"/>
      <c r="S12" s="615">
        <f t="shared" si="0"/>
        <v>0</v>
      </c>
    </row>
    <row r="13" spans="1:19" s="78" customFormat="1" ht="13.8">
      <c r="A13" s="77">
        <v>6</v>
      </c>
      <c r="B13" s="1" t="s">
        <v>55</v>
      </c>
      <c r="C13" s="613">
        <v>0</v>
      </c>
      <c r="D13" s="613"/>
      <c r="E13" s="613">
        <v>902727570.31060004</v>
      </c>
      <c r="F13" s="613"/>
      <c r="G13" s="613">
        <v>0</v>
      </c>
      <c r="H13" s="613"/>
      <c r="I13" s="613">
        <v>14945342.498199999</v>
      </c>
      <c r="J13" s="613"/>
      <c r="K13" s="613">
        <v>0</v>
      </c>
      <c r="L13" s="613"/>
      <c r="M13" s="613">
        <v>60004193.669500001</v>
      </c>
      <c r="N13" s="613"/>
      <c r="O13" s="613">
        <v>0</v>
      </c>
      <c r="P13" s="613"/>
      <c r="Q13" s="613">
        <v>0</v>
      </c>
      <c r="R13" s="614"/>
      <c r="S13" s="615">
        <f t="shared" si="0"/>
        <v>248022378.98072001</v>
      </c>
    </row>
    <row r="14" spans="1:19" s="78" customFormat="1" ht="13.8">
      <c r="A14" s="77">
        <v>7</v>
      </c>
      <c r="B14" s="1" t="s">
        <v>56</v>
      </c>
      <c r="C14" s="613"/>
      <c r="D14" s="613"/>
      <c r="E14" s="613">
        <v>0</v>
      </c>
      <c r="F14" s="613"/>
      <c r="G14" s="613">
        <v>0</v>
      </c>
      <c r="H14" s="613"/>
      <c r="I14" s="613">
        <v>0</v>
      </c>
      <c r="J14" s="613"/>
      <c r="K14" s="613">
        <v>0</v>
      </c>
      <c r="L14" s="613"/>
      <c r="M14" s="613">
        <v>9287322853.6995983</v>
      </c>
      <c r="N14" s="613">
        <v>1146081138.8784502</v>
      </c>
      <c r="O14" s="613">
        <v>0</v>
      </c>
      <c r="P14" s="613"/>
      <c r="Q14" s="613">
        <v>0</v>
      </c>
      <c r="R14" s="614"/>
      <c r="S14" s="615">
        <f t="shared" si="0"/>
        <v>10433403992.578049</v>
      </c>
    </row>
    <row r="15" spans="1:19" s="78" customFormat="1" ht="13.8">
      <c r="A15" s="77">
        <v>8</v>
      </c>
      <c r="B15" s="1" t="s">
        <v>57</v>
      </c>
      <c r="C15" s="613"/>
      <c r="D15" s="613"/>
      <c r="E15" s="613"/>
      <c r="F15" s="613"/>
      <c r="G15" s="613">
        <v>0</v>
      </c>
      <c r="H15" s="613"/>
      <c r="I15" s="613">
        <v>0</v>
      </c>
      <c r="J15" s="613"/>
      <c r="K15" s="613">
        <v>7950541678.3919001</v>
      </c>
      <c r="L15" s="613">
        <v>121565466.54630001</v>
      </c>
      <c r="M15" s="613">
        <v>0</v>
      </c>
      <c r="N15" s="613">
        <v>0</v>
      </c>
      <c r="O15" s="613"/>
      <c r="P15" s="613"/>
      <c r="Q15" s="613">
        <v>0</v>
      </c>
      <c r="R15" s="614"/>
      <c r="S15" s="615">
        <f t="shared" si="0"/>
        <v>6054080358.7036495</v>
      </c>
    </row>
    <row r="16" spans="1:19" s="78" customFormat="1" ht="13.8">
      <c r="A16" s="77">
        <v>9</v>
      </c>
      <c r="B16" s="1" t="s">
        <v>58</v>
      </c>
      <c r="C16" s="613"/>
      <c r="D16" s="613"/>
      <c r="E16" s="613"/>
      <c r="F16" s="613"/>
      <c r="G16" s="613">
        <v>4132186948.2146001</v>
      </c>
      <c r="H16" s="613"/>
      <c r="I16" s="613">
        <v>0</v>
      </c>
      <c r="J16" s="613"/>
      <c r="K16" s="613">
        <v>0</v>
      </c>
      <c r="L16" s="613"/>
      <c r="M16" s="613">
        <v>0</v>
      </c>
      <c r="N16" s="613"/>
      <c r="O16" s="613">
        <v>0</v>
      </c>
      <c r="P16" s="613"/>
      <c r="Q16" s="613">
        <v>0</v>
      </c>
      <c r="R16" s="614"/>
      <c r="S16" s="615">
        <f t="shared" si="0"/>
        <v>1446265431.8751099</v>
      </c>
    </row>
    <row r="17" spans="1:19" s="78" customFormat="1" ht="13.8">
      <c r="A17" s="77">
        <v>10</v>
      </c>
      <c r="B17" s="1" t="s">
        <v>59</v>
      </c>
      <c r="C17" s="613"/>
      <c r="D17" s="613"/>
      <c r="E17" s="613"/>
      <c r="F17" s="613"/>
      <c r="G17" s="613">
        <v>0</v>
      </c>
      <c r="H17" s="613"/>
      <c r="I17" s="613">
        <v>8639251.1835999861</v>
      </c>
      <c r="J17" s="613"/>
      <c r="K17" s="613">
        <v>0</v>
      </c>
      <c r="L17" s="613"/>
      <c r="M17" s="613">
        <v>100013536.0256</v>
      </c>
      <c r="N17" s="613"/>
      <c r="O17" s="613">
        <v>45902581.9089</v>
      </c>
      <c r="P17" s="613"/>
      <c r="Q17" s="613">
        <v>0</v>
      </c>
      <c r="R17" s="614"/>
      <c r="S17" s="615">
        <f t="shared" si="0"/>
        <v>173187034.48074999</v>
      </c>
    </row>
    <row r="18" spans="1:19" s="78" customFormat="1" ht="13.8">
      <c r="A18" s="77">
        <v>11</v>
      </c>
      <c r="B18" s="1" t="s">
        <v>60</v>
      </c>
      <c r="C18" s="613"/>
      <c r="D18" s="613"/>
      <c r="E18" s="613"/>
      <c r="F18" s="613"/>
      <c r="G18" s="613">
        <v>0</v>
      </c>
      <c r="H18" s="613"/>
      <c r="I18" s="613">
        <v>0</v>
      </c>
      <c r="J18" s="613"/>
      <c r="K18" s="613">
        <v>0</v>
      </c>
      <c r="L18" s="613"/>
      <c r="M18" s="613">
        <v>209494112.9413</v>
      </c>
      <c r="N18" s="613"/>
      <c r="O18" s="613">
        <v>51365209.089000002</v>
      </c>
      <c r="P18" s="613"/>
      <c r="Q18" s="613">
        <v>46833346.997011699</v>
      </c>
      <c r="R18" s="614"/>
      <c r="S18" s="615">
        <f t="shared" si="0"/>
        <v>403625294.06732929</v>
      </c>
    </row>
    <row r="19" spans="1:19" s="78" customFormat="1" ht="13.8">
      <c r="A19" s="77">
        <v>12</v>
      </c>
      <c r="B19" s="1" t="s">
        <v>61</v>
      </c>
      <c r="C19" s="613"/>
      <c r="D19" s="613"/>
      <c r="E19" s="613"/>
      <c r="F19" s="613"/>
      <c r="G19" s="613">
        <v>0</v>
      </c>
      <c r="H19" s="613"/>
      <c r="I19" s="613">
        <v>0</v>
      </c>
      <c r="J19" s="613"/>
      <c r="K19" s="613">
        <v>0</v>
      </c>
      <c r="L19" s="613"/>
      <c r="M19" s="613">
        <v>0</v>
      </c>
      <c r="N19" s="613"/>
      <c r="O19" s="613">
        <v>0</v>
      </c>
      <c r="P19" s="613"/>
      <c r="Q19" s="613">
        <v>0</v>
      </c>
      <c r="R19" s="614"/>
      <c r="S19" s="615">
        <f t="shared" si="0"/>
        <v>0</v>
      </c>
    </row>
    <row r="20" spans="1:19" s="78" customFormat="1" ht="13.8">
      <c r="A20" s="77">
        <v>13</v>
      </c>
      <c r="B20" s="1" t="s">
        <v>144</v>
      </c>
      <c r="C20" s="613"/>
      <c r="D20" s="613"/>
      <c r="E20" s="613"/>
      <c r="F20" s="613"/>
      <c r="G20" s="613">
        <v>0</v>
      </c>
      <c r="H20" s="613"/>
      <c r="I20" s="613">
        <v>0</v>
      </c>
      <c r="J20" s="613"/>
      <c r="K20" s="613">
        <v>0</v>
      </c>
      <c r="L20" s="613"/>
      <c r="M20" s="613">
        <v>0</v>
      </c>
      <c r="N20" s="613"/>
      <c r="O20" s="613">
        <v>0</v>
      </c>
      <c r="P20" s="613"/>
      <c r="Q20" s="613">
        <v>0</v>
      </c>
      <c r="R20" s="614"/>
      <c r="S20" s="615">
        <f t="shared" si="0"/>
        <v>0</v>
      </c>
    </row>
    <row r="21" spans="1:19" s="78" customFormat="1" ht="13.8">
      <c r="A21" s="77">
        <v>14</v>
      </c>
      <c r="B21" s="1" t="s">
        <v>63</v>
      </c>
      <c r="C21" s="613">
        <v>674741913.79299998</v>
      </c>
      <c r="D21" s="613"/>
      <c r="E21" s="613"/>
      <c r="F21" s="613"/>
      <c r="G21" s="613">
        <v>0</v>
      </c>
      <c r="H21" s="613"/>
      <c r="I21" s="613">
        <v>0</v>
      </c>
      <c r="J21" s="613"/>
      <c r="K21" s="613">
        <v>0</v>
      </c>
      <c r="L21" s="613"/>
      <c r="M21" s="613">
        <v>1233062250.9536979</v>
      </c>
      <c r="N21" s="613"/>
      <c r="O21" s="613">
        <v>0</v>
      </c>
      <c r="P21" s="613"/>
      <c r="Q21" s="613">
        <v>389274510.64000005</v>
      </c>
      <c r="R21" s="614"/>
      <c r="S21" s="615">
        <f t="shared" si="0"/>
        <v>2206248527.5536981</v>
      </c>
    </row>
    <row r="22" spans="1:19" ht="14.4" thickBot="1">
      <c r="A22" s="79"/>
      <c r="B22" s="80" t="s">
        <v>64</v>
      </c>
      <c r="C22" s="167">
        <f>SUM(C8:C21)</f>
        <v>7590419908.360301</v>
      </c>
      <c r="D22" s="167">
        <f t="shared" ref="D22:S22" si="1">SUM(D8:D21)</f>
        <v>0</v>
      </c>
      <c r="E22" s="167">
        <f t="shared" si="1"/>
        <v>902727570.31060004</v>
      </c>
      <c r="F22" s="167">
        <f t="shared" si="1"/>
        <v>0</v>
      </c>
      <c r="G22" s="167">
        <f t="shared" si="1"/>
        <v>4132186948.2146001</v>
      </c>
      <c r="H22" s="167">
        <f t="shared" si="1"/>
        <v>0</v>
      </c>
      <c r="I22" s="167">
        <f t="shared" si="1"/>
        <v>23584593.681799985</v>
      </c>
      <c r="J22" s="167">
        <f t="shared" si="1"/>
        <v>0</v>
      </c>
      <c r="K22" s="167">
        <f t="shared" si="1"/>
        <v>7950541678.7419004</v>
      </c>
      <c r="L22" s="167">
        <f t="shared" si="1"/>
        <v>121565466.54630001</v>
      </c>
      <c r="M22" s="167">
        <f t="shared" si="1"/>
        <v>12807313779.077795</v>
      </c>
      <c r="N22" s="167">
        <f t="shared" si="1"/>
        <v>1146081138.8784502</v>
      </c>
      <c r="O22" s="167">
        <f t="shared" si="1"/>
        <v>97267790.997900009</v>
      </c>
      <c r="P22" s="167">
        <f t="shared" si="1"/>
        <v>0</v>
      </c>
      <c r="Q22" s="167">
        <f t="shared" si="1"/>
        <v>436107857.63701177</v>
      </c>
      <c r="R22" s="167">
        <f t="shared" si="1"/>
        <v>0</v>
      </c>
      <c r="S22" s="616">
        <f t="shared" si="1"/>
        <v>22882249850.289909</v>
      </c>
    </row>
    <row r="24" spans="1:19">
      <c r="C24" s="116"/>
      <c r="D24" s="116"/>
      <c r="E24" s="116"/>
      <c r="F24" s="116"/>
      <c r="G24" s="116"/>
      <c r="H24" s="116"/>
      <c r="I24" s="116"/>
      <c r="J24" s="116"/>
      <c r="K24" s="116"/>
      <c r="L24" s="116"/>
      <c r="M24" s="116"/>
      <c r="N24" s="116"/>
      <c r="O24" s="116"/>
      <c r="P24" s="116"/>
      <c r="Q24" s="116"/>
      <c r="R24" s="116"/>
      <c r="S24" s="116"/>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28"/>
  <sheetViews>
    <sheetView zoomScaleNormal="100" workbookViewId="0">
      <pane xSplit="2" ySplit="6" topLeftCell="C7" activePane="bottomRight" state="frozen"/>
      <selection pane="topRight"/>
      <selection pane="bottomLeft"/>
      <selection pane="bottomRight" activeCell="C7" sqref="C7"/>
    </sheetView>
  </sheetViews>
  <sheetFormatPr defaultColWidth="9.109375" defaultRowHeight="13.2"/>
  <cols>
    <col min="1" max="1" width="10.5546875" style="4" bestFit="1" customWidth="1"/>
    <col min="2" max="2" width="63.6640625" style="4" bestFit="1" customWidth="1"/>
    <col min="3" max="3" width="19" style="4" customWidth="1"/>
    <col min="4" max="4" width="19.5546875" style="4" customWidth="1"/>
    <col min="5" max="5" width="31.109375" style="4" customWidth="1"/>
    <col min="6" max="6" width="29.109375" style="4" customWidth="1"/>
    <col min="7" max="7" width="28.5546875" style="4" customWidth="1"/>
    <col min="8" max="8" width="26.44140625" style="4" customWidth="1"/>
    <col min="9" max="9" width="23.6640625" style="4" customWidth="1"/>
    <col min="10" max="10" width="21.5546875" style="4" customWidth="1"/>
    <col min="11" max="11" width="15.6640625" style="4" customWidth="1"/>
    <col min="12" max="12" width="13.33203125" style="4" customWidth="1"/>
    <col min="13" max="13" width="20.88671875" style="4" customWidth="1"/>
    <col min="14" max="14" width="19.33203125" style="4" customWidth="1"/>
    <col min="15" max="15" width="18.44140625" style="4" customWidth="1"/>
    <col min="16" max="16" width="19" style="4" customWidth="1"/>
    <col min="17" max="17" width="20.33203125" style="4" customWidth="1"/>
    <col min="18" max="18" width="18" style="4" customWidth="1"/>
    <col min="19" max="19" width="36" style="4" customWidth="1"/>
    <col min="20" max="20" width="26.109375" style="4" customWidth="1"/>
    <col min="21" max="21" width="24.88671875" style="4" customWidth="1"/>
    <col min="22" max="22" width="20" style="4" customWidth="1"/>
    <col min="23" max="16384" width="9.109375" style="14"/>
  </cols>
  <sheetData>
    <row r="1" spans="1:22">
      <c r="A1" s="2" t="s">
        <v>30</v>
      </c>
      <c r="B1" s="3" t="str">
        <f>'Info '!C2</f>
        <v xml:space="preserve">JSC "Bank of Georgia" </v>
      </c>
    </row>
    <row r="2" spans="1:22">
      <c r="A2" s="2" t="s">
        <v>31</v>
      </c>
      <c r="B2" s="273">
        <f>'1. key ratios '!B2</f>
        <v>45473</v>
      </c>
    </row>
    <row r="4" spans="1:22" ht="13.8" thickBot="1">
      <c r="A4" s="4" t="s">
        <v>243</v>
      </c>
      <c r="B4" s="81" t="s">
        <v>50</v>
      </c>
      <c r="V4" s="15" t="s">
        <v>35</v>
      </c>
    </row>
    <row r="5" spans="1:22" ht="12.75" customHeight="1">
      <c r="A5" s="82"/>
      <c r="B5" s="83"/>
      <c r="C5" s="746" t="s">
        <v>169</v>
      </c>
      <c r="D5" s="747"/>
      <c r="E5" s="747"/>
      <c r="F5" s="747"/>
      <c r="G5" s="747"/>
      <c r="H5" s="747"/>
      <c r="I5" s="747"/>
      <c r="J5" s="747"/>
      <c r="K5" s="747"/>
      <c r="L5" s="748"/>
      <c r="M5" s="749" t="s">
        <v>170</v>
      </c>
      <c r="N5" s="750"/>
      <c r="O5" s="750"/>
      <c r="P5" s="750"/>
      <c r="Q5" s="750"/>
      <c r="R5" s="750"/>
      <c r="S5" s="751"/>
      <c r="T5" s="754" t="s">
        <v>241</v>
      </c>
      <c r="U5" s="754" t="s">
        <v>242</v>
      </c>
      <c r="V5" s="752" t="s">
        <v>76</v>
      </c>
    </row>
    <row r="6" spans="1:22" s="44" customFormat="1" ht="105.6">
      <c r="A6" s="41"/>
      <c r="B6" s="84"/>
      <c r="C6" s="85" t="s">
        <v>65</v>
      </c>
      <c r="D6" s="134" t="s">
        <v>66</v>
      </c>
      <c r="E6" s="105" t="s">
        <v>172</v>
      </c>
      <c r="F6" s="105" t="s">
        <v>173</v>
      </c>
      <c r="G6" s="134" t="s">
        <v>176</v>
      </c>
      <c r="H6" s="134" t="s">
        <v>171</v>
      </c>
      <c r="I6" s="134" t="s">
        <v>67</v>
      </c>
      <c r="J6" s="134" t="s">
        <v>68</v>
      </c>
      <c r="K6" s="86" t="s">
        <v>69</v>
      </c>
      <c r="L6" s="87" t="s">
        <v>70</v>
      </c>
      <c r="M6" s="85" t="s">
        <v>174</v>
      </c>
      <c r="N6" s="86" t="s">
        <v>71</v>
      </c>
      <c r="O6" s="86" t="s">
        <v>72</v>
      </c>
      <c r="P6" s="86" t="s">
        <v>73</v>
      </c>
      <c r="Q6" s="86" t="s">
        <v>74</v>
      </c>
      <c r="R6" s="86" t="s">
        <v>75</v>
      </c>
      <c r="S6" s="154" t="s">
        <v>175</v>
      </c>
      <c r="T6" s="755"/>
      <c r="U6" s="755"/>
      <c r="V6" s="753"/>
    </row>
    <row r="7" spans="1:22" s="78" customFormat="1" ht="13.8">
      <c r="A7" s="88">
        <v>1</v>
      </c>
      <c r="B7" s="1" t="s">
        <v>51</v>
      </c>
      <c r="C7" s="617"/>
      <c r="D7" s="618">
        <v>0</v>
      </c>
      <c r="E7" s="618"/>
      <c r="F7" s="618"/>
      <c r="G7" s="618"/>
      <c r="H7" s="618"/>
      <c r="I7" s="618"/>
      <c r="J7" s="618"/>
      <c r="K7" s="618"/>
      <c r="L7" s="618"/>
      <c r="M7" s="618">
        <v>0</v>
      </c>
      <c r="N7" s="618"/>
      <c r="O7" s="618"/>
      <c r="P7" s="618"/>
      <c r="Q7" s="618"/>
      <c r="R7" s="618">
        <v>0</v>
      </c>
      <c r="S7" s="618"/>
      <c r="T7" s="619"/>
      <c r="U7" s="620"/>
      <c r="V7" s="621">
        <f>SUM(C7:S7)</f>
        <v>0</v>
      </c>
    </row>
    <row r="8" spans="1:22" s="78" customFormat="1" ht="13.8">
      <c r="A8" s="88">
        <v>2</v>
      </c>
      <c r="B8" s="1" t="s">
        <v>52</v>
      </c>
      <c r="C8" s="617"/>
      <c r="D8" s="618">
        <v>0</v>
      </c>
      <c r="E8" s="618"/>
      <c r="F8" s="618"/>
      <c r="G8" s="618"/>
      <c r="H8" s="618"/>
      <c r="I8" s="618"/>
      <c r="J8" s="618"/>
      <c r="K8" s="618"/>
      <c r="L8" s="618"/>
      <c r="M8" s="618"/>
      <c r="N8" s="618"/>
      <c r="O8" s="618"/>
      <c r="P8" s="618"/>
      <c r="Q8" s="618"/>
      <c r="R8" s="618">
        <v>0</v>
      </c>
      <c r="S8" s="618"/>
      <c r="T8" s="620"/>
      <c r="U8" s="620"/>
      <c r="V8" s="621">
        <f t="shared" ref="V8:V20" si="0">SUM(C8:S8)</f>
        <v>0</v>
      </c>
    </row>
    <row r="9" spans="1:22" s="78" customFormat="1" ht="13.8">
      <c r="A9" s="88">
        <v>3</v>
      </c>
      <c r="B9" s="1" t="s">
        <v>165</v>
      </c>
      <c r="C9" s="617"/>
      <c r="D9" s="618">
        <v>0</v>
      </c>
      <c r="E9" s="618"/>
      <c r="F9" s="618"/>
      <c r="G9" s="618"/>
      <c r="H9" s="618"/>
      <c r="I9" s="618"/>
      <c r="J9" s="618"/>
      <c r="K9" s="618"/>
      <c r="L9" s="618"/>
      <c r="M9" s="618"/>
      <c r="N9" s="618"/>
      <c r="O9" s="618"/>
      <c r="P9" s="618"/>
      <c r="Q9" s="618"/>
      <c r="R9" s="618">
        <v>0</v>
      </c>
      <c r="S9" s="618"/>
      <c r="T9" s="620"/>
      <c r="U9" s="620"/>
      <c r="V9" s="621">
        <f>SUM(C9:S9)</f>
        <v>0</v>
      </c>
    </row>
    <row r="10" spans="1:22" s="78" customFormat="1" ht="13.8">
      <c r="A10" s="88">
        <v>4</v>
      </c>
      <c r="B10" s="1" t="s">
        <v>53</v>
      </c>
      <c r="C10" s="617"/>
      <c r="D10" s="618">
        <v>0</v>
      </c>
      <c r="E10" s="618"/>
      <c r="F10" s="618"/>
      <c r="G10" s="618"/>
      <c r="H10" s="618"/>
      <c r="I10" s="618"/>
      <c r="J10" s="618"/>
      <c r="K10" s="618"/>
      <c r="L10" s="618"/>
      <c r="M10" s="618"/>
      <c r="N10" s="618"/>
      <c r="O10" s="618"/>
      <c r="P10" s="618"/>
      <c r="Q10" s="618"/>
      <c r="R10" s="618">
        <v>0</v>
      </c>
      <c r="S10" s="618"/>
      <c r="T10" s="620"/>
      <c r="U10" s="620"/>
      <c r="V10" s="621">
        <f t="shared" si="0"/>
        <v>0</v>
      </c>
    </row>
    <row r="11" spans="1:22" s="78" customFormat="1" ht="13.8">
      <c r="A11" s="88">
        <v>5</v>
      </c>
      <c r="B11" s="1" t="s">
        <v>54</v>
      </c>
      <c r="C11" s="617"/>
      <c r="D11" s="618">
        <v>0</v>
      </c>
      <c r="E11" s="618"/>
      <c r="F11" s="618"/>
      <c r="G11" s="618"/>
      <c r="H11" s="618"/>
      <c r="I11" s="618"/>
      <c r="J11" s="618"/>
      <c r="K11" s="618"/>
      <c r="L11" s="618"/>
      <c r="M11" s="618"/>
      <c r="N11" s="618"/>
      <c r="O11" s="618"/>
      <c r="P11" s="618"/>
      <c r="Q11" s="618"/>
      <c r="R11" s="618">
        <v>0</v>
      </c>
      <c r="S11" s="618"/>
      <c r="T11" s="620"/>
      <c r="U11" s="620"/>
      <c r="V11" s="621">
        <f t="shared" si="0"/>
        <v>0</v>
      </c>
    </row>
    <row r="12" spans="1:22" s="78" customFormat="1" ht="13.8">
      <c r="A12" s="88">
        <v>6</v>
      </c>
      <c r="B12" s="1" t="s">
        <v>55</v>
      </c>
      <c r="C12" s="617"/>
      <c r="D12" s="618">
        <v>0</v>
      </c>
      <c r="E12" s="618"/>
      <c r="F12" s="618"/>
      <c r="G12" s="618"/>
      <c r="H12" s="618"/>
      <c r="I12" s="618"/>
      <c r="J12" s="618"/>
      <c r="K12" s="618"/>
      <c r="L12" s="618"/>
      <c r="M12" s="618"/>
      <c r="N12" s="618"/>
      <c r="O12" s="618"/>
      <c r="P12" s="618"/>
      <c r="Q12" s="618"/>
      <c r="R12" s="618">
        <v>0</v>
      </c>
      <c r="S12" s="618"/>
      <c r="T12" s="620"/>
      <c r="U12" s="620"/>
      <c r="V12" s="621">
        <f t="shared" si="0"/>
        <v>0</v>
      </c>
    </row>
    <row r="13" spans="1:22" s="78" customFormat="1" ht="13.8">
      <c r="A13" s="88">
        <v>7</v>
      </c>
      <c r="B13" s="1" t="s">
        <v>56</v>
      </c>
      <c r="C13" s="617"/>
      <c r="D13" s="618">
        <v>162996304.5632</v>
      </c>
      <c r="E13" s="618"/>
      <c r="F13" s="618"/>
      <c r="G13" s="618"/>
      <c r="H13" s="618"/>
      <c r="I13" s="618"/>
      <c r="J13" s="618"/>
      <c r="K13" s="618"/>
      <c r="L13" s="618"/>
      <c r="M13" s="618">
        <v>21639112.881000001</v>
      </c>
      <c r="N13" s="618"/>
      <c r="O13" s="618">
        <v>75714003.988100007</v>
      </c>
      <c r="P13" s="618"/>
      <c r="Q13" s="618"/>
      <c r="R13" s="618">
        <v>124956698.01369999</v>
      </c>
      <c r="S13" s="618"/>
      <c r="T13" s="620"/>
      <c r="U13" s="620"/>
      <c r="V13" s="621">
        <f t="shared" si="0"/>
        <v>385306119.44600004</v>
      </c>
    </row>
    <row r="14" spans="1:22" s="78" customFormat="1" ht="13.8">
      <c r="A14" s="88">
        <v>8</v>
      </c>
      <c r="B14" s="1" t="s">
        <v>57</v>
      </c>
      <c r="C14" s="617"/>
      <c r="D14" s="618">
        <v>71834042.2042</v>
      </c>
      <c r="E14" s="618"/>
      <c r="F14" s="618"/>
      <c r="G14" s="618"/>
      <c r="H14" s="618"/>
      <c r="I14" s="618"/>
      <c r="J14" s="618">
        <v>0</v>
      </c>
      <c r="K14" s="618"/>
      <c r="L14" s="618"/>
      <c r="M14" s="618">
        <v>4607034.0464000003</v>
      </c>
      <c r="N14" s="618"/>
      <c r="O14" s="618">
        <v>1030090.4790000001</v>
      </c>
      <c r="P14" s="618"/>
      <c r="Q14" s="618"/>
      <c r="R14" s="618">
        <v>0</v>
      </c>
      <c r="S14" s="618"/>
      <c r="T14" s="620"/>
      <c r="U14" s="620"/>
      <c r="V14" s="621">
        <f t="shared" si="0"/>
        <v>77471166.729599997</v>
      </c>
    </row>
    <row r="15" spans="1:22" s="78" customFormat="1" ht="13.8">
      <c r="A15" s="88">
        <v>9</v>
      </c>
      <c r="B15" s="1" t="s">
        <v>58</v>
      </c>
      <c r="C15" s="617"/>
      <c r="D15" s="618">
        <v>209557.2899</v>
      </c>
      <c r="E15" s="618"/>
      <c r="F15" s="618"/>
      <c r="G15" s="618"/>
      <c r="H15" s="618"/>
      <c r="I15" s="618"/>
      <c r="J15" s="618"/>
      <c r="K15" s="618"/>
      <c r="L15" s="618"/>
      <c r="M15" s="618">
        <v>840702.65630000003</v>
      </c>
      <c r="N15" s="618"/>
      <c r="O15" s="618">
        <v>205125.46290000001</v>
      </c>
      <c r="P15" s="618"/>
      <c r="Q15" s="618"/>
      <c r="R15" s="618">
        <v>0</v>
      </c>
      <c r="S15" s="618"/>
      <c r="T15" s="620"/>
      <c r="U15" s="620"/>
      <c r="V15" s="621">
        <f t="shared" si="0"/>
        <v>1255385.4091</v>
      </c>
    </row>
    <row r="16" spans="1:22" s="78" customFormat="1" ht="13.8">
      <c r="A16" s="88">
        <v>10</v>
      </c>
      <c r="B16" s="1" t="s">
        <v>59</v>
      </c>
      <c r="C16" s="617"/>
      <c r="D16" s="618">
        <v>69726.260599999994</v>
      </c>
      <c r="E16" s="618"/>
      <c r="F16" s="618"/>
      <c r="G16" s="618"/>
      <c r="H16" s="618"/>
      <c r="I16" s="618"/>
      <c r="J16" s="618"/>
      <c r="K16" s="618"/>
      <c r="L16" s="618"/>
      <c r="M16" s="618">
        <v>1124442.9027</v>
      </c>
      <c r="N16" s="618"/>
      <c r="O16" s="618">
        <v>0</v>
      </c>
      <c r="P16" s="618"/>
      <c r="Q16" s="618"/>
      <c r="R16" s="618">
        <v>0</v>
      </c>
      <c r="S16" s="618"/>
      <c r="T16" s="620"/>
      <c r="U16" s="620"/>
      <c r="V16" s="621">
        <f t="shared" si="0"/>
        <v>1194169.1632999999</v>
      </c>
    </row>
    <row r="17" spans="1:24" s="78" customFormat="1" ht="13.8">
      <c r="A17" s="88">
        <v>11</v>
      </c>
      <c r="B17" s="1" t="s">
        <v>60</v>
      </c>
      <c r="C17" s="617"/>
      <c r="D17" s="618">
        <v>0</v>
      </c>
      <c r="E17" s="618"/>
      <c r="F17" s="618"/>
      <c r="G17" s="618"/>
      <c r="H17" s="618"/>
      <c r="I17" s="618">
        <v>0</v>
      </c>
      <c r="J17" s="618"/>
      <c r="K17" s="618"/>
      <c r="L17" s="618"/>
      <c r="M17" s="618">
        <v>310167.05869999999</v>
      </c>
      <c r="N17" s="618"/>
      <c r="O17" s="618">
        <v>0</v>
      </c>
      <c r="P17" s="618"/>
      <c r="Q17" s="618"/>
      <c r="R17" s="618">
        <v>0</v>
      </c>
      <c r="S17" s="618"/>
      <c r="T17" s="620"/>
      <c r="U17" s="620"/>
      <c r="V17" s="621">
        <f t="shared" si="0"/>
        <v>310167.05869999999</v>
      </c>
    </row>
    <row r="18" spans="1:24" s="78" customFormat="1" ht="13.8">
      <c r="A18" s="88">
        <v>12</v>
      </c>
      <c r="B18" s="1" t="s">
        <v>61</v>
      </c>
      <c r="C18" s="617"/>
      <c r="D18" s="618">
        <v>0</v>
      </c>
      <c r="E18" s="618"/>
      <c r="F18" s="618"/>
      <c r="G18" s="618"/>
      <c r="H18" s="618"/>
      <c r="I18" s="618"/>
      <c r="J18" s="618"/>
      <c r="K18" s="618"/>
      <c r="L18" s="618"/>
      <c r="M18" s="618"/>
      <c r="N18" s="618"/>
      <c r="O18" s="618"/>
      <c r="P18" s="618"/>
      <c r="Q18" s="618"/>
      <c r="R18" s="618">
        <v>0</v>
      </c>
      <c r="S18" s="618"/>
      <c r="T18" s="620"/>
      <c r="U18" s="620"/>
      <c r="V18" s="621">
        <f t="shared" si="0"/>
        <v>0</v>
      </c>
    </row>
    <row r="19" spans="1:24" s="78" customFormat="1" ht="13.8">
      <c r="A19" s="88">
        <v>13</v>
      </c>
      <c r="B19" s="1" t="s">
        <v>62</v>
      </c>
      <c r="C19" s="617"/>
      <c r="D19" s="618">
        <v>0</v>
      </c>
      <c r="E19" s="618"/>
      <c r="F19" s="618"/>
      <c r="G19" s="618"/>
      <c r="H19" s="618"/>
      <c r="I19" s="618"/>
      <c r="J19" s="618"/>
      <c r="K19" s="618"/>
      <c r="L19" s="618"/>
      <c r="M19" s="618"/>
      <c r="N19" s="618"/>
      <c r="O19" s="618"/>
      <c r="P19" s="618"/>
      <c r="Q19" s="618"/>
      <c r="R19" s="618">
        <v>0</v>
      </c>
      <c r="S19" s="618"/>
      <c r="T19" s="620"/>
      <c r="U19" s="620"/>
      <c r="V19" s="621">
        <f t="shared" si="0"/>
        <v>0</v>
      </c>
    </row>
    <row r="20" spans="1:24" s="78" customFormat="1" ht="13.8">
      <c r="A20" s="88">
        <v>14</v>
      </c>
      <c r="B20" s="1" t="s">
        <v>63</v>
      </c>
      <c r="C20" s="617"/>
      <c r="D20" s="618">
        <v>0</v>
      </c>
      <c r="E20" s="618"/>
      <c r="F20" s="618"/>
      <c r="G20" s="618"/>
      <c r="H20" s="618"/>
      <c r="I20" s="618"/>
      <c r="J20" s="618"/>
      <c r="K20" s="618"/>
      <c r="L20" s="618"/>
      <c r="M20" s="618"/>
      <c r="N20" s="618"/>
      <c r="O20" s="618"/>
      <c r="P20" s="618"/>
      <c r="Q20" s="618"/>
      <c r="R20" s="618">
        <v>0</v>
      </c>
      <c r="S20" s="618"/>
      <c r="T20" s="620"/>
      <c r="U20" s="620"/>
      <c r="V20" s="621">
        <f t="shared" si="0"/>
        <v>0</v>
      </c>
    </row>
    <row r="21" spans="1:24" ht="14.4" thickBot="1">
      <c r="A21" s="79"/>
      <c r="B21" s="89" t="s">
        <v>64</v>
      </c>
      <c r="C21" s="622">
        <f>SUM(C7:C20)</f>
        <v>0</v>
      </c>
      <c r="D21" s="167">
        <f t="shared" ref="D21:V21" si="1">SUM(D7:D20)</f>
        <v>235109630.3179</v>
      </c>
      <c r="E21" s="167">
        <f t="shared" si="1"/>
        <v>0</v>
      </c>
      <c r="F21" s="167">
        <f t="shared" si="1"/>
        <v>0</v>
      </c>
      <c r="G21" s="167">
        <f t="shared" si="1"/>
        <v>0</v>
      </c>
      <c r="H21" s="167">
        <f t="shared" si="1"/>
        <v>0</v>
      </c>
      <c r="I21" s="167">
        <f t="shared" si="1"/>
        <v>0</v>
      </c>
      <c r="J21" s="167">
        <f t="shared" si="1"/>
        <v>0</v>
      </c>
      <c r="K21" s="167">
        <f t="shared" si="1"/>
        <v>0</v>
      </c>
      <c r="L21" s="623">
        <f t="shared" si="1"/>
        <v>0</v>
      </c>
      <c r="M21" s="622">
        <f t="shared" si="1"/>
        <v>28521459.5451</v>
      </c>
      <c r="N21" s="167">
        <f t="shared" si="1"/>
        <v>0</v>
      </c>
      <c r="O21" s="167">
        <f t="shared" si="1"/>
        <v>76949219.930000007</v>
      </c>
      <c r="P21" s="167">
        <f t="shared" si="1"/>
        <v>0</v>
      </c>
      <c r="Q21" s="167">
        <f t="shared" si="1"/>
        <v>0</v>
      </c>
      <c r="R21" s="167">
        <f t="shared" si="1"/>
        <v>124956698.01369999</v>
      </c>
      <c r="S21" s="623">
        <f t="shared" si="1"/>
        <v>0</v>
      </c>
      <c r="T21" s="623">
        <f>SUM(T7:T20)</f>
        <v>0</v>
      </c>
      <c r="U21" s="623">
        <f t="shared" si="1"/>
        <v>0</v>
      </c>
      <c r="V21" s="624">
        <f t="shared" si="1"/>
        <v>465537007.80670005</v>
      </c>
    </row>
    <row r="22" spans="1:24">
      <c r="C22" s="116"/>
      <c r="D22" s="116"/>
      <c r="E22" s="116"/>
      <c r="F22" s="116"/>
      <c r="G22" s="116"/>
      <c r="H22" s="116"/>
      <c r="I22" s="116"/>
      <c r="J22" s="116"/>
      <c r="K22" s="116"/>
      <c r="L22" s="116"/>
      <c r="M22" s="116"/>
      <c r="N22" s="116"/>
      <c r="O22" s="116"/>
      <c r="P22" s="116"/>
      <c r="Q22" s="116"/>
      <c r="R22" s="116"/>
      <c r="S22" s="116"/>
      <c r="T22" s="116"/>
      <c r="U22" s="116"/>
      <c r="V22" s="116"/>
      <c r="W22" s="116"/>
      <c r="X22" s="116"/>
    </row>
    <row r="24" spans="1:24">
      <c r="A24" s="7"/>
      <c r="B24" s="7"/>
      <c r="C24" s="23"/>
      <c r="D24" s="23"/>
      <c r="E24" s="23"/>
    </row>
    <row r="25" spans="1:24">
      <c r="A25" s="90"/>
      <c r="B25" s="90"/>
      <c r="C25" s="7"/>
      <c r="D25" s="23"/>
      <c r="E25" s="23"/>
    </row>
    <row r="26" spans="1:24">
      <c r="A26" s="90"/>
      <c r="B26" s="24"/>
      <c r="C26" s="7"/>
      <c r="D26" s="23"/>
      <c r="E26" s="23"/>
    </row>
    <row r="27" spans="1:24">
      <c r="A27" s="90"/>
      <c r="B27" s="90"/>
      <c r="C27" s="7"/>
      <c r="D27" s="23"/>
      <c r="E27" s="23"/>
    </row>
    <row r="28" spans="1:24">
      <c r="A28" s="90"/>
      <c r="B28" s="24"/>
      <c r="C28" s="7"/>
      <c r="D28" s="23"/>
      <c r="E28" s="23"/>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sheetPr>
  <dimension ref="A1:I23"/>
  <sheetViews>
    <sheetView zoomScaleNormal="100" workbookViewId="0">
      <pane xSplit="1" ySplit="7" topLeftCell="B8" activePane="bottomRight" state="frozen"/>
      <selection pane="topRight"/>
      <selection pane="bottomLeft"/>
      <selection pane="bottomRight" activeCell="B8" sqref="B8"/>
    </sheetView>
  </sheetViews>
  <sheetFormatPr defaultColWidth="9.109375" defaultRowHeight="13.8"/>
  <cols>
    <col min="1" max="1" width="10.5546875" style="4" bestFit="1" customWidth="1"/>
    <col min="2" max="2" width="101.88671875" style="4" customWidth="1"/>
    <col min="3" max="3" width="13.6640625" style="162" customWidth="1"/>
    <col min="4" max="4" width="14.88671875" style="162" bestFit="1" customWidth="1"/>
    <col min="5" max="5" width="17.6640625" style="162" customWidth="1"/>
    <col min="6" max="6" width="15.88671875" style="162" customWidth="1"/>
    <col min="7" max="7" width="17.44140625" style="162" customWidth="1"/>
    <col min="8" max="8" width="15.33203125" style="162" customWidth="1"/>
    <col min="9" max="16384" width="9.109375" style="14"/>
  </cols>
  <sheetData>
    <row r="1" spans="1:9">
      <c r="A1" s="2" t="s">
        <v>30</v>
      </c>
      <c r="B1" s="4" t="str">
        <f>'Info '!C2</f>
        <v xml:space="preserve">JSC "Bank of Georgia" </v>
      </c>
      <c r="C1" s="3"/>
    </row>
    <row r="2" spans="1:9">
      <c r="A2" s="2" t="s">
        <v>31</v>
      </c>
      <c r="B2" s="273">
        <f>'1. key ratios '!B2</f>
        <v>45473</v>
      </c>
      <c r="C2" s="273"/>
    </row>
    <row r="4" spans="1:9" ht="14.4" thickBot="1">
      <c r="A4" s="2" t="s">
        <v>150</v>
      </c>
      <c r="B4" s="81" t="s">
        <v>252</v>
      </c>
    </row>
    <row r="5" spans="1:9">
      <c r="A5" s="82"/>
      <c r="B5" s="91"/>
      <c r="C5" s="163" t="s">
        <v>0</v>
      </c>
      <c r="D5" s="163" t="s">
        <v>1</v>
      </c>
      <c r="E5" s="163" t="s">
        <v>2</v>
      </c>
      <c r="F5" s="163" t="s">
        <v>3</v>
      </c>
      <c r="G5" s="164" t="s">
        <v>4</v>
      </c>
      <c r="H5" s="165" t="s">
        <v>5</v>
      </c>
      <c r="I5" s="92"/>
    </row>
    <row r="6" spans="1:9" s="92" customFormat="1" ht="12.75" customHeight="1">
      <c r="A6" s="93"/>
      <c r="B6" s="758" t="s">
        <v>149</v>
      </c>
      <c r="C6" s="760" t="s">
        <v>245</v>
      </c>
      <c r="D6" s="762" t="s">
        <v>244</v>
      </c>
      <c r="E6" s="763"/>
      <c r="F6" s="760" t="s">
        <v>249</v>
      </c>
      <c r="G6" s="760" t="s">
        <v>250</v>
      </c>
      <c r="H6" s="756" t="s">
        <v>248</v>
      </c>
    </row>
    <row r="7" spans="1:9" ht="41.4">
      <c r="A7" s="95"/>
      <c r="B7" s="759"/>
      <c r="C7" s="761"/>
      <c r="D7" s="166" t="s">
        <v>247</v>
      </c>
      <c r="E7" s="166" t="s">
        <v>246</v>
      </c>
      <c r="F7" s="761"/>
      <c r="G7" s="761"/>
      <c r="H7" s="757"/>
      <c r="I7" s="92"/>
    </row>
    <row r="8" spans="1:9">
      <c r="A8" s="93">
        <v>1</v>
      </c>
      <c r="B8" s="1" t="s">
        <v>51</v>
      </c>
      <c r="C8" s="625">
        <v>7857988088.8453999</v>
      </c>
      <c r="D8" s="626"/>
      <c r="E8" s="625"/>
      <c r="F8" s="625">
        <f>'[4]11. CRWA'!S8</f>
        <v>1917416832.0506001</v>
      </c>
      <c r="G8" s="627">
        <f>'[4]11. CRWA'!S8-'[4]12. CRM'!V7</f>
        <v>1917416832.0506001</v>
      </c>
      <c r="H8" s="628">
        <f>G8/(C8+E8)</f>
        <v>0.24400862032005605</v>
      </c>
    </row>
    <row r="9" spans="1:9" ht="15" customHeight="1">
      <c r="A9" s="93">
        <v>2</v>
      </c>
      <c r="B9" s="1" t="s">
        <v>52</v>
      </c>
      <c r="C9" s="625">
        <v>0</v>
      </c>
      <c r="D9" s="626"/>
      <c r="E9" s="625"/>
      <c r="F9" s="625">
        <f>'[4]11. CRWA'!S9</f>
        <v>0</v>
      </c>
      <c r="G9" s="627">
        <f>'[4]11. CRWA'!S9-'[4]12. CRM'!V8</f>
        <v>0</v>
      </c>
      <c r="H9" s="628" t="e">
        <f t="shared" ref="H9:H21" si="0">G9/(C9+E9)</f>
        <v>#DIV/0!</v>
      </c>
    </row>
    <row r="10" spans="1:9">
      <c r="A10" s="93">
        <v>3</v>
      </c>
      <c r="B10" s="1" t="s">
        <v>165</v>
      </c>
      <c r="C10" s="625">
        <v>0</v>
      </c>
      <c r="D10" s="626"/>
      <c r="E10" s="625"/>
      <c r="F10" s="625">
        <f>'[4]11. CRWA'!S10</f>
        <v>0</v>
      </c>
      <c r="G10" s="627">
        <f>'[4]11. CRWA'!S10-'[4]12. CRM'!V9</f>
        <v>0</v>
      </c>
      <c r="H10" s="628" t="e">
        <f t="shared" si="0"/>
        <v>#DIV/0!</v>
      </c>
    </row>
    <row r="11" spans="1:9">
      <c r="A11" s="93">
        <v>4</v>
      </c>
      <c r="B11" s="1" t="s">
        <v>53</v>
      </c>
      <c r="C11" s="625">
        <v>975106737.50999999</v>
      </c>
      <c r="D11" s="626"/>
      <c r="E11" s="625"/>
      <c r="F11" s="625">
        <f>'[4]11. CRWA'!S11</f>
        <v>0</v>
      </c>
      <c r="G11" s="627">
        <f>'[4]11. CRWA'!S11-'[4]12. CRM'!V10</f>
        <v>0</v>
      </c>
      <c r="H11" s="628">
        <f t="shared" si="0"/>
        <v>0</v>
      </c>
    </row>
    <row r="12" spans="1:9">
      <c r="A12" s="93">
        <v>5</v>
      </c>
      <c r="B12" s="1" t="s">
        <v>54</v>
      </c>
      <c r="C12" s="625">
        <v>0</v>
      </c>
      <c r="D12" s="626"/>
      <c r="E12" s="625"/>
      <c r="F12" s="625">
        <f>'[4]11. CRWA'!S12</f>
        <v>0</v>
      </c>
      <c r="G12" s="627">
        <f>'[4]11. CRWA'!S12-'[4]12. CRM'!V11</f>
        <v>0</v>
      </c>
      <c r="H12" s="628" t="e">
        <f t="shared" si="0"/>
        <v>#DIV/0!</v>
      </c>
    </row>
    <row r="13" spans="1:9">
      <c r="A13" s="93">
        <v>6</v>
      </c>
      <c r="B13" s="1" t="s">
        <v>55</v>
      </c>
      <c r="C13" s="625">
        <v>977677106.47830009</v>
      </c>
      <c r="D13" s="626"/>
      <c r="E13" s="625"/>
      <c r="F13" s="625">
        <f>'[4]11. CRWA'!S13</f>
        <v>248022378.98072001</v>
      </c>
      <c r="G13" s="627">
        <f>'[4]11. CRWA'!S13-'[4]12. CRM'!V12</f>
        <v>248022378.98072001</v>
      </c>
      <c r="H13" s="628">
        <f t="shared" si="0"/>
        <v>0.25368537049427675</v>
      </c>
    </row>
    <row r="14" spans="1:9">
      <c r="A14" s="93">
        <v>7</v>
      </c>
      <c r="B14" s="1" t="s">
        <v>56</v>
      </c>
      <c r="C14" s="625">
        <v>9287322853.6995983</v>
      </c>
      <c r="D14" s="626">
        <v>2698197058.1073999</v>
      </c>
      <c r="E14" s="625">
        <v>1146081138.8784502</v>
      </c>
      <c r="F14" s="625">
        <f>'[4]11. CRWA'!S14</f>
        <v>10433403992.578049</v>
      </c>
      <c r="G14" s="627">
        <f>'[4]11. CRWA'!S14-'[4]12. CRM'!V13</f>
        <v>10048097873.13205</v>
      </c>
      <c r="H14" s="628">
        <f>G14/(C14+E14)</f>
        <v>0.96306995111853311</v>
      </c>
    </row>
    <row r="15" spans="1:9">
      <c r="A15" s="93">
        <v>8</v>
      </c>
      <c r="B15" s="1" t="s">
        <v>57</v>
      </c>
      <c r="C15" s="625">
        <v>7950541678.3919001</v>
      </c>
      <c r="D15" s="626">
        <v>243130933.09260002</v>
      </c>
      <c r="E15" s="625">
        <v>121565466.54630001</v>
      </c>
      <c r="F15" s="625">
        <f>'[4]11. CRWA'!S15</f>
        <v>6054080358.7036495</v>
      </c>
      <c r="G15" s="627">
        <f>'[4]11. CRWA'!S15-'[4]12. CRM'!V14</f>
        <v>5976609191.9740496</v>
      </c>
      <c r="H15" s="628">
        <f t="shared" si="0"/>
        <v>0.74040260921484669</v>
      </c>
    </row>
    <row r="16" spans="1:9">
      <c r="A16" s="93">
        <v>9</v>
      </c>
      <c r="B16" s="1" t="s">
        <v>58</v>
      </c>
      <c r="C16" s="625">
        <v>4132186948.2146001</v>
      </c>
      <c r="D16" s="626"/>
      <c r="E16" s="625"/>
      <c r="F16" s="625">
        <f>'[4]11. CRWA'!S16</f>
        <v>1446265431.8751099</v>
      </c>
      <c r="G16" s="627">
        <f>'[4]11. CRWA'!S16-'[4]12. CRM'!V15</f>
        <v>1445010046.4660099</v>
      </c>
      <c r="H16" s="628">
        <f t="shared" si="0"/>
        <v>0.34969619346248537</v>
      </c>
    </row>
    <row r="17" spans="1:8">
      <c r="A17" s="93">
        <v>10</v>
      </c>
      <c r="B17" s="1" t="s">
        <v>59</v>
      </c>
      <c r="C17" s="625">
        <v>154555369.11809999</v>
      </c>
      <c r="D17" s="626"/>
      <c r="E17" s="625"/>
      <c r="F17" s="625">
        <f>'[4]11. CRWA'!S17</f>
        <v>173187034.48074999</v>
      </c>
      <c r="G17" s="627">
        <f>'[4]11. CRWA'!S17-'[4]12. CRM'!V16</f>
        <v>171992865.31744999</v>
      </c>
      <c r="H17" s="628">
        <f t="shared" si="0"/>
        <v>1.112823619773607</v>
      </c>
    </row>
    <row r="18" spans="1:8">
      <c r="A18" s="93">
        <v>11</v>
      </c>
      <c r="B18" s="1" t="s">
        <v>60</v>
      </c>
      <c r="C18" s="625">
        <v>307692669.02731168</v>
      </c>
      <c r="D18" s="626"/>
      <c r="E18" s="625"/>
      <c r="F18" s="625">
        <f>'[4]11. CRWA'!S18</f>
        <v>403625294.06732929</v>
      </c>
      <c r="G18" s="627">
        <f>'[4]11. CRWA'!S18-'[4]12. CRM'!V17</f>
        <v>403315127.00862926</v>
      </c>
      <c r="H18" s="628">
        <f t="shared" si="0"/>
        <v>1.3107726234869439</v>
      </c>
    </row>
    <row r="19" spans="1:8">
      <c r="A19" s="93">
        <v>12</v>
      </c>
      <c r="B19" s="1" t="s">
        <v>61</v>
      </c>
      <c r="C19" s="625">
        <v>0</v>
      </c>
      <c r="D19" s="626"/>
      <c r="E19" s="625"/>
      <c r="F19" s="625">
        <f>'[4]11. CRWA'!S19</f>
        <v>0</v>
      </c>
      <c r="G19" s="627">
        <f>'[4]11. CRWA'!S19-'[4]12. CRM'!V18</f>
        <v>0</v>
      </c>
      <c r="H19" s="628" t="e">
        <f t="shared" si="0"/>
        <v>#DIV/0!</v>
      </c>
    </row>
    <row r="20" spans="1:8">
      <c r="A20" s="93">
        <v>13</v>
      </c>
      <c r="B20" s="1" t="s">
        <v>144</v>
      </c>
      <c r="C20" s="625">
        <v>0</v>
      </c>
      <c r="D20" s="626"/>
      <c r="E20" s="625"/>
      <c r="F20" s="625">
        <f>'[4]11. CRWA'!S20</f>
        <v>0</v>
      </c>
      <c r="G20" s="627">
        <f>'[4]11. CRWA'!S20-'[4]12. CRM'!V19</f>
        <v>0</v>
      </c>
      <c r="H20" s="628" t="e">
        <f t="shared" si="0"/>
        <v>#DIV/0!</v>
      </c>
    </row>
    <row r="21" spans="1:8">
      <c r="A21" s="93">
        <v>14</v>
      </c>
      <c r="B21" s="1" t="s">
        <v>63</v>
      </c>
      <c r="C21" s="625">
        <v>2497575149.4905977</v>
      </c>
      <c r="D21" s="626"/>
      <c r="E21" s="625"/>
      <c r="F21" s="625">
        <f>'[4]11. CRWA'!S21</f>
        <v>2206248527.5536981</v>
      </c>
      <c r="G21" s="627">
        <f>'[4]11. CRWA'!S21-'[4]12. CRM'!V20</f>
        <v>2206248527.5536981</v>
      </c>
      <c r="H21" s="628">
        <f t="shared" si="0"/>
        <v>0.88335621372741546</v>
      </c>
    </row>
    <row r="22" spans="1:8" ht="14.4" thickBot="1">
      <c r="A22" s="96"/>
      <c r="B22" s="97" t="s">
        <v>64</v>
      </c>
      <c r="C22" s="167">
        <f>SUM(C8:C21)</f>
        <v>34140646600.775806</v>
      </c>
      <c r="D22" s="167">
        <f t="shared" ref="D22:G22" si="1">SUM(D8:D21)</f>
        <v>2941327991.1999998</v>
      </c>
      <c r="E22" s="167">
        <f t="shared" si="1"/>
        <v>1267646605.4247501</v>
      </c>
      <c r="F22" s="167">
        <f t="shared" si="1"/>
        <v>22882249850.289909</v>
      </c>
      <c r="G22" s="167">
        <f t="shared" si="1"/>
        <v>22416712842.483212</v>
      </c>
      <c r="H22" s="168">
        <f>G22/(C22+E22)</f>
        <v>0.63309216041392502</v>
      </c>
    </row>
    <row r="23" spans="1:8">
      <c r="C23" s="557"/>
      <c r="D23" s="557"/>
      <c r="E23" s="557"/>
      <c r="F23" s="557"/>
      <c r="G23" s="557"/>
      <c r="H23" s="557"/>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8"/>
  <sheetViews>
    <sheetView zoomScaleNormal="100" workbookViewId="0">
      <pane xSplit="2" ySplit="6" topLeftCell="C7" activePane="bottomRight" state="frozen"/>
      <selection pane="topRight"/>
      <selection pane="bottomLeft"/>
      <selection pane="bottomRight" activeCell="C7" sqref="C7"/>
    </sheetView>
  </sheetViews>
  <sheetFormatPr defaultColWidth="9.109375" defaultRowHeight="13.8"/>
  <cols>
    <col min="1" max="1" width="10.5546875" style="162" bestFit="1" customWidth="1"/>
    <col min="2" max="2" width="104.109375" style="162" customWidth="1"/>
    <col min="3" max="3" width="13.5546875" style="162" bestFit="1" customWidth="1"/>
    <col min="4" max="5" width="14.5546875" style="162" bestFit="1" customWidth="1"/>
    <col min="6" max="11" width="13.5546875" style="162" bestFit="1" customWidth="1"/>
    <col min="12" max="16384" width="9.109375" style="162"/>
  </cols>
  <sheetData>
    <row r="1" spans="1:11">
      <c r="A1" s="162" t="s">
        <v>30</v>
      </c>
      <c r="B1" s="3" t="str">
        <f>'Info '!C2</f>
        <v xml:space="preserve">JSC "Bank of Georgia" </v>
      </c>
    </row>
    <row r="2" spans="1:11">
      <c r="A2" s="162" t="s">
        <v>31</v>
      </c>
      <c r="B2" s="273">
        <f>'1. key ratios '!B2</f>
        <v>45473</v>
      </c>
      <c r="C2" s="178"/>
      <c r="D2" s="178"/>
    </row>
    <row r="3" spans="1:11">
      <c r="B3" s="178"/>
      <c r="C3" s="178"/>
      <c r="D3" s="178"/>
    </row>
    <row r="4" spans="1:11" ht="14.4" thickBot="1">
      <c r="A4" s="162" t="s">
        <v>146</v>
      </c>
      <c r="B4" s="202" t="s">
        <v>253</v>
      </c>
      <c r="C4" s="178"/>
      <c r="D4" s="178"/>
    </row>
    <row r="5" spans="1:11" ht="30" customHeight="1">
      <c r="A5" s="764"/>
      <c r="B5" s="765"/>
      <c r="C5" s="766" t="s">
        <v>303</v>
      </c>
      <c r="D5" s="766"/>
      <c r="E5" s="766"/>
      <c r="F5" s="766" t="s">
        <v>304</v>
      </c>
      <c r="G5" s="766"/>
      <c r="H5" s="766"/>
      <c r="I5" s="766" t="s">
        <v>305</v>
      </c>
      <c r="J5" s="766"/>
      <c r="K5" s="767"/>
    </row>
    <row r="6" spans="1:11">
      <c r="A6" s="179"/>
      <c r="B6" s="180"/>
      <c r="C6" s="16" t="s">
        <v>32</v>
      </c>
      <c r="D6" s="16" t="s">
        <v>33</v>
      </c>
      <c r="E6" s="16" t="s">
        <v>34</v>
      </c>
      <c r="F6" s="16" t="s">
        <v>32</v>
      </c>
      <c r="G6" s="16" t="s">
        <v>33</v>
      </c>
      <c r="H6" s="16" t="s">
        <v>34</v>
      </c>
      <c r="I6" s="16" t="s">
        <v>32</v>
      </c>
      <c r="J6" s="16" t="s">
        <v>33</v>
      </c>
      <c r="K6" s="16" t="s">
        <v>34</v>
      </c>
    </row>
    <row r="7" spans="1:11">
      <c r="A7" s="181" t="s">
        <v>256</v>
      </c>
      <c r="B7" s="182"/>
      <c r="C7" s="182"/>
      <c r="D7" s="182"/>
      <c r="E7" s="182"/>
      <c r="F7" s="182"/>
      <c r="G7" s="182"/>
      <c r="H7" s="182"/>
      <c r="I7" s="182"/>
      <c r="J7" s="182"/>
      <c r="K7" s="183"/>
    </row>
    <row r="8" spans="1:11">
      <c r="A8" s="184">
        <v>1</v>
      </c>
      <c r="B8" s="185" t="s">
        <v>254</v>
      </c>
      <c r="C8" s="529"/>
      <c r="D8" s="529"/>
      <c r="E8" s="529"/>
      <c r="F8" s="530">
        <v>2319264316.113193</v>
      </c>
      <c r="G8" s="530">
        <v>5869107604.1063442</v>
      </c>
      <c r="H8" s="530">
        <v>8188371920.2195292</v>
      </c>
      <c r="I8" s="530">
        <v>2315241099.4544029</v>
      </c>
      <c r="J8" s="530">
        <v>5132763943.3385429</v>
      </c>
      <c r="K8" s="531">
        <v>7448005042.7929468</v>
      </c>
    </row>
    <row r="9" spans="1:11">
      <c r="A9" s="181" t="s">
        <v>257</v>
      </c>
      <c r="B9" s="182"/>
      <c r="C9" s="532"/>
      <c r="D9" s="532"/>
      <c r="E9" s="532"/>
      <c r="F9" s="532"/>
      <c r="G9" s="532"/>
      <c r="H9" s="532"/>
      <c r="I9" s="532"/>
      <c r="J9" s="532"/>
      <c r="K9" s="533"/>
    </row>
    <row r="10" spans="1:11">
      <c r="A10" s="186">
        <v>2</v>
      </c>
      <c r="B10" s="187" t="s">
        <v>265</v>
      </c>
      <c r="C10" s="530">
        <v>4297304773.6908712</v>
      </c>
      <c r="D10" s="530">
        <v>7883846575.1660252</v>
      </c>
      <c r="E10" s="530">
        <v>11912410755.231052</v>
      </c>
      <c r="F10" s="530">
        <v>758002039.74161673</v>
      </c>
      <c r="G10" s="530">
        <v>1955120109.7689469</v>
      </c>
      <c r="H10" s="530">
        <v>2713122149.5105634</v>
      </c>
      <c r="I10" s="530">
        <v>246914500.06904167</v>
      </c>
      <c r="J10" s="530">
        <v>548038989.46525395</v>
      </c>
      <c r="K10" s="531">
        <v>779800835.48110271</v>
      </c>
    </row>
    <row r="11" spans="1:11">
      <c r="A11" s="186">
        <v>3</v>
      </c>
      <c r="B11" s="187" t="s">
        <v>259</v>
      </c>
      <c r="C11" s="530">
        <v>8046950386.4022141</v>
      </c>
      <c r="D11" s="530">
        <v>11039164611.570984</v>
      </c>
      <c r="E11" s="530">
        <v>18576095766.378979</v>
      </c>
      <c r="F11" s="530">
        <v>2370768254.0968604</v>
      </c>
      <c r="G11" s="530">
        <v>3588072587.015635</v>
      </c>
      <c r="H11" s="530">
        <v>5958840841.1124954</v>
      </c>
      <c r="I11" s="530">
        <v>1727287395.8656633</v>
      </c>
      <c r="J11" s="530">
        <v>2099914531.7192242</v>
      </c>
      <c r="K11" s="531">
        <v>3827201927.5848918</v>
      </c>
    </row>
    <row r="12" spans="1:11">
      <c r="A12" s="186">
        <v>4</v>
      </c>
      <c r="B12" s="187" t="s">
        <v>260</v>
      </c>
      <c r="C12" s="530">
        <v>2426702820.1549454</v>
      </c>
      <c r="D12" s="530">
        <v>95782529.857254952</v>
      </c>
      <c r="E12" s="530">
        <v>2348221613.7484632</v>
      </c>
      <c r="F12" s="530">
        <v>0</v>
      </c>
      <c r="G12" s="530">
        <v>8650661.7253868133</v>
      </c>
      <c r="H12" s="530">
        <v>8650661.7253868133</v>
      </c>
      <c r="I12" s="530">
        <v>0</v>
      </c>
      <c r="J12" s="530">
        <v>8650661.7253868133</v>
      </c>
      <c r="K12" s="531">
        <v>8650661.7253868133</v>
      </c>
    </row>
    <row r="13" spans="1:11">
      <c r="A13" s="186">
        <v>5</v>
      </c>
      <c r="B13" s="187" t="s">
        <v>268</v>
      </c>
      <c r="C13" s="530">
        <v>1804951641.2555897</v>
      </c>
      <c r="D13" s="530">
        <v>1186418945.9073822</v>
      </c>
      <c r="E13" s="530">
        <v>2876513650.0944014</v>
      </c>
      <c r="F13" s="530">
        <v>277056230.13168454</v>
      </c>
      <c r="G13" s="530">
        <v>195648367.42036426</v>
      </c>
      <c r="H13" s="530">
        <v>472704597.5520488</v>
      </c>
      <c r="I13" s="530">
        <v>111199777.54396702</v>
      </c>
      <c r="J13" s="530">
        <v>76698509.403280124</v>
      </c>
      <c r="K13" s="531">
        <v>187898286.94724715</v>
      </c>
    </row>
    <row r="14" spans="1:11">
      <c r="A14" s="186">
        <v>6</v>
      </c>
      <c r="B14" s="187" t="s">
        <v>299</v>
      </c>
      <c r="C14" s="530"/>
      <c r="D14" s="530"/>
      <c r="E14" s="530"/>
      <c r="F14" s="530"/>
      <c r="G14" s="530"/>
      <c r="H14" s="530"/>
      <c r="I14" s="530"/>
      <c r="J14" s="530"/>
      <c r="K14" s="531"/>
    </row>
    <row r="15" spans="1:11">
      <c r="A15" s="186">
        <v>7</v>
      </c>
      <c r="B15" s="187" t="s">
        <v>300</v>
      </c>
      <c r="C15" s="530">
        <v>179397737.85673535</v>
      </c>
      <c r="D15" s="530">
        <v>1339497598.9288077</v>
      </c>
      <c r="E15" s="530">
        <v>1508308814.9876015</v>
      </c>
      <c r="F15" s="530">
        <v>130766204.71989012</v>
      </c>
      <c r="G15" s="530">
        <v>1382835871.1666815</v>
      </c>
      <c r="H15" s="530">
        <v>1513602075.8865728</v>
      </c>
      <c r="I15" s="530">
        <v>130766204.71989012</v>
      </c>
      <c r="J15" s="530">
        <v>1382835871.1666815</v>
      </c>
      <c r="K15" s="531">
        <v>1513602075.8865728</v>
      </c>
    </row>
    <row r="16" spans="1:11">
      <c r="A16" s="186">
        <v>8</v>
      </c>
      <c r="B16" s="188" t="s">
        <v>261</v>
      </c>
      <c r="C16" s="530">
        <v>12458002585.669485</v>
      </c>
      <c r="D16" s="530">
        <v>13660863686.264429</v>
      </c>
      <c r="E16" s="530">
        <v>25309139845.209446</v>
      </c>
      <c r="F16" s="530">
        <v>2778590688.9484353</v>
      </c>
      <c r="G16" s="530">
        <v>5175207487.3280678</v>
      </c>
      <c r="H16" s="530">
        <v>7953798176.2765036</v>
      </c>
      <c r="I16" s="530">
        <v>1969253378.1295204</v>
      </c>
      <c r="J16" s="530">
        <v>3568099574.0145721</v>
      </c>
      <c r="K16" s="531">
        <v>5537352952.1440983</v>
      </c>
    </row>
    <row r="17" spans="1:11">
      <c r="A17" s="181" t="s">
        <v>258</v>
      </c>
      <c r="B17" s="182"/>
      <c r="C17" s="532"/>
      <c r="D17" s="532"/>
      <c r="E17" s="532"/>
      <c r="F17" s="532"/>
      <c r="G17" s="532"/>
      <c r="H17" s="532"/>
      <c r="I17" s="532"/>
      <c r="J17" s="532"/>
      <c r="K17" s="533"/>
    </row>
    <row r="18" spans="1:11">
      <c r="A18" s="186">
        <v>9</v>
      </c>
      <c r="B18" s="187" t="s">
        <v>264</v>
      </c>
      <c r="C18" s="530"/>
      <c r="D18" s="530"/>
      <c r="E18" s="530"/>
      <c r="F18" s="530"/>
      <c r="G18" s="530"/>
      <c r="H18" s="530"/>
      <c r="I18" s="530"/>
      <c r="J18" s="530"/>
      <c r="K18" s="531"/>
    </row>
    <row r="19" spans="1:11">
      <c r="A19" s="186">
        <v>10</v>
      </c>
      <c r="B19" s="187" t="s">
        <v>301</v>
      </c>
      <c r="C19" s="530">
        <v>439250103.4769727</v>
      </c>
      <c r="D19" s="530">
        <v>280599414.74274391</v>
      </c>
      <c r="E19" s="530">
        <v>688910971.7338506</v>
      </c>
      <c r="F19" s="530">
        <v>216916209.40479514</v>
      </c>
      <c r="G19" s="530">
        <v>136918122.68973064</v>
      </c>
      <c r="H19" s="530">
        <v>353834332.09452587</v>
      </c>
      <c r="I19" s="530">
        <v>221074437.82270718</v>
      </c>
      <c r="J19" s="530">
        <v>893133302.87225473</v>
      </c>
      <c r="K19" s="531">
        <v>1114207740.6949615</v>
      </c>
    </row>
    <row r="20" spans="1:11">
      <c r="A20" s="186">
        <v>11</v>
      </c>
      <c r="B20" s="187" t="s">
        <v>263</v>
      </c>
      <c r="C20" s="530">
        <v>283561050.11076373</v>
      </c>
      <c r="D20" s="530">
        <v>1094192947.4347041</v>
      </c>
      <c r="E20" s="530">
        <v>1359763441.3722646</v>
      </c>
      <c r="F20" s="530">
        <v>243778009.53576919</v>
      </c>
      <c r="G20" s="530">
        <v>1124980709.9230971</v>
      </c>
      <c r="H20" s="530">
        <v>1368758719.4588659</v>
      </c>
      <c r="I20" s="530">
        <v>243778009.53576919</v>
      </c>
      <c r="J20" s="530">
        <v>1124980709.9230971</v>
      </c>
      <c r="K20" s="531">
        <v>1368758719.4588659</v>
      </c>
    </row>
    <row r="21" spans="1:11" ht="14.4" thickBot="1">
      <c r="A21" s="189">
        <v>12</v>
      </c>
      <c r="B21" s="190" t="s">
        <v>262</v>
      </c>
      <c r="C21" s="530">
        <v>722811153.58773637</v>
      </c>
      <c r="D21" s="530">
        <v>1374792362.177448</v>
      </c>
      <c r="E21" s="530">
        <v>2048674413.1061153</v>
      </c>
      <c r="F21" s="530">
        <v>460694218.94056433</v>
      </c>
      <c r="G21" s="530">
        <v>1261898832.6128278</v>
      </c>
      <c r="H21" s="530">
        <v>1722593051.5533917</v>
      </c>
      <c r="I21" s="530">
        <v>464852447.3584764</v>
      </c>
      <c r="J21" s="530">
        <v>2018114012.795352</v>
      </c>
      <c r="K21" s="531">
        <v>2482966460.1538277</v>
      </c>
    </row>
    <row r="22" spans="1:11" ht="38.25" customHeight="1" thickBot="1">
      <c r="A22" s="191"/>
      <c r="B22" s="192"/>
      <c r="C22" s="534"/>
      <c r="D22" s="534"/>
      <c r="E22" s="534"/>
      <c r="F22" s="768" t="s">
        <v>751</v>
      </c>
      <c r="G22" s="768"/>
      <c r="H22" s="768"/>
      <c r="I22" s="768" t="s">
        <v>752</v>
      </c>
      <c r="J22" s="768"/>
      <c r="K22" s="769"/>
    </row>
    <row r="23" spans="1:11">
      <c r="A23" s="193">
        <v>13</v>
      </c>
      <c r="B23" s="194" t="s">
        <v>254</v>
      </c>
      <c r="C23" s="499"/>
      <c r="D23" s="499"/>
      <c r="E23" s="499"/>
      <c r="F23" s="530">
        <f>F8</f>
        <v>2319264316.113193</v>
      </c>
      <c r="G23" s="530">
        <f t="shared" ref="G23:K23" si="0">G8</f>
        <v>5869107604.1063442</v>
      </c>
      <c r="H23" s="530">
        <f t="shared" si="0"/>
        <v>8188371920.2195292</v>
      </c>
      <c r="I23" s="530">
        <f t="shared" si="0"/>
        <v>2315241099.4544029</v>
      </c>
      <c r="J23" s="530">
        <f t="shared" si="0"/>
        <v>5132763943.3385429</v>
      </c>
      <c r="K23" s="531">
        <f t="shared" si="0"/>
        <v>7448005042.7929468</v>
      </c>
    </row>
    <row r="24" spans="1:11" ht="14.4" thickBot="1">
      <c r="A24" s="195">
        <v>14</v>
      </c>
      <c r="B24" s="196" t="s">
        <v>266</v>
      </c>
      <c r="C24" s="499"/>
      <c r="D24" s="499"/>
      <c r="E24" s="499"/>
      <c r="F24" s="530">
        <f>F16-F21</f>
        <v>2317896470.0078712</v>
      </c>
      <c r="G24" s="530">
        <f t="shared" ref="G24:K24" si="1">G16-G21</f>
        <v>3913308654.71524</v>
      </c>
      <c r="H24" s="530">
        <f t="shared" si="1"/>
        <v>6231205124.7231121</v>
      </c>
      <c r="I24" s="530">
        <f t="shared" si="1"/>
        <v>1504400930.771044</v>
      </c>
      <c r="J24" s="530">
        <f>J16-J21</f>
        <v>1549985561.2192202</v>
      </c>
      <c r="K24" s="531">
        <f t="shared" si="1"/>
        <v>3054386491.9902706</v>
      </c>
    </row>
    <row r="25" spans="1:11" ht="14.4" thickBot="1">
      <c r="A25" s="200">
        <v>15</v>
      </c>
      <c r="B25" s="201" t="s">
        <v>267</v>
      </c>
      <c r="C25" s="535"/>
      <c r="D25" s="535"/>
      <c r="E25" s="535"/>
      <c r="F25" s="536">
        <f>F23/F24</f>
        <v>1.0005901239002781</v>
      </c>
      <c r="G25" s="536">
        <f t="shared" ref="G25:K25" si="2">G23/G24</f>
        <v>1.4997814182212577</v>
      </c>
      <c r="H25" s="536">
        <f t="shared" si="2"/>
        <v>1.3140912161166232</v>
      </c>
      <c r="I25" s="536">
        <f t="shared" si="2"/>
        <v>1.5389787736090954</v>
      </c>
      <c r="J25" s="536">
        <f t="shared" si="2"/>
        <v>3.3114914562824094</v>
      </c>
      <c r="K25" s="537">
        <f t="shared" si="2"/>
        <v>2.4384618850051774</v>
      </c>
    </row>
    <row r="26" spans="1:11">
      <c r="C26" s="538"/>
      <c r="D26" s="538"/>
      <c r="E26" s="538"/>
      <c r="F26" s="538"/>
      <c r="G26" s="538"/>
      <c r="H26" s="538"/>
      <c r="I26" s="538"/>
      <c r="J26" s="538"/>
      <c r="K26" s="538"/>
    </row>
    <row r="27" spans="1:11" ht="27">
      <c r="B27" s="177" t="s">
        <v>302</v>
      </c>
      <c r="C27" s="538"/>
      <c r="D27" s="538"/>
      <c r="E27" s="538"/>
      <c r="F27" s="538"/>
      <c r="G27" s="538"/>
      <c r="H27" s="538"/>
      <c r="I27" s="538"/>
      <c r="J27" s="538"/>
      <c r="K27" s="538"/>
    </row>
    <row r="28" spans="1:11">
      <c r="C28" s="538"/>
      <c r="D28" s="538"/>
      <c r="E28" s="538"/>
      <c r="F28" s="538"/>
      <c r="G28" s="538"/>
      <c r="H28" s="538"/>
      <c r="I28" s="538"/>
      <c r="J28" s="538"/>
      <c r="K28" s="538"/>
    </row>
    <row r="29" spans="1:11">
      <c r="C29" s="538"/>
      <c r="D29" s="538"/>
      <c r="E29" s="538"/>
      <c r="F29" s="538"/>
      <c r="G29" s="538"/>
      <c r="H29" s="538"/>
      <c r="I29" s="538"/>
      <c r="J29" s="538"/>
      <c r="K29" s="538"/>
    </row>
    <row r="30" spans="1:11">
      <c r="C30" s="538"/>
      <c r="D30" s="538"/>
      <c r="E30" s="538"/>
      <c r="F30" s="538"/>
      <c r="G30" s="538"/>
      <c r="H30" s="538"/>
      <c r="I30" s="538"/>
      <c r="J30" s="538"/>
      <c r="K30" s="538"/>
    </row>
    <row r="31" spans="1:11">
      <c r="C31" s="538"/>
      <c r="D31" s="538"/>
      <c r="E31" s="538"/>
      <c r="F31" s="538"/>
      <c r="G31" s="538"/>
      <c r="H31" s="538"/>
      <c r="I31" s="538"/>
      <c r="J31" s="538"/>
      <c r="K31" s="538"/>
    </row>
    <row r="32" spans="1:11">
      <c r="C32" s="538"/>
      <c r="D32" s="538"/>
      <c r="E32" s="538"/>
      <c r="F32" s="538"/>
      <c r="G32" s="538"/>
      <c r="H32" s="538"/>
      <c r="I32" s="538"/>
      <c r="J32" s="538"/>
      <c r="K32" s="538"/>
    </row>
    <row r="33" spans="3:11">
      <c r="C33" s="538"/>
      <c r="D33" s="538"/>
      <c r="E33" s="538"/>
      <c r="F33" s="538"/>
      <c r="G33" s="538"/>
      <c r="H33" s="538"/>
      <c r="I33" s="538"/>
      <c r="J33" s="538"/>
      <c r="K33" s="538"/>
    </row>
    <row r="34" spans="3:11">
      <c r="C34" s="538"/>
      <c r="D34" s="538"/>
      <c r="E34" s="538"/>
      <c r="F34" s="538"/>
      <c r="G34" s="538"/>
      <c r="H34" s="538"/>
      <c r="I34" s="538"/>
      <c r="J34" s="538"/>
      <c r="K34" s="538"/>
    </row>
    <row r="35" spans="3:11">
      <c r="C35" s="538"/>
      <c r="D35" s="538"/>
      <c r="E35" s="538"/>
      <c r="F35" s="538"/>
      <c r="G35" s="538"/>
      <c r="H35" s="538"/>
      <c r="I35" s="538"/>
      <c r="J35" s="538"/>
      <c r="K35" s="538"/>
    </row>
    <row r="36" spans="3:11">
      <c r="C36" s="538"/>
      <c r="D36" s="538"/>
      <c r="E36" s="538"/>
      <c r="F36" s="538"/>
      <c r="G36" s="538"/>
      <c r="H36" s="538"/>
      <c r="I36" s="538"/>
      <c r="J36" s="538"/>
      <c r="K36" s="538"/>
    </row>
    <row r="37" spans="3:11">
      <c r="C37" s="538"/>
      <c r="D37" s="538"/>
      <c r="E37" s="538"/>
      <c r="F37" s="538"/>
      <c r="G37" s="538"/>
      <c r="H37" s="538"/>
      <c r="I37" s="538"/>
      <c r="J37" s="538"/>
      <c r="K37" s="538"/>
    </row>
    <row r="38" spans="3:11">
      <c r="C38" s="538"/>
      <c r="D38" s="538"/>
      <c r="E38" s="538"/>
      <c r="F38" s="538"/>
      <c r="G38" s="538"/>
      <c r="H38" s="538"/>
      <c r="I38" s="538"/>
      <c r="J38" s="538"/>
      <c r="K38" s="538"/>
    </row>
    <row r="39" spans="3:11">
      <c r="C39" s="538"/>
      <c r="D39" s="538"/>
      <c r="E39" s="538"/>
      <c r="F39" s="538"/>
      <c r="G39" s="538"/>
      <c r="H39" s="538"/>
      <c r="I39" s="538"/>
      <c r="J39" s="538"/>
      <c r="K39" s="538"/>
    </row>
    <row r="40" spans="3:11">
      <c r="C40" s="538"/>
      <c r="D40" s="538"/>
      <c r="E40" s="538"/>
      <c r="F40" s="538"/>
      <c r="G40" s="538"/>
      <c r="H40" s="538"/>
      <c r="I40" s="538"/>
      <c r="J40" s="538"/>
      <c r="K40" s="538"/>
    </row>
    <row r="41" spans="3:11">
      <c r="C41" s="538"/>
      <c r="D41" s="538"/>
      <c r="E41" s="538"/>
      <c r="F41" s="538"/>
      <c r="G41" s="538"/>
      <c r="H41" s="538"/>
      <c r="I41" s="538"/>
      <c r="J41" s="538"/>
      <c r="K41" s="538"/>
    </row>
    <row r="42" spans="3:11">
      <c r="C42" s="538"/>
      <c r="D42" s="538"/>
      <c r="E42" s="538"/>
      <c r="F42" s="538"/>
      <c r="G42" s="538"/>
      <c r="H42" s="538"/>
      <c r="I42" s="538"/>
      <c r="J42" s="538"/>
      <c r="K42" s="538"/>
    </row>
    <row r="43" spans="3:11">
      <c r="C43" s="538"/>
      <c r="D43" s="538"/>
      <c r="E43" s="538"/>
      <c r="F43" s="538"/>
      <c r="G43" s="538"/>
      <c r="H43" s="538"/>
      <c r="I43" s="538"/>
      <c r="J43" s="538"/>
      <c r="K43" s="538"/>
    </row>
    <row r="44" spans="3:11">
      <c r="C44" s="538"/>
      <c r="D44" s="538"/>
      <c r="E44" s="538"/>
      <c r="F44" s="538"/>
      <c r="G44" s="538"/>
      <c r="H44" s="538"/>
      <c r="I44" s="538"/>
      <c r="J44" s="538"/>
      <c r="K44" s="538"/>
    </row>
    <row r="45" spans="3:11">
      <c r="C45" s="538"/>
      <c r="D45" s="538"/>
      <c r="E45" s="538"/>
      <c r="F45" s="538"/>
      <c r="G45" s="538"/>
      <c r="H45" s="538"/>
      <c r="I45" s="538"/>
      <c r="J45" s="538"/>
      <c r="K45" s="538"/>
    </row>
    <row r="46" spans="3:11">
      <c r="C46" s="538"/>
      <c r="D46" s="538"/>
      <c r="E46" s="538"/>
      <c r="F46" s="538"/>
      <c r="G46" s="538"/>
      <c r="H46" s="538"/>
      <c r="I46" s="538"/>
      <c r="J46" s="538"/>
      <c r="K46" s="538"/>
    </row>
    <row r="47" spans="3:11">
      <c r="C47" s="538"/>
      <c r="D47" s="538"/>
      <c r="E47" s="538"/>
      <c r="F47" s="538"/>
      <c r="G47" s="538"/>
      <c r="H47" s="538"/>
      <c r="I47" s="538"/>
      <c r="J47" s="538"/>
      <c r="K47" s="538"/>
    </row>
    <row r="48" spans="3:11">
      <c r="C48" s="538"/>
      <c r="D48" s="538"/>
      <c r="E48" s="538"/>
      <c r="F48" s="538"/>
      <c r="G48" s="538"/>
      <c r="H48" s="538"/>
      <c r="I48" s="538"/>
      <c r="J48" s="538"/>
      <c r="K48" s="538"/>
    </row>
    <row r="49" spans="3:11">
      <c r="C49" s="538"/>
      <c r="D49" s="538"/>
      <c r="E49" s="538"/>
      <c r="F49" s="538"/>
      <c r="G49" s="538"/>
      <c r="H49" s="538"/>
      <c r="I49" s="538"/>
      <c r="J49" s="538"/>
      <c r="K49" s="538"/>
    </row>
    <row r="50" spans="3:11">
      <c r="C50" s="538"/>
      <c r="D50" s="538"/>
      <c r="E50" s="538"/>
      <c r="F50" s="538"/>
      <c r="G50" s="538"/>
      <c r="H50" s="538"/>
      <c r="I50" s="538"/>
      <c r="J50" s="538"/>
      <c r="K50" s="538"/>
    </row>
    <row r="51" spans="3:11">
      <c r="C51" s="538"/>
      <c r="D51" s="538"/>
      <c r="E51" s="538"/>
      <c r="F51" s="538"/>
      <c r="G51" s="538"/>
      <c r="H51" s="538"/>
      <c r="I51" s="538"/>
      <c r="J51" s="538"/>
      <c r="K51" s="538"/>
    </row>
    <row r="52" spans="3:11">
      <c r="C52" s="538"/>
      <c r="D52" s="538"/>
      <c r="E52" s="538"/>
      <c r="F52" s="538"/>
      <c r="G52" s="538"/>
      <c r="H52" s="538"/>
      <c r="I52" s="538"/>
      <c r="J52" s="538"/>
      <c r="K52" s="538"/>
    </row>
    <row r="53" spans="3:11">
      <c r="C53" s="538"/>
      <c r="D53" s="538"/>
      <c r="E53" s="538"/>
      <c r="F53" s="538"/>
      <c r="G53" s="538"/>
      <c r="H53" s="538"/>
      <c r="I53" s="538"/>
      <c r="J53" s="538"/>
      <c r="K53" s="538"/>
    </row>
    <row r="54" spans="3:11">
      <c r="C54" s="538"/>
      <c r="D54" s="538"/>
      <c r="E54" s="538"/>
      <c r="F54" s="538"/>
      <c r="G54" s="538"/>
      <c r="H54" s="538"/>
      <c r="I54" s="538"/>
      <c r="J54" s="538"/>
      <c r="K54" s="538"/>
    </row>
    <row r="55" spans="3:11">
      <c r="C55" s="538"/>
      <c r="D55" s="538"/>
      <c r="E55" s="538"/>
      <c r="F55" s="538"/>
      <c r="G55" s="538"/>
      <c r="H55" s="538"/>
      <c r="I55" s="538"/>
      <c r="J55" s="538"/>
      <c r="K55" s="538"/>
    </row>
    <row r="56" spans="3:11">
      <c r="C56" s="538"/>
      <c r="D56" s="538"/>
      <c r="E56" s="538"/>
      <c r="F56" s="538"/>
      <c r="G56" s="538"/>
      <c r="H56" s="538"/>
      <c r="I56" s="538"/>
      <c r="J56" s="538"/>
      <c r="K56" s="538"/>
    </row>
    <row r="57" spans="3:11">
      <c r="C57" s="538"/>
      <c r="D57" s="538"/>
      <c r="E57" s="538"/>
      <c r="F57" s="538"/>
      <c r="G57" s="538"/>
      <c r="H57" s="538"/>
      <c r="I57" s="538"/>
      <c r="J57" s="538"/>
      <c r="K57" s="538"/>
    </row>
    <row r="58" spans="3:11">
      <c r="C58" s="538"/>
      <c r="D58" s="538"/>
      <c r="E58" s="538"/>
      <c r="F58" s="538"/>
      <c r="G58" s="538"/>
      <c r="H58" s="538"/>
      <c r="I58" s="538"/>
      <c r="J58" s="538"/>
      <c r="K58" s="538"/>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zoomScaleNormal="100" workbookViewId="0">
      <pane xSplit="1" ySplit="5" topLeftCell="B6" activePane="bottomRight" state="frozen"/>
      <selection pane="topRight"/>
      <selection pane="bottomLeft"/>
      <selection pane="bottomRight" activeCell="B6" sqref="B6"/>
    </sheetView>
  </sheetViews>
  <sheetFormatPr defaultColWidth="9.109375" defaultRowHeight="13.2"/>
  <cols>
    <col min="1" max="1" width="10.5546875" style="4" bestFit="1" customWidth="1"/>
    <col min="2" max="2" width="95" style="4" customWidth="1"/>
    <col min="3" max="3" width="13.44140625" style="4" bestFit="1" customWidth="1"/>
    <col min="4" max="4" width="11.44140625" style="4" customWidth="1"/>
    <col min="5" max="5" width="18.33203125" style="4" bestFit="1" customWidth="1"/>
    <col min="6" max="13" width="12.6640625" style="4" customWidth="1"/>
    <col min="14" max="14" width="31" style="4" bestFit="1" customWidth="1"/>
    <col min="15" max="16384" width="9.109375" style="14"/>
  </cols>
  <sheetData>
    <row r="1" spans="1:14">
      <c r="A1" s="4" t="s">
        <v>30</v>
      </c>
      <c r="B1" s="3" t="str">
        <f>'Info '!C2</f>
        <v xml:space="preserve">JSC "Bank of Georgia" </v>
      </c>
    </row>
    <row r="2" spans="1:14" ht="14.25" customHeight="1">
      <c r="A2" s="4" t="s">
        <v>31</v>
      </c>
      <c r="B2" s="273">
        <f>'1. key ratios '!B2</f>
        <v>45473</v>
      </c>
    </row>
    <row r="3" spans="1:14" ht="14.25" customHeight="1"/>
    <row r="4" spans="1:14" ht="13.8" thickBot="1">
      <c r="A4" s="4" t="s">
        <v>162</v>
      </c>
      <c r="B4" s="133" t="s">
        <v>28</v>
      </c>
    </row>
    <row r="5" spans="1:14" s="102" customFormat="1">
      <c r="A5" s="98"/>
      <c r="B5" s="99"/>
      <c r="C5" s="100" t="s">
        <v>0</v>
      </c>
      <c r="D5" s="100" t="s">
        <v>1</v>
      </c>
      <c r="E5" s="100" t="s">
        <v>2</v>
      </c>
      <c r="F5" s="100" t="s">
        <v>3</v>
      </c>
      <c r="G5" s="100" t="s">
        <v>4</v>
      </c>
      <c r="H5" s="100" t="s">
        <v>5</v>
      </c>
      <c r="I5" s="100" t="s">
        <v>8</v>
      </c>
      <c r="J5" s="100" t="s">
        <v>9</v>
      </c>
      <c r="K5" s="100" t="s">
        <v>10</v>
      </c>
      <c r="L5" s="100" t="s">
        <v>11</v>
      </c>
      <c r="M5" s="100" t="s">
        <v>12</v>
      </c>
      <c r="N5" s="101" t="s">
        <v>13</v>
      </c>
    </row>
    <row r="6" spans="1:14" ht="26.4">
      <c r="A6" s="103"/>
      <c r="B6" s="104"/>
      <c r="C6" s="105" t="s">
        <v>161</v>
      </c>
      <c r="D6" s="106" t="s">
        <v>160</v>
      </c>
      <c r="E6" s="107" t="s">
        <v>159</v>
      </c>
      <c r="F6" s="108">
        <v>0</v>
      </c>
      <c r="G6" s="108">
        <v>0.2</v>
      </c>
      <c r="H6" s="108">
        <v>0.35</v>
      </c>
      <c r="I6" s="108">
        <v>0.5</v>
      </c>
      <c r="J6" s="108">
        <v>0.75</v>
      </c>
      <c r="K6" s="108">
        <v>1</v>
      </c>
      <c r="L6" s="108">
        <v>1.5</v>
      </c>
      <c r="M6" s="108">
        <v>2.5</v>
      </c>
      <c r="N6" s="132" t="s">
        <v>168</v>
      </c>
    </row>
    <row r="7" spans="1:14" ht="14.4">
      <c r="A7" s="109">
        <v>1</v>
      </c>
      <c r="B7" s="110" t="s">
        <v>158</v>
      </c>
      <c r="C7" s="629">
        <f>SUM(C8:C13)</f>
        <v>1080581257.0866003</v>
      </c>
      <c r="D7" s="630"/>
      <c r="E7" s="631">
        <f t="shared" ref="E7:M7" si="0">SUM(E8:E13)</f>
        <v>23325484.842522003</v>
      </c>
      <c r="F7" s="629">
        <f>SUM(F8:F13)</f>
        <v>0</v>
      </c>
      <c r="G7" s="629">
        <f t="shared" si="0"/>
        <v>14595654.000558</v>
      </c>
      <c r="H7" s="629">
        <f t="shared" si="0"/>
        <v>0</v>
      </c>
      <c r="I7" s="629">
        <f t="shared" si="0"/>
        <v>3079946.9161879998</v>
      </c>
      <c r="J7" s="629">
        <f t="shared" si="0"/>
        <v>0</v>
      </c>
      <c r="K7" s="629">
        <f t="shared" si="0"/>
        <v>5649883.9257759992</v>
      </c>
      <c r="L7" s="629">
        <f t="shared" si="0"/>
        <v>0</v>
      </c>
      <c r="M7" s="629">
        <f t="shared" si="0"/>
        <v>0</v>
      </c>
      <c r="N7" s="632">
        <f>SUM(N8:N13)</f>
        <v>10108988.183981599</v>
      </c>
    </row>
    <row r="8" spans="1:14" ht="13.8">
      <c r="A8" s="109">
        <v>1.1000000000000001</v>
      </c>
      <c r="B8" s="111" t="s">
        <v>156</v>
      </c>
      <c r="C8" s="633">
        <v>1043587442.3903</v>
      </c>
      <c r="D8" s="634">
        <v>0.02</v>
      </c>
      <c r="E8" s="631">
        <f>C8*D8</f>
        <v>20871748.847806003</v>
      </c>
      <c r="F8" s="633">
        <v>0</v>
      </c>
      <c r="G8" s="633">
        <v>14595654.000558</v>
      </c>
      <c r="H8" s="633">
        <v>0</v>
      </c>
      <c r="I8" s="633">
        <v>3079946.9161879998</v>
      </c>
      <c r="J8" s="633">
        <v>0</v>
      </c>
      <c r="K8" s="633">
        <v>3196147.9310599999</v>
      </c>
      <c r="L8" s="633">
        <v>0</v>
      </c>
      <c r="M8" s="633">
        <v>0</v>
      </c>
      <c r="N8" s="632">
        <f>SUMPRODUCT($F$6:$M$6,F8:M8)</f>
        <v>7655252.1892655995</v>
      </c>
    </row>
    <row r="9" spans="1:14" ht="13.8">
      <c r="A9" s="109">
        <v>1.2</v>
      </c>
      <c r="B9" s="111" t="s">
        <v>155</v>
      </c>
      <c r="C9" s="633">
        <v>23811853.519499999</v>
      </c>
      <c r="D9" s="634">
        <v>0.05</v>
      </c>
      <c r="E9" s="631">
        <f>C9*D9</f>
        <v>1190592.675975</v>
      </c>
      <c r="F9" s="633">
        <v>0</v>
      </c>
      <c r="G9" s="633">
        <v>0</v>
      </c>
      <c r="H9" s="633">
        <v>0</v>
      </c>
      <c r="I9" s="633">
        <v>0</v>
      </c>
      <c r="J9" s="633">
        <v>0</v>
      </c>
      <c r="K9" s="633">
        <v>1190592.675975</v>
      </c>
      <c r="L9" s="633">
        <v>0</v>
      </c>
      <c r="M9" s="633">
        <v>0</v>
      </c>
      <c r="N9" s="632">
        <f t="shared" ref="N9:N12" si="1">SUMPRODUCT($F$6:$M$6,F9:M9)</f>
        <v>1190592.675975</v>
      </c>
    </row>
    <row r="10" spans="1:14" ht="13.8">
      <c r="A10" s="109">
        <v>1.3</v>
      </c>
      <c r="B10" s="111" t="s">
        <v>154</v>
      </c>
      <c r="C10" s="633">
        <v>7945454.1980999997</v>
      </c>
      <c r="D10" s="634">
        <v>0.08</v>
      </c>
      <c r="E10" s="631">
        <f>C10*D10</f>
        <v>635636.33584800002</v>
      </c>
      <c r="F10" s="633">
        <v>0</v>
      </c>
      <c r="G10" s="633">
        <v>0</v>
      </c>
      <c r="H10" s="633">
        <v>0</v>
      </c>
      <c r="I10" s="633">
        <v>0</v>
      </c>
      <c r="J10" s="633">
        <v>0</v>
      </c>
      <c r="K10" s="633">
        <v>635636.33584800002</v>
      </c>
      <c r="L10" s="633">
        <v>0</v>
      </c>
      <c r="M10" s="633">
        <v>0</v>
      </c>
      <c r="N10" s="632">
        <f>SUMPRODUCT($F$6:$M$6,F10:M10)</f>
        <v>635636.33584800002</v>
      </c>
    </row>
    <row r="11" spans="1:14" ht="13.8">
      <c r="A11" s="109">
        <v>1.4</v>
      </c>
      <c r="B11" s="111" t="s">
        <v>153</v>
      </c>
      <c r="C11" s="633">
        <v>3520133.1375000002</v>
      </c>
      <c r="D11" s="634">
        <v>0.11</v>
      </c>
      <c r="E11" s="631">
        <f>C11*D11</f>
        <v>387214.64512500004</v>
      </c>
      <c r="F11" s="633">
        <v>0</v>
      </c>
      <c r="G11" s="633">
        <v>0</v>
      </c>
      <c r="H11" s="633">
        <v>0</v>
      </c>
      <c r="I11" s="633">
        <v>0</v>
      </c>
      <c r="J11" s="633">
        <v>0</v>
      </c>
      <c r="K11" s="633">
        <v>387214.64512499998</v>
      </c>
      <c r="L11" s="633">
        <v>0</v>
      </c>
      <c r="M11" s="633">
        <v>0</v>
      </c>
      <c r="N11" s="632">
        <f t="shared" si="1"/>
        <v>387214.64512499998</v>
      </c>
    </row>
    <row r="12" spans="1:14" ht="13.8">
      <c r="A12" s="109">
        <v>1.5</v>
      </c>
      <c r="B12" s="111" t="s">
        <v>152</v>
      </c>
      <c r="C12" s="633">
        <v>1716373.8411999999</v>
      </c>
      <c r="D12" s="634">
        <v>0.14000000000000001</v>
      </c>
      <c r="E12" s="631">
        <f>C12*D12</f>
        <v>240292.337768</v>
      </c>
      <c r="F12" s="633">
        <v>0</v>
      </c>
      <c r="G12" s="633">
        <v>0</v>
      </c>
      <c r="H12" s="633">
        <v>0</v>
      </c>
      <c r="I12" s="633">
        <v>0</v>
      </c>
      <c r="J12" s="633">
        <v>0</v>
      </c>
      <c r="K12" s="633">
        <v>240292.337768</v>
      </c>
      <c r="L12" s="633">
        <v>0</v>
      </c>
      <c r="M12" s="633">
        <v>0</v>
      </c>
      <c r="N12" s="632">
        <f t="shared" si="1"/>
        <v>240292.337768</v>
      </c>
    </row>
    <row r="13" spans="1:14" ht="13.8">
      <c r="A13" s="109">
        <v>1.6</v>
      </c>
      <c r="B13" s="112" t="s">
        <v>151</v>
      </c>
      <c r="C13" s="633">
        <v>0</v>
      </c>
      <c r="D13" s="635"/>
      <c r="E13" s="633"/>
      <c r="F13" s="633">
        <v>0</v>
      </c>
      <c r="G13" s="633">
        <v>0</v>
      </c>
      <c r="H13" s="633">
        <v>0</v>
      </c>
      <c r="I13" s="633">
        <v>0</v>
      </c>
      <c r="J13" s="633">
        <v>0</v>
      </c>
      <c r="K13" s="633">
        <v>0</v>
      </c>
      <c r="L13" s="633">
        <v>0</v>
      </c>
      <c r="M13" s="633">
        <v>0</v>
      </c>
      <c r="N13" s="632">
        <f>SUMPRODUCT($F$6:$M$6,F13:M13)</f>
        <v>0</v>
      </c>
    </row>
    <row r="14" spans="1:14" ht="14.4">
      <c r="A14" s="109">
        <v>2</v>
      </c>
      <c r="B14" s="113" t="s">
        <v>157</v>
      </c>
      <c r="C14" s="629">
        <f>SUM(C15:C20)</f>
        <v>13500000</v>
      </c>
      <c r="D14" s="630"/>
      <c r="E14" s="631">
        <f t="shared" ref="E14:M14" si="2">SUM(E15:E20)</f>
        <v>270000</v>
      </c>
      <c r="F14" s="633">
        <f t="shared" si="2"/>
        <v>270000</v>
      </c>
      <c r="G14" s="633">
        <f t="shared" si="2"/>
        <v>0</v>
      </c>
      <c r="H14" s="633">
        <f t="shared" si="2"/>
        <v>0</v>
      </c>
      <c r="I14" s="633">
        <f t="shared" si="2"/>
        <v>0</v>
      </c>
      <c r="J14" s="633">
        <f t="shared" si="2"/>
        <v>0</v>
      </c>
      <c r="K14" s="633">
        <f t="shared" si="2"/>
        <v>0</v>
      </c>
      <c r="L14" s="633">
        <f t="shared" si="2"/>
        <v>0</v>
      </c>
      <c r="M14" s="633">
        <f t="shared" si="2"/>
        <v>0</v>
      </c>
      <c r="N14" s="632">
        <f>SUM(N15:N20)</f>
        <v>0</v>
      </c>
    </row>
    <row r="15" spans="1:14" ht="13.8">
      <c r="A15" s="109">
        <v>2.1</v>
      </c>
      <c r="B15" s="112" t="s">
        <v>156</v>
      </c>
      <c r="C15" s="633">
        <v>0</v>
      </c>
      <c r="D15" s="634">
        <v>5.0000000000000001E-3</v>
      </c>
      <c r="E15" s="631">
        <f>C15*D15</f>
        <v>0</v>
      </c>
      <c r="F15" s="633">
        <v>0</v>
      </c>
      <c r="G15" s="633">
        <v>0</v>
      </c>
      <c r="H15" s="633">
        <v>0</v>
      </c>
      <c r="I15" s="633">
        <v>0</v>
      </c>
      <c r="J15" s="633">
        <v>0</v>
      </c>
      <c r="K15" s="633">
        <v>0</v>
      </c>
      <c r="L15" s="633">
        <v>0</v>
      </c>
      <c r="M15" s="633">
        <v>0</v>
      </c>
      <c r="N15" s="632">
        <f>SUMPRODUCT($F$6:$M$6,F15:M15)</f>
        <v>0</v>
      </c>
    </row>
    <row r="16" spans="1:14" ht="13.8">
      <c r="A16" s="109">
        <v>2.2000000000000002</v>
      </c>
      <c r="B16" s="112" t="s">
        <v>155</v>
      </c>
      <c r="C16" s="633">
        <v>0</v>
      </c>
      <c r="D16" s="634">
        <v>0.01</v>
      </c>
      <c r="E16" s="631">
        <f>C16*D16</f>
        <v>0</v>
      </c>
      <c r="F16" s="633">
        <v>0</v>
      </c>
      <c r="G16" s="633">
        <v>0</v>
      </c>
      <c r="H16" s="633">
        <v>0</v>
      </c>
      <c r="I16" s="633">
        <v>0</v>
      </c>
      <c r="J16" s="633">
        <v>0</v>
      </c>
      <c r="K16" s="633">
        <v>0</v>
      </c>
      <c r="L16" s="633">
        <v>0</v>
      </c>
      <c r="M16" s="633">
        <v>0</v>
      </c>
      <c r="N16" s="632">
        <f t="shared" ref="N16:N20" si="3">SUMPRODUCT($F$6:$M$6,F16:M16)</f>
        <v>0</v>
      </c>
    </row>
    <row r="17" spans="1:14" ht="13.8">
      <c r="A17" s="109">
        <v>2.2999999999999998</v>
      </c>
      <c r="B17" s="112" t="s">
        <v>154</v>
      </c>
      <c r="C17" s="633">
        <v>13500000</v>
      </c>
      <c r="D17" s="634">
        <v>0.02</v>
      </c>
      <c r="E17" s="631">
        <f>C17*D17</f>
        <v>270000</v>
      </c>
      <c r="F17" s="633">
        <v>270000</v>
      </c>
      <c r="G17" s="633">
        <v>0</v>
      </c>
      <c r="H17" s="633">
        <v>0</v>
      </c>
      <c r="I17" s="633">
        <v>0</v>
      </c>
      <c r="J17" s="633">
        <v>0</v>
      </c>
      <c r="K17" s="633">
        <v>0</v>
      </c>
      <c r="L17" s="633">
        <v>0</v>
      </c>
      <c r="M17" s="633">
        <v>0</v>
      </c>
      <c r="N17" s="632">
        <f t="shared" si="3"/>
        <v>0</v>
      </c>
    </row>
    <row r="18" spans="1:14" ht="13.8">
      <c r="A18" s="109">
        <v>2.4</v>
      </c>
      <c r="B18" s="112" t="s">
        <v>153</v>
      </c>
      <c r="C18" s="633">
        <v>0</v>
      </c>
      <c r="D18" s="634">
        <v>0.03</v>
      </c>
      <c r="E18" s="631">
        <f>C18*D18</f>
        <v>0</v>
      </c>
      <c r="F18" s="633">
        <v>0</v>
      </c>
      <c r="G18" s="633">
        <v>0</v>
      </c>
      <c r="H18" s="633">
        <v>0</v>
      </c>
      <c r="I18" s="633">
        <v>0</v>
      </c>
      <c r="J18" s="633">
        <v>0</v>
      </c>
      <c r="K18" s="633">
        <v>0</v>
      </c>
      <c r="L18" s="633">
        <v>0</v>
      </c>
      <c r="M18" s="633">
        <v>0</v>
      </c>
      <c r="N18" s="632">
        <f t="shared" si="3"/>
        <v>0</v>
      </c>
    </row>
    <row r="19" spans="1:14" ht="13.8">
      <c r="A19" s="109">
        <v>2.5</v>
      </c>
      <c r="B19" s="112" t="s">
        <v>152</v>
      </c>
      <c r="C19" s="633">
        <v>0</v>
      </c>
      <c r="D19" s="634">
        <v>0.04</v>
      </c>
      <c r="E19" s="631">
        <f>C19*D19</f>
        <v>0</v>
      </c>
      <c r="F19" s="633">
        <v>0</v>
      </c>
      <c r="G19" s="633">
        <v>0</v>
      </c>
      <c r="H19" s="633">
        <v>0</v>
      </c>
      <c r="I19" s="633">
        <v>0</v>
      </c>
      <c r="J19" s="633">
        <v>0</v>
      </c>
      <c r="K19" s="633">
        <v>0</v>
      </c>
      <c r="L19" s="633">
        <v>0</v>
      </c>
      <c r="M19" s="633">
        <v>0</v>
      </c>
      <c r="N19" s="632">
        <f t="shared" si="3"/>
        <v>0</v>
      </c>
    </row>
    <row r="20" spans="1:14" ht="13.8">
      <c r="A20" s="109">
        <v>2.6</v>
      </c>
      <c r="B20" s="112" t="s">
        <v>151</v>
      </c>
      <c r="C20" s="633"/>
      <c r="D20" s="635"/>
      <c r="E20" s="636"/>
      <c r="F20" s="633"/>
      <c r="G20" s="633"/>
      <c r="H20" s="633"/>
      <c r="I20" s="633"/>
      <c r="J20" s="633"/>
      <c r="K20" s="633"/>
      <c r="L20" s="633"/>
      <c r="M20" s="633"/>
      <c r="N20" s="632">
        <f t="shared" si="3"/>
        <v>0</v>
      </c>
    </row>
    <row r="21" spans="1:14" ht="15" thickBot="1">
      <c r="A21" s="114"/>
      <c r="B21" s="115" t="s">
        <v>64</v>
      </c>
      <c r="C21" s="637">
        <f>C14+C7</f>
        <v>1094081257.0866003</v>
      </c>
      <c r="D21" s="638"/>
      <c r="E21" s="639">
        <f>E14+E7</f>
        <v>23595484.842522003</v>
      </c>
      <c r="F21" s="640">
        <f>F7+F14</f>
        <v>270000</v>
      </c>
      <c r="G21" s="640">
        <f t="shared" ref="G21:L21" si="4">G7+G14</f>
        <v>14595654.000558</v>
      </c>
      <c r="H21" s="640">
        <f t="shared" si="4"/>
        <v>0</v>
      </c>
      <c r="I21" s="640">
        <f t="shared" si="4"/>
        <v>3079946.9161879998</v>
      </c>
      <c r="J21" s="640">
        <f t="shared" si="4"/>
        <v>0</v>
      </c>
      <c r="K21" s="640">
        <f t="shared" si="4"/>
        <v>5649883.9257759992</v>
      </c>
      <c r="L21" s="640">
        <f t="shared" si="4"/>
        <v>0</v>
      </c>
      <c r="M21" s="640">
        <f>M7+M14</f>
        <v>0</v>
      </c>
      <c r="N21" s="641">
        <f>N14+N7</f>
        <v>10108988.183981599</v>
      </c>
    </row>
    <row r="22" spans="1:14">
      <c r="C22" s="116"/>
      <c r="D22" s="116"/>
      <c r="E22" s="116"/>
      <c r="F22" s="116"/>
      <c r="G22" s="116"/>
      <c r="H22" s="116"/>
      <c r="I22" s="116"/>
      <c r="J22" s="116"/>
      <c r="K22" s="116"/>
      <c r="L22" s="116"/>
      <c r="M22" s="116"/>
      <c r="N22" s="116"/>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43"/>
  <sheetViews>
    <sheetView zoomScaleNormal="100" workbookViewId="0"/>
  </sheetViews>
  <sheetFormatPr defaultRowHeight="14.4"/>
  <cols>
    <col min="1" max="1" width="11.44140625" customWidth="1"/>
    <col min="2" max="2" width="76.88671875" style="227" customWidth="1"/>
    <col min="3" max="3" width="22.88671875" customWidth="1"/>
    <col min="4" max="4" width="14.88671875" bestFit="1" customWidth="1"/>
  </cols>
  <sheetData>
    <row r="1" spans="1:4">
      <c r="A1" s="2" t="s">
        <v>30</v>
      </c>
      <c r="B1" s="3" t="str">
        <f>'Info '!C2</f>
        <v xml:space="preserve">JSC "Bank of Georgia" </v>
      </c>
    </row>
    <row r="2" spans="1:4">
      <c r="A2" s="2" t="s">
        <v>31</v>
      </c>
      <c r="B2" s="273">
        <f>'1. key ratios '!B2</f>
        <v>45473</v>
      </c>
    </row>
    <row r="3" spans="1:4">
      <c r="A3" s="4"/>
      <c r="B3"/>
    </row>
    <row r="4" spans="1:4">
      <c r="A4" s="4" t="s">
        <v>306</v>
      </c>
      <c r="B4" t="s">
        <v>307</v>
      </c>
    </row>
    <row r="5" spans="1:4">
      <c r="A5" s="228" t="s">
        <v>308</v>
      </c>
      <c r="B5" s="229"/>
      <c r="C5" s="230"/>
    </row>
    <row r="6" spans="1:4">
      <c r="A6" s="231">
        <v>1</v>
      </c>
      <c r="B6" s="232" t="s">
        <v>359</v>
      </c>
      <c r="C6" s="642">
        <v>34140646600.775806</v>
      </c>
      <c r="D6" s="525"/>
    </row>
    <row r="7" spans="1:4">
      <c r="A7" s="231">
        <v>2</v>
      </c>
      <c r="B7" s="232" t="s">
        <v>309</v>
      </c>
      <c r="C7" s="642">
        <v>-212109020.891</v>
      </c>
      <c r="D7" s="525"/>
    </row>
    <row r="8" spans="1:4" ht="24">
      <c r="A8" s="233">
        <v>3</v>
      </c>
      <c r="B8" s="234" t="s">
        <v>310</v>
      </c>
      <c r="C8" s="642">
        <f>C6+C7</f>
        <v>33928537579.884808</v>
      </c>
      <c r="D8" s="525"/>
    </row>
    <row r="9" spans="1:4">
      <c r="A9" s="228" t="s">
        <v>311</v>
      </c>
      <c r="B9" s="229"/>
      <c r="C9" s="643"/>
      <c r="D9" s="525"/>
    </row>
    <row r="10" spans="1:4">
      <c r="A10" s="235">
        <v>4</v>
      </c>
      <c r="B10" s="236" t="s">
        <v>312</v>
      </c>
      <c r="C10" s="644"/>
      <c r="D10" s="525"/>
    </row>
    <row r="11" spans="1:4">
      <c r="A11" s="235">
        <v>5</v>
      </c>
      <c r="B11" s="237" t="s">
        <v>313</v>
      </c>
      <c r="C11" s="644"/>
      <c r="D11" s="525"/>
    </row>
    <row r="12" spans="1:4">
      <c r="A12" s="235" t="s">
        <v>314</v>
      </c>
      <c r="B12" s="237" t="s">
        <v>315</v>
      </c>
      <c r="C12" s="642">
        <v>23595484.842522003</v>
      </c>
      <c r="D12" s="525"/>
    </row>
    <row r="13" spans="1:4" ht="22.8">
      <c r="A13" s="238">
        <v>6</v>
      </c>
      <c r="B13" s="236" t="s">
        <v>316</v>
      </c>
      <c r="C13" s="644"/>
      <c r="D13" s="525"/>
    </row>
    <row r="14" spans="1:4">
      <c r="A14" s="238">
        <v>7</v>
      </c>
      <c r="B14" s="239" t="s">
        <v>317</v>
      </c>
      <c r="C14" s="644"/>
      <c r="D14" s="525"/>
    </row>
    <row r="15" spans="1:4">
      <c r="A15" s="240">
        <v>8</v>
      </c>
      <c r="B15" s="241" t="s">
        <v>318</v>
      </c>
      <c r="C15" s="644"/>
      <c r="D15" s="525"/>
    </row>
    <row r="16" spans="1:4">
      <c r="A16" s="238">
        <v>9</v>
      </c>
      <c r="B16" s="239" t="s">
        <v>319</v>
      </c>
      <c r="C16" s="644"/>
      <c r="D16" s="525"/>
    </row>
    <row r="17" spans="1:4">
      <c r="A17" s="238">
        <v>10</v>
      </c>
      <c r="B17" s="239" t="s">
        <v>320</v>
      </c>
      <c r="C17" s="644"/>
      <c r="D17" s="525"/>
    </row>
    <row r="18" spans="1:4">
      <c r="A18" s="242">
        <v>11</v>
      </c>
      <c r="B18" s="243" t="s">
        <v>321</v>
      </c>
      <c r="C18" s="642">
        <f>SUM(C10:C17)</f>
        <v>23595484.842522003</v>
      </c>
      <c r="D18" s="525"/>
    </row>
    <row r="19" spans="1:4">
      <c r="A19" s="244" t="s">
        <v>322</v>
      </c>
      <c r="B19" s="245"/>
      <c r="C19" s="643"/>
      <c r="D19" s="525"/>
    </row>
    <row r="20" spans="1:4">
      <c r="A20" s="246">
        <v>12</v>
      </c>
      <c r="B20" s="236" t="s">
        <v>323</v>
      </c>
      <c r="C20" s="644"/>
      <c r="D20" s="525"/>
    </row>
    <row r="21" spans="1:4">
      <c r="A21" s="246">
        <v>13</v>
      </c>
      <c r="B21" s="236" t="s">
        <v>324</v>
      </c>
      <c r="C21" s="644"/>
      <c r="D21" s="525"/>
    </row>
    <row r="22" spans="1:4">
      <c r="A22" s="246">
        <v>14</v>
      </c>
      <c r="B22" s="236" t="s">
        <v>325</v>
      </c>
      <c r="C22" s="644"/>
      <c r="D22" s="525"/>
    </row>
    <row r="23" spans="1:4" ht="22.8">
      <c r="A23" s="246" t="s">
        <v>326</v>
      </c>
      <c r="B23" s="236" t="s">
        <v>327</v>
      </c>
      <c r="C23" s="644"/>
      <c r="D23" s="525"/>
    </row>
    <row r="24" spans="1:4">
      <c r="A24" s="246">
        <v>15</v>
      </c>
      <c r="B24" s="236" t="s">
        <v>328</v>
      </c>
      <c r="C24" s="644"/>
      <c r="D24" s="525"/>
    </row>
    <row r="25" spans="1:4">
      <c r="A25" s="246" t="s">
        <v>329</v>
      </c>
      <c r="B25" s="236" t="s">
        <v>330</v>
      </c>
      <c r="C25" s="644"/>
      <c r="D25" s="525"/>
    </row>
    <row r="26" spans="1:4">
      <c r="A26" s="247">
        <v>16</v>
      </c>
      <c r="B26" s="248" t="s">
        <v>331</v>
      </c>
      <c r="C26" s="642">
        <f>SUM(C20:C25)</f>
        <v>0</v>
      </c>
      <c r="D26" s="525"/>
    </row>
    <row r="27" spans="1:4">
      <c r="A27" s="228" t="s">
        <v>332</v>
      </c>
      <c r="B27" s="229"/>
      <c r="C27" s="643"/>
      <c r="D27" s="525"/>
    </row>
    <row r="28" spans="1:4">
      <c r="A28" s="249">
        <v>17</v>
      </c>
      <c r="B28" s="237" t="s">
        <v>333</v>
      </c>
      <c r="C28" s="645">
        <v>0</v>
      </c>
      <c r="D28" s="525"/>
    </row>
    <row r="29" spans="1:4">
      <c r="A29" s="249">
        <v>18</v>
      </c>
      <c r="B29" s="237" t="s">
        <v>334</v>
      </c>
      <c r="C29" s="645">
        <v>0</v>
      </c>
      <c r="D29" s="525"/>
    </row>
    <row r="30" spans="1:4">
      <c r="A30" s="247">
        <v>19</v>
      </c>
      <c r="B30" s="248" t="s">
        <v>335</v>
      </c>
      <c r="C30" s="642">
        <f>C28+C29</f>
        <v>0</v>
      </c>
      <c r="D30" s="525"/>
    </row>
    <row r="31" spans="1:4">
      <c r="A31" s="228" t="s">
        <v>336</v>
      </c>
      <c r="B31" s="229"/>
      <c r="C31" s="643"/>
      <c r="D31" s="525"/>
    </row>
    <row r="32" spans="1:4" ht="22.8">
      <c r="A32" s="249" t="s">
        <v>337</v>
      </c>
      <c r="B32" s="236" t="s">
        <v>338</v>
      </c>
      <c r="C32" s="646"/>
      <c r="D32" s="525"/>
    </row>
    <row r="33" spans="1:4">
      <c r="A33" s="249" t="s">
        <v>339</v>
      </c>
      <c r="B33" s="237" t="s">
        <v>340</v>
      </c>
      <c r="C33" s="646"/>
      <c r="D33" s="525"/>
    </row>
    <row r="34" spans="1:4">
      <c r="A34" s="228" t="s">
        <v>341</v>
      </c>
      <c r="B34" s="229"/>
      <c r="C34" s="643"/>
      <c r="D34" s="525"/>
    </row>
    <row r="35" spans="1:4">
      <c r="A35" s="250">
        <v>20</v>
      </c>
      <c r="B35" s="251" t="s">
        <v>342</v>
      </c>
      <c r="C35" s="642">
        <v>5371066525.3529444</v>
      </c>
      <c r="D35" s="525"/>
    </row>
    <row r="36" spans="1:4">
      <c r="A36" s="247">
        <v>21</v>
      </c>
      <c r="B36" s="248" t="s">
        <v>343</v>
      </c>
      <c r="C36" s="642">
        <v>33952133064.727329</v>
      </c>
      <c r="D36" s="525"/>
    </row>
    <row r="37" spans="1:4">
      <c r="A37" s="228" t="s">
        <v>344</v>
      </c>
      <c r="B37" s="229"/>
      <c r="C37" s="647"/>
      <c r="D37" s="525"/>
    </row>
    <row r="38" spans="1:4">
      <c r="A38" s="247">
        <v>22</v>
      </c>
      <c r="B38" s="248" t="s">
        <v>344</v>
      </c>
      <c r="C38" s="648">
        <f>IFERROR(C35/C36,0)</f>
        <v>0.15819526022454578</v>
      </c>
      <c r="D38" s="525"/>
    </row>
    <row r="39" spans="1:4">
      <c r="A39" s="228" t="s">
        <v>345</v>
      </c>
      <c r="B39" s="229"/>
      <c r="C39" s="649"/>
    </row>
    <row r="40" spans="1:4">
      <c r="A40" s="252" t="s">
        <v>346</v>
      </c>
      <c r="B40" s="236" t="s">
        <v>347</v>
      </c>
      <c r="C40" s="650"/>
    </row>
    <row r="41" spans="1:4" ht="22.8">
      <c r="A41" s="253" t="s">
        <v>348</v>
      </c>
      <c r="B41" s="232" t="s">
        <v>349</v>
      </c>
      <c r="C41" s="650"/>
    </row>
    <row r="43" spans="1:4">
      <c r="B43" s="227" t="s">
        <v>360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42"/>
  <sheetViews>
    <sheetView zoomScaleNormal="100" workbookViewId="0">
      <pane xSplit="2" ySplit="6" topLeftCell="C7" activePane="bottomRight" state="frozen"/>
      <selection pane="topRight"/>
      <selection pane="bottomLeft"/>
      <selection pane="bottomRight" activeCell="C7" sqref="C7"/>
    </sheetView>
  </sheetViews>
  <sheetFormatPr defaultRowHeight="14.4"/>
  <cols>
    <col min="1" max="1" width="8.6640625" style="162"/>
    <col min="2" max="2" width="82.5546875" style="278" customWidth="1"/>
    <col min="3" max="3" width="17" style="162" bestFit="1" customWidth="1"/>
    <col min="4" max="7" width="17.5546875" style="162" customWidth="1"/>
  </cols>
  <sheetData>
    <row r="1" spans="1:13">
      <c r="A1" s="162" t="s">
        <v>30</v>
      </c>
      <c r="B1" s="3" t="str">
        <f>'Info '!C2</f>
        <v xml:space="preserve">JSC "Bank of Georgia" </v>
      </c>
    </row>
    <row r="2" spans="1:13">
      <c r="A2" s="162" t="s">
        <v>31</v>
      </c>
      <c r="B2" s="273">
        <f>'1. key ratios '!B2</f>
        <v>45473</v>
      </c>
    </row>
    <row r="4" spans="1:13" ht="15" thickBot="1">
      <c r="A4" s="162" t="s">
        <v>410</v>
      </c>
      <c r="B4" s="279" t="s">
        <v>371</v>
      </c>
    </row>
    <row r="5" spans="1:13">
      <c r="A5" s="280"/>
      <c r="B5" s="281"/>
      <c r="C5" s="770" t="s">
        <v>372</v>
      </c>
      <c r="D5" s="770"/>
      <c r="E5" s="770"/>
      <c r="F5" s="770"/>
      <c r="G5" s="771" t="s">
        <v>373</v>
      </c>
    </row>
    <row r="6" spans="1:13">
      <c r="A6" s="282"/>
      <c r="B6" s="283"/>
      <c r="C6" s="284" t="s">
        <v>374</v>
      </c>
      <c r="D6" s="285" t="s">
        <v>375</v>
      </c>
      <c r="E6" s="285" t="s">
        <v>376</v>
      </c>
      <c r="F6" s="285" t="s">
        <v>377</v>
      </c>
      <c r="G6" s="772"/>
    </row>
    <row r="7" spans="1:13">
      <c r="A7" s="286"/>
      <c r="B7" s="287" t="s">
        <v>378</v>
      </c>
      <c r="C7" s="288"/>
      <c r="D7" s="288"/>
      <c r="E7" s="288"/>
      <c r="F7" s="288"/>
      <c r="G7" s="289"/>
    </row>
    <row r="8" spans="1:13">
      <c r="A8" s="290">
        <v>1</v>
      </c>
      <c r="B8" s="291" t="s">
        <v>379</v>
      </c>
      <c r="C8" s="539">
        <f>SUM(C9:C10)</f>
        <v>5371066525.3529444</v>
      </c>
      <c r="D8" s="539">
        <f>SUM(D9:D10)</f>
        <v>0</v>
      </c>
      <c r="E8" s="539">
        <f>SUM(E9:E10)</f>
        <v>0</v>
      </c>
      <c r="F8" s="539">
        <f>SUM(F9:F10)</f>
        <v>3099813687.5146999</v>
      </c>
      <c r="G8" s="540">
        <f>SUM(G9:G10)</f>
        <v>8470880212.8676443</v>
      </c>
      <c r="I8" s="558"/>
      <c r="J8" s="558"/>
      <c r="K8" s="558"/>
      <c r="L8" s="558"/>
      <c r="M8" s="558"/>
    </row>
    <row r="9" spans="1:13">
      <c r="A9" s="290">
        <v>2</v>
      </c>
      <c r="B9" s="292" t="s">
        <v>380</v>
      </c>
      <c r="C9" s="539">
        <v>5371066525.3529444</v>
      </c>
      <c r="D9" s="539"/>
      <c r="E9" s="539"/>
      <c r="F9" s="539">
        <v>656742697</v>
      </c>
      <c r="G9" s="540">
        <v>6027809222.3529444</v>
      </c>
      <c r="I9" s="558"/>
      <c r="J9" s="558"/>
      <c r="K9" s="558"/>
      <c r="L9" s="558"/>
      <c r="M9" s="558"/>
    </row>
    <row r="10" spans="1:13" ht="27.6">
      <c r="A10" s="290">
        <v>3</v>
      </c>
      <c r="B10" s="292" t="s">
        <v>381</v>
      </c>
      <c r="C10" s="499"/>
      <c r="D10" s="499"/>
      <c r="E10" s="499"/>
      <c r="F10" s="539">
        <v>2443070990.5146999</v>
      </c>
      <c r="G10" s="540">
        <v>2443070990.5146999</v>
      </c>
      <c r="I10" s="558"/>
      <c r="J10" s="558"/>
      <c r="K10" s="558"/>
      <c r="L10" s="558"/>
      <c r="M10" s="558"/>
    </row>
    <row r="11" spans="1:13" ht="14.4" customHeight="1">
      <c r="A11" s="290">
        <v>4</v>
      </c>
      <c r="B11" s="291" t="s">
        <v>382</v>
      </c>
      <c r="C11" s="539">
        <f t="shared" ref="C11:F11" si="0">SUM(C12:C13)</f>
        <v>6124624358.9868002</v>
      </c>
      <c r="D11" s="539">
        <f t="shared" si="0"/>
        <v>4833162337.0500002</v>
      </c>
      <c r="E11" s="539">
        <f t="shared" si="0"/>
        <v>1725290477.9300001</v>
      </c>
      <c r="F11" s="539">
        <f t="shared" si="0"/>
        <v>446331394.67999995</v>
      </c>
      <c r="G11" s="540">
        <f>SUM(G12:G13)</f>
        <v>10486567646.303957</v>
      </c>
      <c r="I11" s="558"/>
      <c r="J11" s="558"/>
      <c r="K11" s="558"/>
      <c r="L11" s="558"/>
      <c r="M11" s="558"/>
    </row>
    <row r="12" spans="1:13">
      <c r="A12" s="290">
        <v>5</v>
      </c>
      <c r="B12" s="292" t="s">
        <v>383</v>
      </c>
      <c r="C12" s="539">
        <v>3432412277.6068001</v>
      </c>
      <c r="D12" s="541">
        <v>3663684717.3299999</v>
      </c>
      <c r="E12" s="539">
        <v>1261128337.95</v>
      </c>
      <c r="F12" s="539">
        <v>358026433.26999998</v>
      </c>
      <c r="G12" s="540">
        <v>8279489245.013958</v>
      </c>
      <c r="I12" s="558"/>
      <c r="J12" s="558"/>
      <c r="K12" s="558"/>
      <c r="L12" s="558"/>
      <c r="M12" s="558"/>
    </row>
    <row r="13" spans="1:13">
      <c r="A13" s="290">
        <v>6</v>
      </c>
      <c r="B13" s="292" t="s">
        <v>384</v>
      </c>
      <c r="C13" s="539">
        <v>2692212081.3800001</v>
      </c>
      <c r="D13" s="541">
        <v>1169477619.72</v>
      </c>
      <c r="E13" s="539">
        <v>464162139.98000002</v>
      </c>
      <c r="F13" s="539">
        <v>88304961.409999996</v>
      </c>
      <c r="G13" s="540">
        <v>2207078401.2899985</v>
      </c>
      <c r="I13" s="558"/>
      <c r="J13" s="558"/>
      <c r="K13" s="558"/>
      <c r="L13" s="558"/>
      <c r="M13" s="558"/>
    </row>
    <row r="14" spans="1:13">
      <c r="A14" s="290">
        <v>7</v>
      </c>
      <c r="B14" s="291" t="s">
        <v>385</v>
      </c>
      <c r="C14" s="539">
        <f t="shared" ref="C14:F14" si="1">SUM(C15:C16)</f>
        <v>6342359171.2864971</v>
      </c>
      <c r="D14" s="539">
        <f t="shared" si="1"/>
        <v>4523705570.0087004</v>
      </c>
      <c r="E14" s="539">
        <f t="shared" si="1"/>
        <v>459358149.75999999</v>
      </c>
      <c r="F14" s="539">
        <f t="shared" si="1"/>
        <v>21138250.48</v>
      </c>
      <c r="G14" s="540">
        <f>SUM(G15:G16)</f>
        <v>3398509541.5082483</v>
      </c>
      <c r="I14" s="558"/>
      <c r="J14" s="558"/>
      <c r="K14" s="558"/>
      <c r="L14" s="558"/>
      <c r="M14" s="558"/>
    </row>
    <row r="15" spans="1:13" ht="41.4">
      <c r="A15" s="290">
        <v>8</v>
      </c>
      <c r="B15" s="292" t="s">
        <v>386</v>
      </c>
      <c r="C15" s="539">
        <v>5772146757.8764973</v>
      </c>
      <c r="D15" s="541">
        <v>544930212.27000022</v>
      </c>
      <c r="E15" s="539">
        <v>78802580.569999993</v>
      </c>
      <c r="F15" s="539">
        <v>20583963.109999999</v>
      </c>
      <c r="G15" s="540">
        <v>3208231756.9132485</v>
      </c>
      <c r="I15" s="558"/>
      <c r="J15" s="558"/>
      <c r="K15" s="558"/>
      <c r="L15" s="558"/>
      <c r="M15" s="558"/>
    </row>
    <row r="16" spans="1:13" ht="27.6">
      <c r="A16" s="290">
        <v>9</v>
      </c>
      <c r="B16" s="292" t="s">
        <v>387</v>
      </c>
      <c r="C16" s="539">
        <v>570212413.40999997</v>
      </c>
      <c r="D16" s="541">
        <v>3978775357.7386999</v>
      </c>
      <c r="E16" s="539">
        <v>380555569.19</v>
      </c>
      <c r="F16" s="539">
        <v>554287.37</v>
      </c>
      <c r="G16" s="540">
        <v>190277784.595</v>
      </c>
      <c r="I16" s="558"/>
      <c r="J16" s="558"/>
      <c r="K16" s="558"/>
      <c r="L16" s="558"/>
      <c r="M16" s="558"/>
    </row>
    <row r="17" spans="1:13">
      <c r="A17" s="290">
        <v>10</v>
      </c>
      <c r="B17" s="291" t="s">
        <v>388</v>
      </c>
      <c r="C17" s="539"/>
      <c r="D17" s="541"/>
      <c r="E17" s="539"/>
      <c r="F17" s="539"/>
      <c r="G17" s="540"/>
      <c r="I17" s="558"/>
      <c r="J17" s="558"/>
      <c r="K17" s="558"/>
      <c r="L17" s="558"/>
      <c r="M17" s="558"/>
    </row>
    <row r="18" spans="1:13">
      <c r="A18" s="290">
        <v>11</v>
      </c>
      <c r="B18" s="291" t="s">
        <v>389</v>
      </c>
      <c r="C18" s="539">
        <f>SUM(C19:C20)</f>
        <v>0</v>
      </c>
      <c r="D18" s="541">
        <f t="shared" ref="D18:G18" si="2">SUM(D19:D20)</f>
        <v>975266931.26480162</v>
      </c>
      <c r="E18" s="539">
        <f t="shared" si="2"/>
        <v>792424.7200000002</v>
      </c>
      <c r="F18" s="539">
        <f t="shared" si="2"/>
        <v>1806602.94</v>
      </c>
      <c r="G18" s="540">
        <f t="shared" si="2"/>
        <v>0</v>
      </c>
      <c r="I18" s="558"/>
      <c r="J18" s="558"/>
      <c r="K18" s="558"/>
      <c r="L18" s="558"/>
      <c r="M18" s="558"/>
    </row>
    <row r="19" spans="1:13">
      <c r="A19" s="290">
        <v>12</v>
      </c>
      <c r="B19" s="292" t="s">
        <v>390</v>
      </c>
      <c r="C19" s="499"/>
      <c r="D19" s="541">
        <v>8047399.8200000003</v>
      </c>
      <c r="E19" s="539">
        <v>792424.7200000002</v>
      </c>
      <c r="F19" s="539">
        <v>1806602.94</v>
      </c>
      <c r="G19" s="540">
        <v>0</v>
      </c>
      <c r="I19" s="558"/>
      <c r="J19" s="558"/>
      <c r="K19" s="558"/>
      <c r="L19" s="558"/>
      <c r="M19" s="558"/>
    </row>
    <row r="20" spans="1:13">
      <c r="A20" s="290">
        <v>13</v>
      </c>
      <c r="B20" s="292" t="s">
        <v>391</v>
      </c>
      <c r="C20" s="539"/>
      <c r="D20" s="539">
        <v>967219531.44480157</v>
      </c>
      <c r="E20" s="539">
        <v>0</v>
      </c>
      <c r="F20" s="539">
        <v>0</v>
      </c>
      <c r="G20" s="540">
        <v>0</v>
      </c>
      <c r="I20" s="558"/>
      <c r="J20" s="558"/>
      <c r="K20" s="558"/>
      <c r="L20" s="558"/>
      <c r="M20" s="558"/>
    </row>
    <row r="21" spans="1:13">
      <c r="A21" s="293">
        <v>14</v>
      </c>
      <c r="B21" s="294" t="s">
        <v>392</v>
      </c>
      <c r="C21" s="542">
        <f>SUM(C8,C11,C14,C17,C18)</f>
        <v>17838050055.626244</v>
      </c>
      <c r="D21" s="542">
        <f>SUM(D8,D11,D14,D17,D18)</f>
        <v>10332134838.323502</v>
      </c>
      <c r="E21" s="542">
        <f t="shared" ref="E21:F21" si="3">SUM(E8,E11,E14,E17,E18)</f>
        <v>2185441052.4099998</v>
      </c>
      <c r="F21" s="542">
        <f t="shared" si="3"/>
        <v>3569089935.6146998</v>
      </c>
      <c r="G21" s="542">
        <f>SUM(G8,G11,G14,G17,G18)</f>
        <v>22355957400.679848</v>
      </c>
      <c r="I21" s="558"/>
      <c r="J21" s="558"/>
      <c r="K21" s="558"/>
      <c r="L21" s="558"/>
      <c r="M21" s="558"/>
    </row>
    <row r="22" spans="1:13">
      <c r="A22" s="295"/>
      <c r="B22" s="296" t="s">
        <v>393</v>
      </c>
      <c r="C22" s="543"/>
      <c r="D22" s="544"/>
      <c r="E22" s="543"/>
      <c r="F22" s="543"/>
      <c r="G22" s="545"/>
      <c r="I22" s="558"/>
      <c r="J22" s="558"/>
      <c r="K22" s="558"/>
      <c r="L22" s="558"/>
      <c r="M22" s="558"/>
    </row>
    <row r="23" spans="1:13">
      <c r="A23" s="290">
        <v>15</v>
      </c>
      <c r="B23" s="291" t="s">
        <v>394</v>
      </c>
      <c r="C23" s="546">
        <v>3639042290.3168011</v>
      </c>
      <c r="D23" s="547">
        <v>7556245602.4619999</v>
      </c>
      <c r="E23" s="546"/>
      <c r="F23" s="546"/>
      <c r="G23" s="540">
        <v>422444868.06029004</v>
      </c>
      <c r="I23" s="558"/>
      <c r="J23" s="558"/>
      <c r="K23" s="558"/>
      <c r="L23" s="558"/>
      <c r="M23" s="558"/>
    </row>
    <row r="24" spans="1:13">
      <c r="A24" s="290">
        <v>16</v>
      </c>
      <c r="B24" s="291" t="s">
        <v>395</v>
      </c>
      <c r="C24" s="539">
        <f>SUM(C25:C27,C29,C31)</f>
        <v>0</v>
      </c>
      <c r="D24" s="541">
        <f>SUM(D25:D27,D29,D31)</f>
        <v>3399024393.5242672</v>
      </c>
      <c r="E24" s="539">
        <f t="shared" ref="E24:G24" si="4">SUM(E25:E27,E29,E31)</f>
        <v>2574951100.5370555</v>
      </c>
      <c r="F24" s="539">
        <f t="shared" si="4"/>
        <v>13924111971.813404</v>
      </c>
      <c r="G24" s="540">
        <f t="shared" si="4"/>
        <v>14259464835.538731</v>
      </c>
      <c r="I24" s="558"/>
      <c r="J24" s="558"/>
      <c r="K24" s="558"/>
      <c r="L24" s="558"/>
      <c r="M24" s="558"/>
    </row>
    <row r="25" spans="1:13">
      <c r="A25" s="290">
        <v>17</v>
      </c>
      <c r="B25" s="292" t="s">
        <v>396</v>
      </c>
      <c r="C25" s="539">
        <v>0</v>
      </c>
      <c r="D25" s="541"/>
      <c r="E25" s="539"/>
      <c r="F25" s="539"/>
      <c r="G25" s="540"/>
      <c r="I25" s="558"/>
      <c r="J25" s="558"/>
      <c r="K25" s="558"/>
      <c r="L25" s="558"/>
      <c r="M25" s="558"/>
    </row>
    <row r="26" spans="1:13" ht="27.6">
      <c r="A26" s="290">
        <v>18</v>
      </c>
      <c r="B26" s="292" t="s">
        <v>397</v>
      </c>
      <c r="C26" s="539">
        <v>0</v>
      </c>
      <c r="D26" s="541">
        <v>106317949.18000001</v>
      </c>
      <c r="E26" s="539">
        <v>50376580.479999997</v>
      </c>
      <c r="F26" s="539">
        <v>115875208.81</v>
      </c>
      <c r="G26" s="540">
        <v>157011191.42699999</v>
      </c>
      <c r="I26" s="558"/>
      <c r="J26" s="558"/>
      <c r="K26" s="558"/>
      <c r="L26" s="558"/>
      <c r="M26" s="558"/>
    </row>
    <row r="27" spans="1:13">
      <c r="A27" s="290">
        <v>19</v>
      </c>
      <c r="B27" s="292" t="s">
        <v>398</v>
      </c>
      <c r="C27" s="539">
        <v>0</v>
      </c>
      <c r="D27" s="541">
        <v>2885021302.1808934</v>
      </c>
      <c r="E27" s="539">
        <v>2192513834.3988671</v>
      </c>
      <c r="F27" s="539">
        <v>8969627275.4066639</v>
      </c>
      <c r="G27" s="540">
        <v>10162950752.385567</v>
      </c>
      <c r="I27" s="558"/>
      <c r="J27" s="558"/>
      <c r="K27" s="558"/>
      <c r="L27" s="558"/>
      <c r="M27" s="558"/>
    </row>
    <row r="28" spans="1:13">
      <c r="A28" s="290">
        <v>20</v>
      </c>
      <c r="B28" s="297" t="s">
        <v>399</v>
      </c>
      <c r="C28" s="539"/>
      <c r="D28" s="541"/>
      <c r="E28" s="539"/>
      <c r="F28" s="539"/>
      <c r="G28" s="540"/>
      <c r="I28" s="558"/>
      <c r="J28" s="558"/>
      <c r="K28" s="558"/>
      <c r="L28" s="558"/>
      <c r="M28" s="558"/>
    </row>
    <row r="29" spans="1:13">
      <c r="A29" s="290">
        <v>21</v>
      </c>
      <c r="B29" s="292" t="s">
        <v>400</v>
      </c>
      <c r="C29" s="539">
        <v>0</v>
      </c>
      <c r="D29" s="541">
        <v>360172618.647174</v>
      </c>
      <c r="E29" s="539">
        <v>305857246.79868853</v>
      </c>
      <c r="F29" s="539">
        <v>4476557152.0783405</v>
      </c>
      <c r="G29" s="540">
        <v>3594900425.3476739</v>
      </c>
      <c r="I29" s="558"/>
      <c r="J29" s="558"/>
      <c r="K29" s="558"/>
      <c r="L29" s="558"/>
      <c r="M29" s="558"/>
    </row>
    <row r="30" spans="1:13">
      <c r="A30" s="290">
        <v>22</v>
      </c>
      <c r="B30" s="297" t="s">
        <v>399</v>
      </c>
      <c r="C30" s="539"/>
      <c r="D30" s="541">
        <v>238759611.03405368</v>
      </c>
      <c r="E30" s="539">
        <v>202612065.2802099</v>
      </c>
      <c r="F30" s="539">
        <v>2715940433.2092495</v>
      </c>
      <c r="G30" s="540">
        <v>1986047119.7431438</v>
      </c>
      <c r="I30" s="558"/>
      <c r="J30" s="558"/>
      <c r="K30" s="558"/>
      <c r="L30" s="558"/>
      <c r="M30" s="558"/>
    </row>
    <row r="31" spans="1:13">
      <c r="A31" s="290">
        <v>23</v>
      </c>
      <c r="B31" s="292" t="s">
        <v>401</v>
      </c>
      <c r="C31" s="539"/>
      <c r="D31" s="541">
        <v>47512523.516199999</v>
      </c>
      <c r="E31" s="539">
        <v>26203438.859499998</v>
      </c>
      <c r="F31" s="539">
        <v>362052335.51839995</v>
      </c>
      <c r="G31" s="540">
        <v>344602466.37848997</v>
      </c>
      <c r="I31" s="558"/>
      <c r="J31" s="558"/>
      <c r="K31" s="558"/>
      <c r="L31" s="558"/>
      <c r="M31" s="558"/>
    </row>
    <row r="32" spans="1:13">
      <c r="A32" s="290">
        <v>24</v>
      </c>
      <c r="B32" s="291" t="s">
        <v>402</v>
      </c>
      <c r="C32" s="539"/>
      <c r="D32" s="541"/>
      <c r="E32" s="539"/>
      <c r="F32" s="539"/>
      <c r="G32" s="540"/>
      <c r="I32" s="558"/>
      <c r="J32" s="558"/>
      <c r="K32" s="558"/>
      <c r="L32" s="558"/>
      <c r="M32" s="558"/>
    </row>
    <row r="33" spans="1:13">
      <c r="A33" s="290">
        <v>25</v>
      </c>
      <c r="B33" s="291" t="s">
        <v>403</v>
      </c>
      <c r="C33" s="539">
        <f>SUM(C34:C35)</f>
        <v>416144494.67610002</v>
      </c>
      <c r="D33" s="539">
        <f>SUM(D34:D35)</f>
        <v>1456958991.4806039</v>
      </c>
      <c r="E33" s="539">
        <f>SUM(E34:E35)</f>
        <v>150380743.08876354</v>
      </c>
      <c r="F33" s="539">
        <f>SUM(F34:F35)</f>
        <v>861496169.25514984</v>
      </c>
      <c r="G33" s="540">
        <f>SUM(G34:G35)</f>
        <v>2644806158.3487239</v>
      </c>
      <c r="I33" s="558"/>
      <c r="J33" s="558"/>
      <c r="K33" s="558"/>
      <c r="L33" s="558"/>
      <c r="M33" s="558"/>
    </row>
    <row r="34" spans="1:13">
      <c r="A34" s="290">
        <v>26</v>
      </c>
      <c r="B34" s="292" t="s">
        <v>404</v>
      </c>
      <c r="C34" s="499"/>
      <c r="D34" s="541">
        <v>13559914.85</v>
      </c>
      <c r="E34" s="539">
        <v>115493.82999999941</v>
      </c>
      <c r="F34" s="539">
        <v>247838.28</v>
      </c>
      <c r="G34" s="540">
        <v>13923246.959999999</v>
      </c>
      <c r="I34" s="558"/>
      <c r="J34" s="558"/>
      <c r="K34" s="558"/>
      <c r="L34" s="558"/>
      <c r="M34" s="558"/>
    </row>
    <row r="35" spans="1:13">
      <c r="A35" s="290">
        <v>27</v>
      </c>
      <c r="B35" s="292" t="s">
        <v>405</v>
      </c>
      <c r="C35" s="539">
        <v>416144494.67610002</v>
      </c>
      <c r="D35" s="541">
        <v>1443399076.630604</v>
      </c>
      <c r="E35" s="539">
        <v>150265249.25876352</v>
      </c>
      <c r="F35" s="539">
        <v>861248330.97514987</v>
      </c>
      <c r="G35" s="540">
        <v>2630882911.3887239</v>
      </c>
      <c r="I35" s="558"/>
      <c r="J35" s="558"/>
      <c r="K35" s="558"/>
      <c r="L35" s="558"/>
      <c r="M35" s="558"/>
    </row>
    <row r="36" spans="1:13">
      <c r="A36" s="290">
        <v>28</v>
      </c>
      <c r="B36" s="291" t="s">
        <v>406</v>
      </c>
      <c r="C36" s="539">
        <v>925502386.70039964</v>
      </c>
      <c r="D36" s="541">
        <v>668828240.14040005</v>
      </c>
      <c r="E36" s="539">
        <v>394308189.07389998</v>
      </c>
      <c r="F36" s="539">
        <v>952689175.2852</v>
      </c>
      <c r="G36" s="540">
        <v>295492138.54922998</v>
      </c>
      <c r="I36" s="558"/>
      <c r="J36" s="558"/>
      <c r="K36" s="558"/>
      <c r="L36" s="558"/>
      <c r="M36" s="558"/>
    </row>
    <row r="37" spans="1:13">
      <c r="A37" s="293">
        <v>29</v>
      </c>
      <c r="B37" s="294" t="s">
        <v>407</v>
      </c>
      <c r="C37" s="542">
        <f>SUM(C23:C24,C32:C33,C36)</f>
        <v>4980689171.6933002</v>
      </c>
      <c r="D37" s="542">
        <f>SUM(D23:D24,D32:D33,D36)</f>
        <v>13081057227.607271</v>
      </c>
      <c r="E37" s="542">
        <f>SUM(E23:E24,E32:E33,E36)</f>
        <v>3119640032.6997194</v>
      </c>
      <c r="F37" s="542">
        <f>SUM(F23:F24,F32:F33,F36)</f>
        <v>15738297316.353754</v>
      </c>
      <c r="G37" s="542">
        <f>SUM(G23:G24,G32:G33,G36)</f>
        <v>17622208000.496971</v>
      </c>
      <c r="I37" s="558"/>
      <c r="J37" s="558"/>
      <c r="K37" s="558"/>
      <c r="L37" s="558"/>
      <c r="M37" s="558"/>
    </row>
    <row r="38" spans="1:13">
      <c r="A38" s="286"/>
      <c r="B38" s="298"/>
      <c r="C38" s="299"/>
      <c r="D38" s="299"/>
      <c r="E38" s="299"/>
      <c r="F38" s="299"/>
      <c r="G38" s="300"/>
      <c r="I38" s="558"/>
      <c r="J38" s="558"/>
      <c r="K38" s="558"/>
      <c r="L38" s="558"/>
      <c r="M38" s="558"/>
    </row>
    <row r="39" spans="1:13" ht="15" thickBot="1">
      <c r="A39" s="301">
        <v>30</v>
      </c>
      <c r="B39" s="302" t="s">
        <v>408</v>
      </c>
      <c r="C39" s="197"/>
      <c r="D39" s="198"/>
      <c r="E39" s="198"/>
      <c r="F39" s="199"/>
      <c r="G39" s="303">
        <f>IFERROR(G21/G37,0)</f>
        <v>1.2686240793463213</v>
      </c>
      <c r="I39" s="558"/>
      <c r="J39" s="558"/>
      <c r="K39" s="558"/>
      <c r="L39" s="558"/>
      <c r="M39" s="558"/>
    </row>
    <row r="42" spans="1:13" ht="41.4">
      <c r="B42" s="278" t="s">
        <v>409</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40"/>
  <sheetViews>
    <sheetView showGridLines="0" zoomScaleNormal="100" workbookViewId="0"/>
  </sheetViews>
  <sheetFormatPr defaultColWidth="9.109375" defaultRowHeight="12"/>
  <cols>
    <col min="1" max="1" width="11.88671875" style="360" bestFit="1" customWidth="1"/>
    <col min="2" max="2" width="105.109375" style="360" bestFit="1" customWidth="1"/>
    <col min="3" max="4" width="16.88671875" style="360" bestFit="1" customWidth="1"/>
    <col min="5" max="5" width="17.5546875" style="360" bestFit="1" customWidth="1"/>
    <col min="6" max="6" width="18" style="360" bestFit="1" customWidth="1"/>
    <col min="7" max="7" width="30.44140625" style="360" customWidth="1"/>
    <col min="8" max="8" width="18" style="360" bestFit="1" customWidth="1"/>
    <col min="9" max="16384" width="9.109375" style="360"/>
  </cols>
  <sheetData>
    <row r="1" spans="1:8" ht="13.8">
      <c r="A1" s="304" t="s">
        <v>30</v>
      </c>
      <c r="B1" s="370" t="str">
        <f>'Info '!C2</f>
        <v xml:space="preserve">JSC "Bank of Georgia" </v>
      </c>
    </row>
    <row r="2" spans="1:8">
      <c r="A2" s="305" t="s">
        <v>31</v>
      </c>
      <c r="B2" s="369">
        <f>'1. key ratios '!B2</f>
        <v>45473</v>
      </c>
    </row>
    <row r="3" spans="1:8">
      <c r="A3" s="306" t="s">
        <v>414</v>
      </c>
    </row>
    <row r="5" spans="1:8" ht="12" customHeight="1">
      <c r="A5" s="773" t="s">
        <v>415</v>
      </c>
      <c r="B5" s="774"/>
      <c r="C5" s="779" t="s">
        <v>416</v>
      </c>
      <c r="D5" s="780"/>
      <c r="E5" s="780"/>
      <c r="F5" s="780"/>
      <c r="G5" s="780"/>
      <c r="H5" s="781"/>
    </row>
    <row r="6" spans="1:8">
      <c r="A6" s="775"/>
      <c r="B6" s="776"/>
      <c r="C6" s="782"/>
      <c r="D6" s="783"/>
      <c r="E6" s="783"/>
      <c r="F6" s="783"/>
      <c r="G6" s="783"/>
      <c r="H6" s="784"/>
    </row>
    <row r="7" spans="1:8">
      <c r="A7" s="777"/>
      <c r="B7" s="778"/>
      <c r="C7" s="368" t="s">
        <v>417</v>
      </c>
      <c r="D7" s="368" t="s">
        <v>418</v>
      </c>
      <c r="E7" s="368" t="s">
        <v>419</v>
      </c>
      <c r="F7" s="368" t="s">
        <v>420</v>
      </c>
      <c r="G7" s="368" t="s">
        <v>421</v>
      </c>
      <c r="H7" s="368" t="s">
        <v>64</v>
      </c>
    </row>
    <row r="8" spans="1:8" ht="13.8">
      <c r="A8" s="364">
        <v>1</v>
      </c>
      <c r="B8" s="363" t="s">
        <v>51</v>
      </c>
      <c r="C8" s="548">
        <v>2071250907.8854001</v>
      </c>
      <c r="D8" s="548">
        <v>3086723175.7071009</v>
      </c>
      <c r="E8" s="548">
        <v>1729136620.2990999</v>
      </c>
      <c r="F8" s="548">
        <v>970877384.95380008</v>
      </c>
      <c r="G8" s="548">
        <v>0</v>
      </c>
      <c r="H8" s="651">
        <f t="shared" ref="H8:H20" si="0">SUM(C8:G8)</f>
        <v>7857988088.8454008</v>
      </c>
    </row>
    <row r="9" spans="1:8" ht="13.8">
      <c r="A9" s="364">
        <v>2</v>
      </c>
      <c r="B9" s="363" t="s">
        <v>52</v>
      </c>
      <c r="C9" s="548">
        <v>0</v>
      </c>
      <c r="D9" s="548"/>
      <c r="E9" s="548"/>
      <c r="F9" s="548"/>
      <c r="G9" s="548">
        <v>0</v>
      </c>
      <c r="H9" s="651">
        <f t="shared" si="0"/>
        <v>0</v>
      </c>
    </row>
    <row r="10" spans="1:8" ht="13.8">
      <c r="A10" s="364">
        <v>3</v>
      </c>
      <c r="B10" s="363" t="s">
        <v>164</v>
      </c>
      <c r="C10" s="548"/>
      <c r="D10" s="548"/>
      <c r="E10" s="548"/>
      <c r="F10" s="548"/>
      <c r="G10" s="548"/>
      <c r="H10" s="651">
        <f t="shared" si="0"/>
        <v>0</v>
      </c>
    </row>
    <row r="11" spans="1:8" ht="13.8">
      <c r="A11" s="364">
        <v>4</v>
      </c>
      <c r="B11" s="363" t="s">
        <v>53</v>
      </c>
      <c r="C11" s="548"/>
      <c r="D11" s="548">
        <v>257097879.66</v>
      </c>
      <c r="E11" s="548">
        <v>718008857.8499999</v>
      </c>
      <c r="F11" s="548">
        <v>0</v>
      </c>
      <c r="G11" s="548"/>
      <c r="H11" s="651">
        <f t="shared" si="0"/>
        <v>975106737.50999987</v>
      </c>
    </row>
    <row r="12" spans="1:8" ht="13.8">
      <c r="A12" s="364">
        <v>5</v>
      </c>
      <c r="B12" s="363" t="s">
        <v>54</v>
      </c>
      <c r="C12" s="548"/>
      <c r="D12" s="548"/>
      <c r="E12" s="548"/>
      <c r="F12" s="548"/>
      <c r="G12" s="548"/>
      <c r="H12" s="651">
        <f t="shared" si="0"/>
        <v>0</v>
      </c>
    </row>
    <row r="13" spans="1:8" ht="13.8">
      <c r="A13" s="364">
        <v>6</v>
      </c>
      <c r="B13" s="363" t="s">
        <v>55</v>
      </c>
      <c r="C13" s="548">
        <v>679967996.80379987</v>
      </c>
      <c r="D13" s="548">
        <v>270288236.85000014</v>
      </c>
      <c r="E13" s="548">
        <v>27420872.824500002</v>
      </c>
      <c r="F13" s="548"/>
      <c r="G13" s="548">
        <v>0</v>
      </c>
      <c r="H13" s="651">
        <f t="shared" si="0"/>
        <v>977677106.47829998</v>
      </c>
    </row>
    <row r="14" spans="1:8" ht="13.8">
      <c r="A14" s="364">
        <v>7</v>
      </c>
      <c r="B14" s="363" t="s">
        <v>56</v>
      </c>
      <c r="C14" s="548">
        <v>0</v>
      </c>
      <c r="D14" s="548">
        <v>2297242394.6561394</v>
      </c>
      <c r="E14" s="548">
        <v>3109263563.306982</v>
      </c>
      <c r="F14" s="548">
        <v>3863384481.261734</v>
      </c>
      <c r="G14" s="548">
        <v>70264850.232658505</v>
      </c>
      <c r="H14" s="651">
        <f t="shared" si="0"/>
        <v>9340155289.4575138</v>
      </c>
    </row>
    <row r="15" spans="1:8" ht="13.8">
      <c r="A15" s="364">
        <v>8</v>
      </c>
      <c r="B15" s="365" t="s">
        <v>57</v>
      </c>
      <c r="C15" s="548">
        <v>0</v>
      </c>
      <c r="D15" s="548">
        <v>832280113.65457475</v>
      </c>
      <c r="E15" s="548">
        <v>3927340375.5652246</v>
      </c>
      <c r="F15" s="548">
        <v>3238783307.7577305</v>
      </c>
      <c r="G15" s="548">
        <v>30473552.202210218</v>
      </c>
      <c r="H15" s="651">
        <f t="shared" si="0"/>
        <v>8028877349.17974</v>
      </c>
    </row>
    <row r="16" spans="1:8" ht="13.8">
      <c r="A16" s="364">
        <v>9</v>
      </c>
      <c r="B16" s="363" t="s">
        <v>58</v>
      </c>
      <c r="C16" s="548"/>
      <c r="D16" s="548">
        <v>100639758.4790272</v>
      </c>
      <c r="E16" s="548">
        <v>1068474237.2605782</v>
      </c>
      <c r="F16" s="548">
        <v>2978990833.054533</v>
      </c>
      <c r="G16" s="548">
        <v>7469381.9927892704</v>
      </c>
      <c r="H16" s="651">
        <f t="shared" si="0"/>
        <v>4155574210.7869277</v>
      </c>
    </row>
    <row r="17" spans="1:8" ht="13.8">
      <c r="A17" s="364">
        <v>10</v>
      </c>
      <c r="B17" s="367" t="s">
        <v>429</v>
      </c>
      <c r="C17" s="548"/>
      <c r="D17" s="548">
        <v>16145865.448099</v>
      </c>
      <c r="E17" s="548">
        <v>32082294.488874979</v>
      </c>
      <c r="F17" s="548">
        <v>52743832.295478001</v>
      </c>
      <c r="G17" s="548">
        <v>53583376.885598987</v>
      </c>
      <c r="H17" s="651">
        <f t="shared" si="0"/>
        <v>154555369.11805096</v>
      </c>
    </row>
    <row r="18" spans="1:8" ht="13.8">
      <c r="A18" s="364">
        <v>11</v>
      </c>
      <c r="B18" s="363" t="s">
        <v>60</v>
      </c>
      <c r="C18" s="548"/>
      <c r="D18" s="548">
        <v>1933566.6158834398</v>
      </c>
      <c r="E18" s="548">
        <v>45132098.800575398</v>
      </c>
      <c r="F18" s="548">
        <v>213551963.61383</v>
      </c>
      <c r="G18" s="548">
        <v>47075039.997011699</v>
      </c>
      <c r="H18" s="651">
        <f t="shared" si="0"/>
        <v>307692669.02730054</v>
      </c>
    </row>
    <row r="19" spans="1:8" ht="13.8">
      <c r="A19" s="364">
        <v>12</v>
      </c>
      <c r="B19" s="363" t="s">
        <v>61</v>
      </c>
      <c r="C19" s="548"/>
      <c r="D19" s="548"/>
      <c r="E19" s="548"/>
      <c r="F19" s="548"/>
      <c r="G19" s="548"/>
      <c r="H19" s="651">
        <f t="shared" si="0"/>
        <v>0</v>
      </c>
    </row>
    <row r="20" spans="1:8" ht="13.8">
      <c r="A20" s="366">
        <v>13</v>
      </c>
      <c r="B20" s="365" t="s">
        <v>144</v>
      </c>
      <c r="C20" s="548"/>
      <c r="D20" s="548"/>
      <c r="E20" s="548"/>
      <c r="F20" s="548"/>
      <c r="G20" s="548"/>
      <c r="H20" s="651">
        <f t="shared" si="0"/>
        <v>0</v>
      </c>
    </row>
    <row r="21" spans="1:8" ht="13.8">
      <c r="A21" s="364">
        <v>14</v>
      </c>
      <c r="B21" s="363" t="s">
        <v>63</v>
      </c>
      <c r="C21" s="548">
        <v>674741913.79299998</v>
      </c>
      <c r="D21" s="548">
        <v>281555979.33759761</v>
      </c>
      <c r="E21" s="548"/>
      <c r="F21" s="548"/>
      <c r="G21" s="548">
        <v>1340780782.2561002</v>
      </c>
      <c r="H21" s="652">
        <f>SUM(C21:G21)</f>
        <v>2297078675.3866978</v>
      </c>
    </row>
    <row r="22" spans="1:8" ht="13.8">
      <c r="A22" s="362">
        <v>15</v>
      </c>
      <c r="B22" s="361" t="s">
        <v>64</v>
      </c>
      <c r="C22" s="652">
        <f>SUM(C18:C21)+SUM(C8:C16)</f>
        <v>3425960818.4821997</v>
      </c>
      <c r="D22" s="652">
        <f t="shared" ref="D22:H22" si="1">SUM(D18:D21)+SUM(D8:D16)</f>
        <v>7127761104.9603224</v>
      </c>
      <c r="E22" s="652">
        <f t="shared" si="1"/>
        <v>10624776625.90696</v>
      </c>
      <c r="F22" s="652">
        <f t="shared" si="1"/>
        <v>11265587970.641628</v>
      </c>
      <c r="G22" s="652">
        <f t="shared" si="1"/>
        <v>1496063606.6807699</v>
      </c>
      <c r="H22" s="652">
        <f t="shared" si="1"/>
        <v>33940150126.671879</v>
      </c>
    </row>
    <row r="24" spans="1:8">
      <c r="C24" s="559"/>
      <c r="D24" s="559"/>
      <c r="E24" s="559"/>
      <c r="F24" s="559"/>
      <c r="G24" s="559"/>
      <c r="H24" s="559"/>
    </row>
    <row r="25" spans="1:8">
      <c r="C25" s="559"/>
      <c r="D25" s="559"/>
      <c r="E25" s="559"/>
      <c r="F25" s="559"/>
      <c r="G25" s="559"/>
      <c r="H25" s="559"/>
    </row>
    <row r="26" spans="1:8" ht="24">
      <c r="B26" s="310" t="s">
        <v>516</v>
      </c>
      <c r="C26" s="559"/>
      <c r="D26" s="559"/>
      <c r="E26" s="559"/>
      <c r="F26" s="559"/>
      <c r="G26" s="559"/>
      <c r="H26" s="559"/>
    </row>
    <row r="27" spans="1:8">
      <c r="C27" s="559"/>
      <c r="D27" s="559"/>
      <c r="E27" s="559"/>
      <c r="F27" s="559"/>
      <c r="G27" s="559"/>
      <c r="H27" s="559"/>
    </row>
    <row r="28" spans="1:8">
      <c r="C28" s="559"/>
      <c r="D28" s="559"/>
      <c r="E28" s="559"/>
      <c r="F28" s="559"/>
      <c r="G28" s="559"/>
      <c r="H28" s="559"/>
    </row>
    <row r="29" spans="1:8">
      <c r="C29" s="559"/>
      <c r="D29" s="559"/>
      <c r="E29" s="559"/>
      <c r="F29" s="559"/>
      <c r="G29" s="559"/>
      <c r="H29" s="559"/>
    </row>
    <row r="30" spans="1:8">
      <c r="C30" s="559"/>
      <c r="D30" s="559"/>
      <c r="E30" s="559"/>
      <c r="F30" s="559"/>
      <c r="G30" s="559"/>
      <c r="H30" s="559"/>
    </row>
    <row r="31" spans="1:8">
      <c r="C31" s="559"/>
      <c r="D31" s="559"/>
      <c r="E31" s="559"/>
      <c r="F31" s="559"/>
      <c r="G31" s="559"/>
      <c r="H31" s="559"/>
    </row>
    <row r="32" spans="1:8">
      <c r="C32" s="559"/>
      <c r="D32" s="559"/>
      <c r="E32" s="559"/>
      <c r="F32" s="559"/>
      <c r="G32" s="559"/>
      <c r="H32" s="559"/>
    </row>
    <row r="33" spans="3:8">
      <c r="C33" s="559"/>
      <c r="D33" s="559"/>
      <c r="E33" s="559"/>
      <c r="F33" s="559"/>
      <c r="G33" s="559"/>
      <c r="H33" s="559"/>
    </row>
    <row r="34" spans="3:8">
      <c r="C34" s="559"/>
      <c r="D34" s="559"/>
      <c r="E34" s="559"/>
      <c r="F34" s="559"/>
      <c r="G34" s="559"/>
      <c r="H34" s="559"/>
    </row>
    <row r="35" spans="3:8">
      <c r="C35" s="559"/>
      <c r="D35" s="559"/>
      <c r="E35" s="559"/>
      <c r="F35" s="559"/>
      <c r="G35" s="559"/>
      <c r="H35" s="559"/>
    </row>
    <row r="36" spans="3:8">
      <c r="C36" s="559"/>
      <c r="D36" s="559"/>
      <c r="E36" s="559"/>
      <c r="F36" s="559"/>
      <c r="G36" s="559"/>
      <c r="H36" s="559"/>
    </row>
    <row r="37" spans="3:8">
      <c r="C37" s="559"/>
      <c r="D37" s="559"/>
      <c r="E37" s="559"/>
      <c r="F37" s="559"/>
      <c r="G37" s="559"/>
      <c r="H37" s="559"/>
    </row>
    <row r="38" spans="3:8">
      <c r="C38" s="559"/>
      <c r="D38" s="559"/>
      <c r="E38" s="559"/>
      <c r="F38" s="559"/>
      <c r="G38" s="559"/>
      <c r="H38" s="559"/>
    </row>
    <row r="39" spans="3:8">
      <c r="C39" s="559"/>
      <c r="D39" s="559"/>
      <c r="E39" s="559"/>
      <c r="F39" s="559"/>
      <c r="G39" s="559"/>
      <c r="H39" s="559"/>
    </row>
    <row r="40" spans="3:8">
      <c r="C40" s="559"/>
      <c r="D40" s="559"/>
      <c r="E40" s="559"/>
      <c r="F40" s="559"/>
      <c r="G40" s="559"/>
      <c r="H40" s="559"/>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4.9989318521683403E-2"/>
  </sheetPr>
  <dimension ref="A1:H46"/>
  <sheetViews>
    <sheetView showGridLines="0" zoomScaleNormal="100" workbookViewId="0"/>
  </sheetViews>
  <sheetFormatPr defaultColWidth="9.109375" defaultRowHeight="12"/>
  <cols>
    <col min="1" max="1" width="11.88671875" style="371" bestFit="1" customWidth="1"/>
    <col min="2" max="2" width="86.88671875" style="360" customWidth="1"/>
    <col min="3" max="4" width="31.5546875" style="360" customWidth="1"/>
    <col min="5" max="5" width="15.109375" style="307" bestFit="1" customWidth="1"/>
    <col min="6" max="6" width="11.88671875" style="307" bestFit="1" customWidth="1"/>
    <col min="7" max="7" width="21.5546875" style="360" bestFit="1" customWidth="1"/>
    <col min="8" max="8" width="41.44140625" style="360" customWidth="1"/>
    <col min="9" max="16384" width="9.109375" style="360"/>
  </cols>
  <sheetData>
    <row r="1" spans="1:8" ht="13.8">
      <c r="A1" s="304" t="s">
        <v>30</v>
      </c>
      <c r="B1" s="370" t="str">
        <f>'Info '!C2</f>
        <v xml:space="preserve">JSC "Bank of Georgia" </v>
      </c>
      <c r="C1" s="384"/>
      <c r="D1" s="384"/>
      <c r="E1" s="384"/>
      <c r="F1" s="384"/>
      <c r="G1" s="384"/>
      <c r="H1" s="384"/>
    </row>
    <row r="2" spans="1:8">
      <c r="A2" s="305" t="s">
        <v>31</v>
      </c>
      <c r="B2" s="369">
        <f>'1. key ratios '!B2</f>
        <v>45473</v>
      </c>
      <c r="C2" s="384"/>
      <c r="D2" s="384"/>
      <c r="E2" s="384"/>
      <c r="F2" s="384"/>
      <c r="G2" s="384"/>
      <c r="H2" s="384"/>
    </row>
    <row r="3" spans="1:8">
      <c r="A3" s="306" t="s">
        <v>422</v>
      </c>
      <c r="B3" s="384"/>
      <c r="C3" s="384"/>
      <c r="D3" s="384"/>
      <c r="E3" s="384"/>
      <c r="F3" s="384"/>
      <c r="G3" s="384"/>
      <c r="H3" s="384"/>
    </row>
    <row r="4" spans="1:8">
      <c r="A4" s="385"/>
      <c r="B4" s="384"/>
      <c r="C4" s="383" t="s">
        <v>0</v>
      </c>
      <c r="D4" s="383" t="s">
        <v>1</v>
      </c>
      <c r="E4" s="383" t="s">
        <v>2</v>
      </c>
      <c r="F4" s="383" t="s">
        <v>3</v>
      </c>
      <c r="G4" s="383" t="s">
        <v>4</v>
      </c>
      <c r="H4" s="383" t="s">
        <v>5</v>
      </c>
    </row>
    <row r="5" spans="1:8" ht="33.9" customHeight="1">
      <c r="A5" s="773" t="s">
        <v>423</v>
      </c>
      <c r="B5" s="774"/>
      <c r="C5" s="787" t="s">
        <v>424</v>
      </c>
      <c r="D5" s="787"/>
      <c r="E5" s="787" t="s">
        <v>661</v>
      </c>
      <c r="F5" s="785" t="s">
        <v>425</v>
      </c>
      <c r="G5" s="785" t="s">
        <v>426</v>
      </c>
      <c r="H5" s="381" t="s">
        <v>660</v>
      </c>
    </row>
    <row r="6" spans="1:8" ht="24">
      <c r="A6" s="777"/>
      <c r="B6" s="778"/>
      <c r="C6" s="382" t="s">
        <v>427</v>
      </c>
      <c r="D6" s="382" t="s">
        <v>428</v>
      </c>
      <c r="E6" s="787"/>
      <c r="F6" s="786"/>
      <c r="G6" s="786"/>
      <c r="H6" s="381" t="s">
        <v>659</v>
      </c>
    </row>
    <row r="7" spans="1:8" ht="13.8">
      <c r="A7" s="379">
        <v>1</v>
      </c>
      <c r="B7" s="363" t="s">
        <v>51</v>
      </c>
      <c r="C7" s="548"/>
      <c r="D7" s="548">
        <v>7864302530.5054007</v>
      </c>
      <c r="E7" s="548">
        <v>6314441.6600000001</v>
      </c>
      <c r="F7" s="373"/>
      <c r="G7" s="548"/>
      <c r="H7" s="549">
        <f t="shared" ref="H7:H20" si="0">C7+D7-E7-F7</f>
        <v>7857988088.8454008</v>
      </c>
    </row>
    <row r="8" spans="1:8" ht="13.8">
      <c r="A8" s="379">
        <v>2</v>
      </c>
      <c r="B8" s="363" t="s">
        <v>52</v>
      </c>
      <c r="C8" s="548"/>
      <c r="D8" s="548"/>
      <c r="E8" s="548"/>
      <c r="F8" s="373"/>
      <c r="G8" s="548"/>
      <c r="H8" s="549">
        <f t="shared" si="0"/>
        <v>0</v>
      </c>
    </row>
    <row r="9" spans="1:8" ht="13.8">
      <c r="A9" s="379">
        <v>3</v>
      </c>
      <c r="B9" s="363" t="s">
        <v>164</v>
      </c>
      <c r="C9" s="548"/>
      <c r="D9" s="548"/>
      <c r="E9" s="548"/>
      <c r="F9" s="373"/>
      <c r="G9" s="548"/>
      <c r="H9" s="549">
        <f t="shared" si="0"/>
        <v>0</v>
      </c>
    </row>
    <row r="10" spans="1:8" ht="13.8">
      <c r="A10" s="379">
        <v>4</v>
      </c>
      <c r="B10" s="363" t="s">
        <v>53</v>
      </c>
      <c r="C10" s="548"/>
      <c r="D10" s="548">
        <v>975106737.50999999</v>
      </c>
      <c r="E10" s="548">
        <v>0</v>
      </c>
      <c r="F10" s="373"/>
      <c r="G10" s="548"/>
      <c r="H10" s="549">
        <f t="shared" si="0"/>
        <v>975106737.50999999</v>
      </c>
    </row>
    <row r="11" spans="1:8" ht="13.8">
      <c r="A11" s="379">
        <v>5</v>
      </c>
      <c r="B11" s="363" t="s">
        <v>54</v>
      </c>
      <c r="C11" s="548"/>
      <c r="D11" s="548"/>
      <c r="E11" s="548"/>
      <c r="F11" s="373"/>
      <c r="G11" s="548"/>
      <c r="H11" s="549">
        <f t="shared" si="0"/>
        <v>0</v>
      </c>
    </row>
    <row r="12" spans="1:8" ht="13.8">
      <c r="A12" s="379">
        <v>6</v>
      </c>
      <c r="B12" s="363" t="s">
        <v>55</v>
      </c>
      <c r="C12" s="548"/>
      <c r="D12" s="548">
        <f>'[4] 17. Residual Maturity'!H13+E12</f>
        <v>977809336.73829997</v>
      </c>
      <c r="E12" s="548">
        <v>132230.26</v>
      </c>
      <c r="F12" s="373"/>
      <c r="G12" s="548"/>
      <c r="H12" s="549">
        <f t="shared" si="0"/>
        <v>977677106.47829998</v>
      </c>
    </row>
    <row r="13" spans="1:8" ht="13.8">
      <c r="A13" s="379">
        <v>7</v>
      </c>
      <c r="B13" s="363" t="s">
        <v>56</v>
      </c>
      <c r="C13" s="548">
        <v>166127605.70610002</v>
      </c>
      <c r="D13" s="548">
        <v>9291086919.5146923</v>
      </c>
      <c r="E13" s="548">
        <v>117059235.76327841</v>
      </c>
      <c r="F13" s="373"/>
      <c r="G13" s="548">
        <v>499071.5</v>
      </c>
      <c r="H13" s="549">
        <f t="shared" si="0"/>
        <v>9340155289.4575138</v>
      </c>
    </row>
    <row r="14" spans="1:8" ht="13.8">
      <c r="A14" s="379">
        <v>8</v>
      </c>
      <c r="B14" s="365" t="s">
        <v>57</v>
      </c>
      <c r="C14" s="548">
        <v>262711416.38999999</v>
      </c>
      <c r="D14" s="548">
        <v>7948042831.5600004</v>
      </c>
      <c r="E14" s="548">
        <v>181876898.76995897</v>
      </c>
      <c r="F14" s="373"/>
      <c r="G14" s="548">
        <v>23524028.23780201</v>
      </c>
      <c r="H14" s="549">
        <f t="shared" si="0"/>
        <v>8028877349.1800423</v>
      </c>
    </row>
    <row r="15" spans="1:8" ht="13.8">
      <c r="A15" s="379">
        <v>9</v>
      </c>
      <c r="B15" s="363" t="s">
        <v>58</v>
      </c>
      <c r="C15" s="548">
        <v>84896482.75999999</v>
      </c>
      <c r="D15" s="548">
        <v>4091579178.4500003</v>
      </c>
      <c r="E15" s="548">
        <v>20901450.427172549</v>
      </c>
      <c r="F15" s="373"/>
      <c r="G15" s="548">
        <v>584508.81999999995</v>
      </c>
      <c r="H15" s="549">
        <f t="shared" si="0"/>
        <v>4155574210.7828274</v>
      </c>
    </row>
    <row r="16" spans="1:8" ht="13.8">
      <c r="A16" s="379">
        <v>10</v>
      </c>
      <c r="B16" s="367" t="s">
        <v>429</v>
      </c>
      <c r="C16" s="548">
        <v>249261232.64000002</v>
      </c>
      <c r="D16" s="548">
        <v>3803692.5800000005</v>
      </c>
      <c r="E16" s="548">
        <v>98509556.097349033</v>
      </c>
      <c r="F16" s="373"/>
      <c r="G16" s="548">
        <f>(SUM(G13:G15)+G17)</f>
        <v>24635116.777802009</v>
      </c>
      <c r="H16" s="549">
        <f>C16+D16-E16-F16</f>
        <v>154555369.12265098</v>
      </c>
    </row>
    <row r="17" spans="1:8" ht="13.8">
      <c r="A17" s="379">
        <v>11</v>
      </c>
      <c r="B17" s="363" t="s">
        <v>60</v>
      </c>
      <c r="C17" s="548">
        <v>1035048.7300000001</v>
      </c>
      <c r="D17" s="548">
        <v>307933678.75701171</v>
      </c>
      <c r="E17" s="548">
        <v>1276058.4633110703</v>
      </c>
      <c r="F17" s="373"/>
      <c r="G17" s="548">
        <v>27508.22</v>
      </c>
      <c r="H17" s="549">
        <f t="shared" si="0"/>
        <v>307692669.02370065</v>
      </c>
    </row>
    <row r="18" spans="1:8" ht="13.8">
      <c r="A18" s="379">
        <v>12</v>
      </c>
      <c r="B18" s="363" t="s">
        <v>61</v>
      </c>
      <c r="C18" s="548"/>
      <c r="D18" s="548"/>
      <c r="E18" s="548"/>
      <c r="F18" s="373"/>
      <c r="G18" s="548"/>
      <c r="H18" s="549">
        <f t="shared" si="0"/>
        <v>0</v>
      </c>
    </row>
    <row r="19" spans="1:8" ht="13.8">
      <c r="A19" s="380">
        <v>13</v>
      </c>
      <c r="B19" s="365" t="s">
        <v>144</v>
      </c>
      <c r="C19" s="548"/>
      <c r="D19" s="548"/>
      <c r="E19" s="548"/>
      <c r="F19" s="373"/>
      <c r="G19" s="548"/>
      <c r="H19" s="549">
        <f t="shared" si="0"/>
        <v>0</v>
      </c>
    </row>
    <row r="20" spans="1:8" ht="13.8">
      <c r="A20" s="379">
        <v>14</v>
      </c>
      <c r="B20" s="363" t="s">
        <v>63</v>
      </c>
      <c r="C20" s="548">
        <v>18056205.375103541</v>
      </c>
      <c r="D20" s="548">
        <v>2499534555.8157787</v>
      </c>
      <c r="E20" s="548">
        <v>20015611.700284325</v>
      </c>
      <c r="F20" s="373"/>
      <c r="G20" s="548">
        <f>'[4]19. Assets by Risk Sectors'!G33</f>
        <v>1381145.19</v>
      </c>
      <c r="H20" s="549">
        <f t="shared" si="0"/>
        <v>2497575149.4905977</v>
      </c>
    </row>
    <row r="21" spans="1:8" s="376" customFormat="1">
      <c r="A21" s="378">
        <v>15</v>
      </c>
      <c r="B21" s="377" t="s">
        <v>64</v>
      </c>
      <c r="C21" s="550">
        <f>SUM(C7:C15)+SUM(C17:C20)</f>
        <v>532826758.96120352</v>
      </c>
      <c r="D21" s="377">
        <f t="shared" ref="D21:H21" si="1">SUM(D7:D15)+SUM(D17:D20)</f>
        <v>33955395768.851189</v>
      </c>
      <c r="E21" s="550">
        <f>SUM(E7:E15)+SUM(E17:E20)</f>
        <v>347575927.04400533</v>
      </c>
      <c r="F21" s="377">
        <f t="shared" si="1"/>
        <v>0</v>
      </c>
      <c r="G21" s="550">
        <f>SUM(G7:G15)+SUM(G17:G20)</f>
        <v>26016261.96780201</v>
      </c>
      <c r="H21" s="549">
        <f t="shared" si="1"/>
        <v>34140646600.768379</v>
      </c>
    </row>
    <row r="22" spans="1:8">
      <c r="A22" s="375">
        <v>16</v>
      </c>
      <c r="B22" s="374" t="s">
        <v>430</v>
      </c>
      <c r="C22" s="551">
        <v>511714997.38087463</v>
      </c>
      <c r="D22" s="552">
        <v>21460160737.979698</v>
      </c>
      <c r="E22" s="553">
        <v>319828394.37370002</v>
      </c>
      <c r="F22" s="373"/>
      <c r="G22" s="551">
        <v>24635116.777802009</v>
      </c>
      <c r="H22" s="549">
        <f>C22+D22-E22-F22</f>
        <v>21652047340.986874</v>
      </c>
    </row>
    <row r="23" spans="1:8">
      <c r="A23" s="375">
        <v>17</v>
      </c>
      <c r="B23" s="374" t="s">
        <v>431</v>
      </c>
      <c r="C23" s="372">
        <v>0</v>
      </c>
      <c r="D23" s="552">
        <v>6926943061.8965998</v>
      </c>
      <c r="E23" s="553">
        <v>6206800.1365999989</v>
      </c>
      <c r="F23" s="373"/>
      <c r="G23" s="372"/>
      <c r="H23" s="549">
        <f>C23+D23-E23-F23</f>
        <v>6920736261.7600002</v>
      </c>
    </row>
    <row r="25" spans="1:8">
      <c r="C25" s="559"/>
      <c r="D25" s="559"/>
      <c r="E25" s="559"/>
      <c r="F25" s="559"/>
      <c r="G25" s="559"/>
      <c r="H25" s="559"/>
    </row>
    <row r="26" spans="1:8" ht="42.6" customHeight="1">
      <c r="B26" s="310" t="s">
        <v>516</v>
      </c>
      <c r="C26" s="559"/>
      <c r="D26" s="559"/>
      <c r="E26" s="559"/>
      <c r="F26" s="559"/>
      <c r="G26" s="559"/>
      <c r="H26" s="559"/>
    </row>
    <row r="27" spans="1:8">
      <c r="C27" s="559"/>
      <c r="D27" s="559"/>
      <c r="E27" s="559"/>
      <c r="F27" s="559"/>
      <c r="G27" s="559"/>
      <c r="H27" s="559"/>
    </row>
    <row r="28" spans="1:8">
      <c r="C28" s="559"/>
      <c r="D28" s="559"/>
      <c r="E28" s="559"/>
      <c r="F28" s="559"/>
      <c r="G28" s="559"/>
      <c r="H28" s="559"/>
    </row>
    <row r="29" spans="1:8">
      <c r="C29" s="559"/>
      <c r="D29" s="559"/>
      <c r="E29" s="559"/>
      <c r="F29" s="559"/>
      <c r="G29" s="559"/>
      <c r="H29" s="559"/>
    </row>
    <row r="30" spans="1:8">
      <c r="C30" s="559"/>
      <c r="D30" s="559"/>
      <c r="E30" s="559"/>
      <c r="F30" s="559"/>
      <c r="G30" s="559"/>
      <c r="H30" s="559"/>
    </row>
    <row r="31" spans="1:8">
      <c r="C31" s="559"/>
      <c r="D31" s="559"/>
      <c r="E31" s="559"/>
      <c r="F31" s="559"/>
      <c r="G31" s="559"/>
      <c r="H31" s="559"/>
    </row>
    <row r="32" spans="1:8">
      <c r="C32" s="559"/>
      <c r="D32" s="559"/>
      <c r="E32" s="559"/>
      <c r="F32" s="559"/>
      <c r="G32" s="559"/>
      <c r="H32" s="559"/>
    </row>
    <row r="33" spans="3:8">
      <c r="C33" s="559"/>
      <c r="D33" s="559"/>
      <c r="E33" s="559"/>
      <c r="F33" s="559"/>
      <c r="G33" s="559"/>
      <c r="H33" s="559"/>
    </row>
    <row r="34" spans="3:8">
      <c r="C34" s="559"/>
      <c r="D34" s="559"/>
      <c r="E34" s="559"/>
      <c r="F34" s="559"/>
      <c r="G34" s="559"/>
      <c r="H34" s="559"/>
    </row>
    <row r="35" spans="3:8">
      <c r="C35" s="559"/>
      <c r="D35" s="559"/>
      <c r="E35" s="559"/>
      <c r="F35" s="559"/>
      <c r="G35" s="559"/>
      <c r="H35" s="559"/>
    </row>
    <row r="36" spans="3:8">
      <c r="C36" s="559"/>
      <c r="D36" s="559"/>
      <c r="E36" s="559"/>
      <c r="F36" s="559"/>
      <c r="G36" s="559"/>
      <c r="H36" s="559"/>
    </row>
    <row r="37" spans="3:8">
      <c r="C37" s="559"/>
      <c r="D37" s="559"/>
      <c r="E37" s="559"/>
      <c r="F37" s="559"/>
      <c r="G37" s="559"/>
      <c r="H37" s="559"/>
    </row>
    <row r="38" spans="3:8">
      <c r="C38" s="559"/>
      <c r="D38" s="559"/>
      <c r="E38" s="559"/>
      <c r="F38" s="559"/>
      <c r="G38" s="559"/>
      <c r="H38" s="559"/>
    </row>
    <row r="39" spans="3:8">
      <c r="C39" s="559"/>
      <c r="D39" s="559"/>
      <c r="E39" s="559"/>
      <c r="F39" s="559"/>
      <c r="G39" s="559"/>
      <c r="H39" s="559"/>
    </row>
    <row r="40" spans="3:8">
      <c r="C40" s="559"/>
      <c r="D40" s="559"/>
      <c r="E40" s="559"/>
      <c r="F40" s="559"/>
      <c r="G40" s="559"/>
      <c r="H40" s="559"/>
    </row>
    <row r="41" spans="3:8">
      <c r="C41" s="559"/>
      <c r="D41" s="559"/>
      <c r="E41" s="559"/>
      <c r="F41" s="559"/>
      <c r="G41" s="559"/>
      <c r="H41" s="559"/>
    </row>
    <row r="42" spans="3:8">
      <c r="C42" s="559"/>
      <c r="D42" s="559"/>
      <c r="E42" s="559"/>
      <c r="F42" s="559"/>
      <c r="G42" s="559"/>
      <c r="H42" s="559"/>
    </row>
    <row r="43" spans="3:8">
      <c r="C43" s="559"/>
      <c r="D43" s="559"/>
      <c r="E43" s="559"/>
      <c r="F43" s="559"/>
      <c r="G43" s="559"/>
      <c r="H43" s="559"/>
    </row>
    <row r="44" spans="3:8">
      <c r="C44" s="559"/>
      <c r="D44" s="559"/>
      <c r="E44" s="559"/>
      <c r="F44" s="559"/>
      <c r="G44" s="559"/>
      <c r="H44" s="559"/>
    </row>
    <row r="45" spans="3:8">
      <c r="C45" s="559"/>
      <c r="D45" s="559"/>
      <c r="E45" s="559"/>
      <c r="F45" s="559"/>
      <c r="G45" s="559"/>
      <c r="H45" s="559"/>
    </row>
    <row r="46" spans="3:8">
      <c r="C46" s="559"/>
      <c r="D46" s="559"/>
      <c r="E46" s="559"/>
      <c r="F46" s="559"/>
      <c r="G46" s="559"/>
      <c r="H46" s="559"/>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6"/>
  <sheetViews>
    <sheetView showGridLines="0" zoomScaleNormal="100" workbookViewId="0"/>
  </sheetViews>
  <sheetFormatPr defaultColWidth="9.109375" defaultRowHeight="12"/>
  <cols>
    <col min="1" max="1" width="11" style="360" bestFit="1" customWidth="1"/>
    <col min="2" max="2" width="93.44140625" style="360" customWidth="1"/>
    <col min="3" max="4" width="35" style="360" customWidth="1"/>
    <col min="5" max="5" width="15.109375" style="360" bestFit="1" customWidth="1"/>
    <col min="6" max="6" width="11.88671875" style="360" bestFit="1" customWidth="1"/>
    <col min="7" max="7" width="22" style="360" customWidth="1"/>
    <col min="8" max="8" width="19.88671875" style="360" customWidth="1"/>
    <col min="9" max="16384" width="9.109375" style="360"/>
  </cols>
  <sheetData>
    <row r="1" spans="1:8" ht="13.8">
      <c r="A1" s="304" t="s">
        <v>30</v>
      </c>
      <c r="B1" s="370" t="str">
        <f>'Info '!C2</f>
        <v xml:space="preserve">JSC "Bank of Georgia" </v>
      </c>
      <c r="C1" s="384"/>
      <c r="D1" s="384"/>
      <c r="E1" s="384"/>
      <c r="F1" s="384"/>
      <c r="G1" s="384"/>
      <c r="H1" s="384"/>
    </row>
    <row r="2" spans="1:8">
      <c r="A2" s="305" t="s">
        <v>31</v>
      </c>
      <c r="B2" s="369">
        <f>'1. key ratios '!B2</f>
        <v>45473</v>
      </c>
      <c r="C2" s="384"/>
      <c r="D2" s="384"/>
      <c r="E2" s="384"/>
      <c r="F2" s="384"/>
      <c r="G2" s="384"/>
      <c r="H2" s="384"/>
    </row>
    <row r="3" spans="1:8">
      <c r="A3" s="306" t="s">
        <v>432</v>
      </c>
      <c r="B3" s="384"/>
      <c r="C3" s="384"/>
      <c r="D3" s="384"/>
      <c r="E3" s="384"/>
      <c r="F3" s="384"/>
      <c r="G3" s="384"/>
      <c r="H3" s="384"/>
    </row>
    <row r="4" spans="1:8">
      <c r="A4" s="385"/>
      <c r="B4" s="384"/>
      <c r="C4" s="383" t="s">
        <v>0</v>
      </c>
      <c r="D4" s="383" t="s">
        <v>1</v>
      </c>
      <c r="E4" s="383" t="s">
        <v>2</v>
      </c>
      <c r="F4" s="383" t="s">
        <v>3</v>
      </c>
      <c r="G4" s="383" t="s">
        <v>4</v>
      </c>
      <c r="H4" s="383" t="s">
        <v>5</v>
      </c>
    </row>
    <row r="5" spans="1:8" ht="41.4" customHeight="1">
      <c r="A5" s="773" t="s">
        <v>423</v>
      </c>
      <c r="B5" s="774"/>
      <c r="C5" s="787" t="s">
        <v>424</v>
      </c>
      <c r="D5" s="787"/>
      <c r="E5" s="787" t="s">
        <v>661</v>
      </c>
      <c r="F5" s="785" t="s">
        <v>425</v>
      </c>
      <c r="G5" s="785" t="s">
        <v>426</v>
      </c>
      <c r="H5" s="381" t="s">
        <v>660</v>
      </c>
    </row>
    <row r="6" spans="1:8" ht="24">
      <c r="A6" s="777"/>
      <c r="B6" s="778"/>
      <c r="C6" s="382" t="s">
        <v>427</v>
      </c>
      <c r="D6" s="382" t="s">
        <v>428</v>
      </c>
      <c r="E6" s="787"/>
      <c r="F6" s="786"/>
      <c r="G6" s="786"/>
      <c r="H6" s="381" t="s">
        <v>659</v>
      </c>
    </row>
    <row r="7" spans="1:8">
      <c r="A7" s="372">
        <v>1</v>
      </c>
      <c r="B7" s="390" t="s">
        <v>520</v>
      </c>
      <c r="C7" s="552">
        <v>8484325.8499999996</v>
      </c>
      <c r="D7" s="552">
        <v>8519334954.7268019</v>
      </c>
      <c r="E7" s="552">
        <v>12608121.179540999</v>
      </c>
      <c r="F7" s="552">
        <v>0</v>
      </c>
      <c r="G7" s="552">
        <v>0</v>
      </c>
      <c r="H7" s="549">
        <f t="shared" ref="H7:H33" si="0">C7+D7-E7-F7</f>
        <v>8515211159.3972616</v>
      </c>
    </row>
    <row r="8" spans="1:8">
      <c r="A8" s="372">
        <v>2</v>
      </c>
      <c r="B8" s="390" t="s">
        <v>433</v>
      </c>
      <c r="C8" s="552">
        <v>8134925.2085999995</v>
      </c>
      <c r="D8" s="552">
        <v>3188867986.1966</v>
      </c>
      <c r="E8" s="552">
        <v>4786134.4001209997</v>
      </c>
      <c r="F8" s="552">
        <v>0</v>
      </c>
      <c r="G8" s="552">
        <v>22990.79</v>
      </c>
      <c r="H8" s="549">
        <f t="shared" si="0"/>
        <v>3192216777.0050788</v>
      </c>
    </row>
    <row r="9" spans="1:8">
      <c r="A9" s="372">
        <v>3</v>
      </c>
      <c r="B9" s="390" t="s">
        <v>434</v>
      </c>
      <c r="C9" s="552">
        <v>0</v>
      </c>
      <c r="D9" s="552">
        <v>9252924.2199999988</v>
      </c>
      <c r="E9" s="552">
        <v>0</v>
      </c>
      <c r="F9" s="552">
        <v>0</v>
      </c>
      <c r="G9" s="552">
        <v>0</v>
      </c>
      <c r="H9" s="549">
        <f t="shared" si="0"/>
        <v>9252924.2199999988</v>
      </c>
    </row>
    <row r="10" spans="1:8">
      <c r="A10" s="372">
        <v>4</v>
      </c>
      <c r="B10" s="390" t="s">
        <v>521</v>
      </c>
      <c r="C10" s="552">
        <v>34162693.957399994</v>
      </c>
      <c r="D10" s="552">
        <v>1246560051.1027997</v>
      </c>
      <c r="E10" s="552">
        <v>10824811.166998999</v>
      </c>
      <c r="F10" s="552">
        <v>0</v>
      </c>
      <c r="G10" s="552">
        <v>0</v>
      </c>
      <c r="H10" s="549">
        <f t="shared" si="0"/>
        <v>1269897933.8932006</v>
      </c>
    </row>
    <row r="11" spans="1:8">
      <c r="A11" s="372">
        <v>5</v>
      </c>
      <c r="B11" s="390" t="s">
        <v>435</v>
      </c>
      <c r="C11" s="552">
        <v>23748918.084000003</v>
      </c>
      <c r="D11" s="552">
        <v>1260721529.0209</v>
      </c>
      <c r="E11" s="552">
        <v>10181531.525464999</v>
      </c>
      <c r="F11" s="552">
        <v>0</v>
      </c>
      <c r="G11" s="552">
        <v>0</v>
      </c>
      <c r="H11" s="549">
        <f t="shared" si="0"/>
        <v>1274288915.5794351</v>
      </c>
    </row>
    <row r="12" spans="1:8">
      <c r="A12" s="372">
        <v>6</v>
      </c>
      <c r="B12" s="390" t="s">
        <v>436</v>
      </c>
      <c r="C12" s="552">
        <v>21490413.467399999</v>
      </c>
      <c r="D12" s="552">
        <v>824482071.15680015</v>
      </c>
      <c r="E12" s="552">
        <v>13843338.415114999</v>
      </c>
      <c r="F12" s="552">
        <v>0</v>
      </c>
      <c r="G12" s="552">
        <v>180777.12000000011</v>
      </c>
      <c r="H12" s="549">
        <f t="shared" si="0"/>
        <v>832129146.20908511</v>
      </c>
    </row>
    <row r="13" spans="1:8">
      <c r="A13" s="372">
        <v>7</v>
      </c>
      <c r="B13" s="390" t="s">
        <v>437</v>
      </c>
      <c r="C13" s="552">
        <v>25300576.778499998</v>
      </c>
      <c r="D13" s="552">
        <v>1021127206.8673999</v>
      </c>
      <c r="E13" s="552">
        <v>14897145.462081</v>
      </c>
      <c r="F13" s="552">
        <v>0</v>
      </c>
      <c r="G13" s="552">
        <v>16235.869999999995</v>
      </c>
      <c r="H13" s="549">
        <f t="shared" si="0"/>
        <v>1031530638.1838189</v>
      </c>
    </row>
    <row r="14" spans="1:8">
      <c r="A14" s="372">
        <v>8</v>
      </c>
      <c r="B14" s="390" t="s">
        <v>438</v>
      </c>
      <c r="C14" s="552">
        <v>15457557.202700006</v>
      </c>
      <c r="D14" s="552">
        <v>951800441.72819972</v>
      </c>
      <c r="E14" s="552">
        <v>10527206.077347001</v>
      </c>
      <c r="F14" s="552">
        <v>0</v>
      </c>
      <c r="G14" s="552">
        <v>92180.450000000012</v>
      </c>
      <c r="H14" s="549">
        <f t="shared" si="0"/>
        <v>956730792.8535527</v>
      </c>
    </row>
    <row r="15" spans="1:8">
      <c r="A15" s="372">
        <v>9</v>
      </c>
      <c r="B15" s="390" t="s">
        <v>439</v>
      </c>
      <c r="C15" s="552">
        <v>20324715.356199998</v>
      </c>
      <c r="D15" s="552">
        <v>956380543.00269973</v>
      </c>
      <c r="E15" s="552">
        <v>32288393.178454001</v>
      </c>
      <c r="F15" s="552">
        <v>0</v>
      </c>
      <c r="G15" s="552">
        <v>13691.599999999999</v>
      </c>
      <c r="H15" s="549">
        <f t="shared" si="0"/>
        <v>944416865.18044567</v>
      </c>
    </row>
    <row r="16" spans="1:8">
      <c r="A16" s="372">
        <v>10</v>
      </c>
      <c r="B16" s="390" t="s">
        <v>440</v>
      </c>
      <c r="C16" s="552">
        <v>6339949.9169000005</v>
      </c>
      <c r="D16" s="552">
        <v>381524832.52250004</v>
      </c>
      <c r="E16" s="552">
        <v>4538305.9383399989</v>
      </c>
      <c r="F16" s="552">
        <v>0</v>
      </c>
      <c r="G16" s="552">
        <v>10426.839999999997</v>
      </c>
      <c r="H16" s="549">
        <f t="shared" si="0"/>
        <v>383326476.50106001</v>
      </c>
    </row>
    <row r="17" spans="1:9">
      <c r="A17" s="372">
        <v>11</v>
      </c>
      <c r="B17" s="390" t="s">
        <v>441</v>
      </c>
      <c r="C17" s="552">
        <v>3070105.3319999999</v>
      </c>
      <c r="D17" s="552">
        <v>401619879.50190002</v>
      </c>
      <c r="E17" s="552">
        <v>3156283.3966610003</v>
      </c>
      <c r="F17" s="552">
        <v>0</v>
      </c>
      <c r="G17" s="552">
        <v>97208.69</v>
      </c>
      <c r="H17" s="549">
        <f t="shared" si="0"/>
        <v>401533701.43723905</v>
      </c>
    </row>
    <row r="18" spans="1:9">
      <c r="A18" s="372">
        <v>12</v>
      </c>
      <c r="B18" s="390" t="s">
        <v>442</v>
      </c>
      <c r="C18" s="552">
        <v>19414272.478700001</v>
      </c>
      <c r="D18" s="552">
        <v>859460705.45760012</v>
      </c>
      <c r="E18" s="552">
        <v>9061132.7643420007</v>
      </c>
      <c r="F18" s="552">
        <v>0</v>
      </c>
      <c r="G18" s="552">
        <v>438050.24560000002</v>
      </c>
      <c r="H18" s="549">
        <f t="shared" si="0"/>
        <v>869813845.17195821</v>
      </c>
    </row>
    <row r="19" spans="1:9">
      <c r="A19" s="372">
        <v>13</v>
      </c>
      <c r="B19" s="390" t="s">
        <v>443</v>
      </c>
      <c r="C19" s="552">
        <v>1524508.4994999999</v>
      </c>
      <c r="D19" s="552">
        <v>218146114.01280007</v>
      </c>
      <c r="E19" s="552">
        <v>3141963.9246269995</v>
      </c>
      <c r="F19" s="552">
        <v>0</v>
      </c>
      <c r="G19" s="552">
        <v>36791.4</v>
      </c>
      <c r="H19" s="549">
        <f t="shared" si="0"/>
        <v>216528658.58767307</v>
      </c>
    </row>
    <row r="20" spans="1:9">
      <c r="A20" s="372">
        <v>14</v>
      </c>
      <c r="B20" s="390" t="s">
        <v>444</v>
      </c>
      <c r="C20" s="552">
        <v>32239463.677099999</v>
      </c>
      <c r="D20" s="552">
        <v>1346109119.5387001</v>
      </c>
      <c r="E20" s="552">
        <v>15722361.522393998</v>
      </c>
      <c r="F20" s="552">
        <v>0</v>
      </c>
      <c r="G20" s="552">
        <v>0</v>
      </c>
      <c r="H20" s="549">
        <f t="shared" si="0"/>
        <v>1362626221.6934061</v>
      </c>
    </row>
    <row r="21" spans="1:9">
      <c r="A21" s="372">
        <v>15</v>
      </c>
      <c r="B21" s="390" t="s">
        <v>445</v>
      </c>
      <c r="C21" s="552">
        <v>7510264.5129000014</v>
      </c>
      <c r="D21" s="552">
        <v>368346630.04069996</v>
      </c>
      <c r="E21" s="552">
        <v>4235201.4945379999</v>
      </c>
      <c r="F21" s="552">
        <v>0</v>
      </c>
      <c r="G21" s="552">
        <v>14254.68</v>
      </c>
      <c r="H21" s="549">
        <f t="shared" si="0"/>
        <v>371621693.05906194</v>
      </c>
    </row>
    <row r="22" spans="1:9">
      <c r="A22" s="372">
        <v>16</v>
      </c>
      <c r="B22" s="390" t="s">
        <v>446</v>
      </c>
      <c r="C22" s="552">
        <v>17956126.290400006</v>
      </c>
      <c r="D22" s="552">
        <v>598059241.38290012</v>
      </c>
      <c r="E22" s="552">
        <v>14584777.526989</v>
      </c>
      <c r="F22" s="552">
        <v>0</v>
      </c>
      <c r="G22" s="552">
        <v>6867.18</v>
      </c>
      <c r="H22" s="549">
        <f t="shared" si="0"/>
        <v>601430590.14631116</v>
      </c>
    </row>
    <row r="23" spans="1:9">
      <c r="A23" s="372">
        <v>17</v>
      </c>
      <c r="B23" s="390" t="s">
        <v>524</v>
      </c>
      <c r="C23" s="552">
        <v>7495829.7725</v>
      </c>
      <c r="D23" s="552">
        <v>168356279.17659998</v>
      </c>
      <c r="E23" s="552">
        <v>4400342.0585239995</v>
      </c>
      <c r="F23" s="552">
        <v>0</v>
      </c>
      <c r="G23" s="552">
        <v>0</v>
      </c>
      <c r="H23" s="549">
        <f t="shared" si="0"/>
        <v>171451766.89057598</v>
      </c>
    </row>
    <row r="24" spans="1:9">
      <c r="A24" s="372">
        <v>18</v>
      </c>
      <c r="B24" s="390" t="s">
        <v>447</v>
      </c>
      <c r="C24" s="552">
        <v>1484946.405</v>
      </c>
      <c r="D24" s="552">
        <v>995014089.44659996</v>
      </c>
      <c r="E24" s="552">
        <v>3531463.9299999997</v>
      </c>
      <c r="F24" s="552">
        <v>0</v>
      </c>
      <c r="G24" s="552">
        <v>0</v>
      </c>
      <c r="H24" s="549">
        <f t="shared" si="0"/>
        <v>992967571.92159998</v>
      </c>
    </row>
    <row r="25" spans="1:9">
      <c r="A25" s="372">
        <v>19</v>
      </c>
      <c r="B25" s="390" t="s">
        <v>448</v>
      </c>
      <c r="C25" s="552">
        <v>1795433.8163999999</v>
      </c>
      <c r="D25" s="552">
        <v>170936621.91569999</v>
      </c>
      <c r="E25" s="552">
        <v>865862.45000000007</v>
      </c>
      <c r="F25" s="552">
        <v>0</v>
      </c>
      <c r="G25" s="552">
        <v>43772.23</v>
      </c>
      <c r="H25" s="549">
        <f t="shared" si="0"/>
        <v>171866193.28209999</v>
      </c>
    </row>
    <row r="26" spans="1:9">
      <c r="A26" s="372">
        <v>20</v>
      </c>
      <c r="B26" s="390" t="s">
        <v>523</v>
      </c>
      <c r="C26" s="552">
        <v>30639072.346800003</v>
      </c>
      <c r="D26" s="552">
        <v>686554985.90999985</v>
      </c>
      <c r="E26" s="552">
        <v>18870124.426261999</v>
      </c>
      <c r="F26" s="552">
        <v>0</v>
      </c>
      <c r="G26" s="552">
        <v>0</v>
      </c>
      <c r="H26" s="549">
        <f t="shared" si="0"/>
        <v>698323933.8305378</v>
      </c>
      <c r="I26" s="387"/>
    </row>
    <row r="27" spans="1:9">
      <c r="A27" s="372">
        <v>21</v>
      </c>
      <c r="B27" s="390" t="s">
        <v>449</v>
      </c>
      <c r="C27" s="552">
        <v>1015769.6308000002</v>
      </c>
      <c r="D27" s="552">
        <v>122766424.2896</v>
      </c>
      <c r="E27" s="552">
        <v>1086598.4013729999</v>
      </c>
      <c r="F27" s="552">
        <v>0</v>
      </c>
      <c r="G27" s="552">
        <v>0</v>
      </c>
      <c r="H27" s="549">
        <f t="shared" si="0"/>
        <v>122695595.51902699</v>
      </c>
      <c r="I27" s="387"/>
    </row>
    <row r="28" spans="1:9">
      <c r="A28" s="372">
        <v>22</v>
      </c>
      <c r="B28" s="390" t="s">
        <v>450</v>
      </c>
      <c r="C28" s="552">
        <v>4235363.825699999</v>
      </c>
      <c r="D28" s="552">
        <v>311002022.82540011</v>
      </c>
      <c r="E28" s="552">
        <v>2311159.9563859999</v>
      </c>
      <c r="F28" s="552">
        <v>0</v>
      </c>
      <c r="G28" s="552">
        <v>0</v>
      </c>
      <c r="H28" s="549">
        <f t="shared" si="0"/>
        <v>312926226.69471407</v>
      </c>
      <c r="I28" s="387"/>
    </row>
    <row r="29" spans="1:9">
      <c r="A29" s="372">
        <v>23</v>
      </c>
      <c r="B29" s="390" t="s">
        <v>451</v>
      </c>
      <c r="C29" s="552">
        <v>66272969.702299982</v>
      </c>
      <c r="D29" s="552">
        <v>3474413481.0900998</v>
      </c>
      <c r="E29" s="552">
        <v>41814613.678558007</v>
      </c>
      <c r="F29" s="552">
        <v>0</v>
      </c>
      <c r="G29" s="552">
        <v>515873.91000000003</v>
      </c>
      <c r="H29" s="549">
        <f t="shared" si="0"/>
        <v>3498871837.113842</v>
      </c>
      <c r="I29" s="387"/>
    </row>
    <row r="30" spans="1:9">
      <c r="A30" s="372">
        <v>24</v>
      </c>
      <c r="B30" s="390" t="s">
        <v>522</v>
      </c>
      <c r="C30" s="552">
        <v>52105381.158399992</v>
      </c>
      <c r="D30" s="552">
        <v>1105865390.4759994</v>
      </c>
      <c r="E30" s="552">
        <v>27277846.181698002</v>
      </c>
      <c r="F30" s="552">
        <v>0</v>
      </c>
      <c r="G30" s="552">
        <v>2870023.8331000004</v>
      </c>
      <c r="H30" s="549">
        <f t="shared" si="0"/>
        <v>1130692925.4527013</v>
      </c>
      <c r="I30" s="387"/>
    </row>
    <row r="31" spans="1:9">
      <c r="A31" s="372">
        <v>25</v>
      </c>
      <c r="B31" s="390" t="s">
        <v>452</v>
      </c>
      <c r="C31" s="552">
        <v>96308893.75590001</v>
      </c>
      <c r="D31" s="552">
        <v>2564951470.1716003</v>
      </c>
      <c r="E31" s="552">
        <v>56459311.594136</v>
      </c>
      <c r="F31" s="552">
        <v>0</v>
      </c>
      <c r="G31" s="552">
        <v>20275971.939101994</v>
      </c>
      <c r="H31" s="549">
        <f t="shared" si="0"/>
        <v>2604801052.3333645</v>
      </c>
      <c r="I31" s="387"/>
    </row>
    <row r="32" spans="1:9">
      <c r="A32" s="372">
        <v>26</v>
      </c>
      <c r="B32" s="390" t="s">
        <v>519</v>
      </c>
      <c r="C32" s="552">
        <v>5205111.8221000005</v>
      </c>
      <c r="D32" s="552">
        <v>42523977.23939196</v>
      </c>
      <c r="E32" s="552">
        <v>5450266.9937495887</v>
      </c>
      <c r="F32" s="552">
        <v>0</v>
      </c>
      <c r="G32" s="552">
        <v>0</v>
      </c>
      <c r="H32" s="549">
        <f t="shared" si="0"/>
        <v>42278822.06774237</v>
      </c>
      <c r="I32" s="387"/>
    </row>
    <row r="33" spans="1:9">
      <c r="A33" s="372">
        <v>27</v>
      </c>
      <c r="B33" s="373" t="s">
        <v>453</v>
      </c>
      <c r="C33" s="552">
        <v>21109170.113003433</v>
      </c>
      <c r="D33" s="552">
        <v>2161216795.8309059</v>
      </c>
      <c r="E33" s="552">
        <v>21111629.400299456</v>
      </c>
      <c r="F33" s="552">
        <v>0</v>
      </c>
      <c r="G33" s="552">
        <v>1381145.19</v>
      </c>
      <c r="H33" s="549">
        <f t="shared" si="0"/>
        <v>2161214336.5436096</v>
      </c>
      <c r="I33" s="387"/>
    </row>
    <row r="34" spans="1:9">
      <c r="A34" s="372">
        <v>28</v>
      </c>
      <c r="B34" s="389" t="s">
        <v>64</v>
      </c>
      <c r="C34" s="653">
        <f>SUM(C7:C33)</f>
        <v>532826758.96120352</v>
      </c>
      <c r="D34" s="653">
        <f>SUM(D7:D33)</f>
        <v>33955395768.851189</v>
      </c>
      <c r="E34" s="653">
        <f>SUM(E7:E33)</f>
        <v>347575927.04400003</v>
      </c>
      <c r="F34" s="653">
        <f>SUM(F7:F33)</f>
        <v>0</v>
      </c>
      <c r="G34" s="653">
        <f>SUM(G7:G33)</f>
        <v>26016261.967801996</v>
      </c>
      <c r="H34" s="654">
        <f>C34+D34-E34-F34</f>
        <v>34140646600.768394</v>
      </c>
      <c r="I34" s="387"/>
    </row>
    <row r="35" spans="1:9">
      <c r="A35" s="387"/>
      <c r="B35" s="387"/>
      <c r="C35" s="387"/>
      <c r="D35" s="387"/>
      <c r="E35" s="387"/>
      <c r="F35" s="387"/>
      <c r="G35" s="387"/>
      <c r="H35" s="387"/>
      <c r="I35" s="387"/>
    </row>
    <row r="36" spans="1:9">
      <c r="A36" s="387"/>
      <c r="B36" s="388"/>
      <c r="C36" s="387"/>
      <c r="D36" s="387"/>
      <c r="E36" s="387"/>
      <c r="F36" s="387"/>
      <c r="G36" s="387"/>
      <c r="H36" s="387"/>
      <c r="I36" s="387"/>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5"/>
  <sheetViews>
    <sheetView showGridLines="0" zoomScaleNormal="100" workbookViewId="0"/>
  </sheetViews>
  <sheetFormatPr defaultColWidth="9.109375" defaultRowHeight="12"/>
  <cols>
    <col min="1" max="1" width="11.88671875" style="360" bestFit="1" customWidth="1"/>
    <col min="2" max="2" width="108" style="360" bestFit="1" customWidth="1"/>
    <col min="3" max="3" width="35.5546875" style="360" customWidth="1"/>
    <col min="4" max="4" width="38.44140625" style="307" customWidth="1"/>
    <col min="5" max="16384" width="9.109375" style="360"/>
  </cols>
  <sheetData>
    <row r="1" spans="1:4" ht="13.8">
      <c r="A1" s="304" t="s">
        <v>30</v>
      </c>
      <c r="B1" s="370" t="str">
        <f>'Info '!C2</f>
        <v xml:space="preserve">JSC "Bank of Georgia" </v>
      </c>
      <c r="D1" s="360"/>
    </row>
    <row r="2" spans="1:4">
      <c r="A2" s="305" t="s">
        <v>31</v>
      </c>
      <c r="B2" s="369">
        <f>'1. key ratios '!B2</f>
        <v>45473</v>
      </c>
      <c r="D2" s="360"/>
    </row>
    <row r="3" spans="1:4">
      <c r="A3" s="306" t="s">
        <v>454</v>
      </c>
      <c r="D3" s="360"/>
    </row>
    <row r="5" spans="1:4">
      <c r="A5" s="788" t="s">
        <v>668</v>
      </c>
      <c r="B5" s="788"/>
      <c r="C5" s="368" t="s">
        <v>471</v>
      </c>
      <c r="D5" s="368" t="s">
        <v>512</v>
      </c>
    </row>
    <row r="6" spans="1:4">
      <c r="A6" s="397">
        <v>1</v>
      </c>
      <c r="B6" s="391" t="s">
        <v>667</v>
      </c>
      <c r="C6" s="655">
        <v>307004255.91000009</v>
      </c>
      <c r="D6" s="656">
        <v>5260337.2700000014</v>
      </c>
    </row>
    <row r="7" spans="1:4">
      <c r="A7" s="394">
        <v>2</v>
      </c>
      <c r="B7" s="391" t="s">
        <v>666</v>
      </c>
      <c r="C7" s="655">
        <v>159433728.86999995</v>
      </c>
      <c r="D7" s="656">
        <v>1365460.3965999968</v>
      </c>
    </row>
    <row r="8" spans="1:4">
      <c r="A8" s="396">
        <v>2.1</v>
      </c>
      <c r="B8" s="395" t="s">
        <v>527</v>
      </c>
      <c r="C8" s="655">
        <v>48848541.560000002</v>
      </c>
      <c r="D8" s="656">
        <v>396207.04000000015</v>
      </c>
    </row>
    <row r="9" spans="1:4">
      <c r="A9" s="396">
        <v>2.2000000000000002</v>
      </c>
      <c r="B9" s="395" t="s">
        <v>525</v>
      </c>
      <c r="C9" s="655">
        <v>110585187.30999994</v>
      </c>
      <c r="D9" s="656">
        <v>969253.35659999668</v>
      </c>
    </row>
    <row r="10" spans="1:4">
      <c r="A10" s="397">
        <v>3</v>
      </c>
      <c r="B10" s="391" t="s">
        <v>665</v>
      </c>
      <c r="C10" s="655">
        <v>150404864.73444808</v>
      </c>
      <c r="D10" s="656">
        <v>332733.76000000013</v>
      </c>
    </row>
    <row r="11" spans="1:4">
      <c r="A11" s="396">
        <v>3.1</v>
      </c>
      <c r="B11" s="395" t="s">
        <v>456</v>
      </c>
      <c r="C11" s="655">
        <v>24635116.777802005</v>
      </c>
      <c r="D11" s="656">
        <v>0</v>
      </c>
    </row>
    <row r="12" spans="1:4">
      <c r="A12" s="396">
        <v>3.2</v>
      </c>
      <c r="B12" s="395" t="s">
        <v>664</v>
      </c>
      <c r="C12" s="655">
        <v>55270100.73444812</v>
      </c>
      <c r="D12" s="656">
        <v>0</v>
      </c>
    </row>
    <row r="13" spans="1:4">
      <c r="A13" s="396">
        <v>3.3</v>
      </c>
      <c r="B13" s="395" t="s">
        <v>526</v>
      </c>
      <c r="C13" s="655">
        <v>70499647.22219795</v>
      </c>
      <c r="D13" s="656">
        <v>332733.76000000013</v>
      </c>
    </row>
    <row r="14" spans="1:4">
      <c r="A14" s="394">
        <v>4</v>
      </c>
      <c r="B14" s="393" t="s">
        <v>663</v>
      </c>
      <c r="C14" s="655">
        <v>3795274.414448123</v>
      </c>
      <c r="D14" s="656">
        <v>-86263.76999999999</v>
      </c>
    </row>
    <row r="15" spans="1:4" ht="12.6" thickBot="1">
      <c r="A15" s="392">
        <v>5</v>
      </c>
      <c r="B15" s="391" t="s">
        <v>662</v>
      </c>
      <c r="C15" s="657">
        <v>319828394.4600001</v>
      </c>
      <c r="D15" s="658">
        <v>6206800.1365999989</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3"/>
  <sheetViews>
    <sheetView showGridLines="0" zoomScaleNormal="100" workbookViewId="0"/>
  </sheetViews>
  <sheetFormatPr defaultColWidth="9.109375" defaultRowHeight="12"/>
  <cols>
    <col min="1" max="1" width="11.88671875" style="360" bestFit="1" customWidth="1"/>
    <col min="2" max="2" width="128.88671875" style="360" bestFit="1" customWidth="1"/>
    <col min="3" max="3" width="37" style="360" customWidth="1"/>
    <col min="4" max="4" width="50.5546875" style="360" customWidth="1"/>
    <col min="5" max="16384" width="9.109375" style="360"/>
  </cols>
  <sheetData>
    <row r="1" spans="1:4" ht="13.8">
      <c r="A1" s="304" t="s">
        <v>30</v>
      </c>
      <c r="B1" s="370" t="str">
        <f>'Info '!C2</f>
        <v xml:space="preserve">JSC "Bank of Georgia" </v>
      </c>
    </row>
    <row r="2" spans="1:4">
      <c r="A2" s="305" t="s">
        <v>31</v>
      </c>
      <c r="B2" s="369">
        <f>'1. key ratios '!B2</f>
        <v>45473</v>
      </c>
    </row>
    <row r="3" spans="1:4">
      <c r="A3" s="306" t="s">
        <v>458</v>
      </c>
    </row>
    <row r="4" spans="1:4">
      <c r="A4" s="306"/>
    </row>
    <row r="5" spans="1:4" ht="15" customHeight="1">
      <c r="A5" s="789" t="s">
        <v>528</v>
      </c>
      <c r="B5" s="790"/>
      <c r="C5" s="793" t="s">
        <v>459</v>
      </c>
      <c r="D5" s="793" t="s">
        <v>460</v>
      </c>
    </row>
    <row r="6" spans="1:4">
      <c r="A6" s="791"/>
      <c r="B6" s="792"/>
      <c r="C6" s="793"/>
      <c r="D6" s="793"/>
    </row>
    <row r="7" spans="1:4" ht="13.8">
      <c r="A7" s="400">
        <v>1</v>
      </c>
      <c r="B7" s="361" t="s">
        <v>455</v>
      </c>
      <c r="C7" s="659">
        <v>496444134</v>
      </c>
      <c r="D7" s="398"/>
    </row>
    <row r="8" spans="1:4" ht="13.8">
      <c r="A8" s="402">
        <v>2</v>
      </c>
      <c r="B8" s="402" t="s">
        <v>461</v>
      </c>
      <c r="C8" s="556">
        <v>87636073.659999996</v>
      </c>
      <c r="D8" s="398"/>
    </row>
    <row r="9" spans="1:4" ht="13.8">
      <c r="A9" s="402">
        <v>3</v>
      </c>
      <c r="B9" s="403" t="s">
        <v>671</v>
      </c>
      <c r="C9" s="556">
        <v>8407071.1999999993</v>
      </c>
      <c r="D9" s="398"/>
    </row>
    <row r="10" spans="1:4" ht="13.8">
      <c r="A10" s="402">
        <v>4</v>
      </c>
      <c r="B10" s="402" t="s">
        <v>462</v>
      </c>
      <c r="C10" s="556">
        <f>SUM(C11:C17)</f>
        <v>80772281.479125425</v>
      </c>
      <c r="D10" s="398"/>
    </row>
    <row r="11" spans="1:4" ht="13.8">
      <c r="A11" s="402">
        <v>5</v>
      </c>
      <c r="B11" s="401" t="s">
        <v>670</v>
      </c>
      <c r="C11" s="556">
        <v>21394512.440125421</v>
      </c>
      <c r="D11" s="398"/>
    </row>
    <row r="12" spans="1:4" ht="13.8">
      <c r="A12" s="402">
        <v>6</v>
      </c>
      <c r="B12" s="401" t="s">
        <v>463</v>
      </c>
      <c r="C12" s="556">
        <v>30251786.5669</v>
      </c>
      <c r="D12" s="398"/>
    </row>
    <row r="13" spans="1:4" ht="13.8">
      <c r="A13" s="402">
        <v>7</v>
      </c>
      <c r="B13" s="401" t="s">
        <v>466</v>
      </c>
      <c r="C13" s="556">
        <v>18534590.5557</v>
      </c>
      <c r="D13" s="398"/>
    </row>
    <row r="14" spans="1:4" ht="13.8">
      <c r="A14" s="402">
        <v>8</v>
      </c>
      <c r="B14" s="401" t="s">
        <v>464</v>
      </c>
      <c r="C14" s="556">
        <v>10591391.9164</v>
      </c>
      <c r="D14" s="402"/>
    </row>
    <row r="15" spans="1:4" ht="13.8">
      <c r="A15" s="402">
        <v>9</v>
      </c>
      <c r="B15" s="401" t="s">
        <v>465</v>
      </c>
      <c r="C15" s="556">
        <v>0</v>
      </c>
      <c r="D15" s="402"/>
    </row>
    <row r="16" spans="1:4" ht="13.8">
      <c r="A16" s="402">
        <v>10</v>
      </c>
      <c r="B16" s="401" t="s">
        <v>467</v>
      </c>
      <c r="C16" s="556">
        <v>0</v>
      </c>
      <c r="D16" s="402"/>
    </row>
    <row r="17" spans="1:4" ht="13.8">
      <c r="A17" s="402">
        <v>11</v>
      </c>
      <c r="B17" s="401" t="s">
        <v>669</v>
      </c>
      <c r="C17" s="556">
        <v>0</v>
      </c>
      <c r="D17" s="398"/>
    </row>
    <row r="18" spans="1:4" ht="13.8">
      <c r="A18" s="400">
        <v>12</v>
      </c>
      <c r="B18" s="399" t="s">
        <v>457</v>
      </c>
      <c r="C18" s="556">
        <f>C7+C8-C10+C9</f>
        <v>511714997.38087451</v>
      </c>
      <c r="D18" s="398"/>
    </row>
    <row r="21" spans="1:4">
      <c r="B21" s="304"/>
    </row>
    <row r="22" spans="1:4">
      <c r="B22" s="305"/>
    </row>
    <row r="23" spans="1:4">
      <c r="B23" s="306"/>
    </row>
  </sheetData>
  <mergeCells count="3">
    <mergeCell ref="A5:B6"/>
    <mergeCell ref="C5:C6"/>
    <mergeCell ref="D5:D6"/>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28"/>
  <sheetViews>
    <sheetView showGridLines="0" zoomScaleNormal="100" workbookViewId="0"/>
  </sheetViews>
  <sheetFormatPr defaultColWidth="9.109375" defaultRowHeight="12"/>
  <cols>
    <col min="1" max="1" width="11.88671875" style="384" bestFit="1" customWidth="1"/>
    <col min="2" max="2" width="63.88671875" style="384" customWidth="1"/>
    <col min="3" max="3" width="15.5546875" style="384" customWidth="1"/>
    <col min="4" max="18" width="22.33203125" style="384" customWidth="1"/>
    <col min="19" max="19" width="23.33203125" style="384" bestFit="1" customWidth="1"/>
    <col min="20" max="26" width="22.33203125" style="384" customWidth="1"/>
    <col min="27" max="27" width="23.33203125" style="384" bestFit="1" customWidth="1"/>
    <col min="28" max="28" width="20" style="384" customWidth="1"/>
    <col min="29" max="16384" width="9.109375" style="384"/>
  </cols>
  <sheetData>
    <row r="1" spans="1:28" ht="13.8">
      <c r="A1" s="304" t="s">
        <v>30</v>
      </c>
      <c r="B1" s="370" t="str">
        <f>'Info '!C2</f>
        <v xml:space="preserve">JSC "Bank of Georgia" </v>
      </c>
    </row>
    <row r="2" spans="1:28">
      <c r="A2" s="305" t="s">
        <v>31</v>
      </c>
      <c r="B2" s="369">
        <f>'1. key ratios '!B2</f>
        <v>45473</v>
      </c>
      <c r="C2" s="385"/>
    </row>
    <row r="3" spans="1:28">
      <c r="A3" s="306" t="s">
        <v>468</v>
      </c>
    </row>
    <row r="5" spans="1:28" ht="15" customHeight="1">
      <c r="A5" s="795" t="s">
        <v>683</v>
      </c>
      <c r="B5" s="796"/>
      <c r="C5" s="801" t="s">
        <v>469</v>
      </c>
      <c r="D5" s="802"/>
      <c r="E5" s="802"/>
      <c r="F5" s="802"/>
      <c r="G5" s="802"/>
      <c r="H5" s="802"/>
      <c r="I5" s="802"/>
      <c r="J5" s="802"/>
      <c r="K5" s="802"/>
      <c r="L5" s="802"/>
      <c r="M5" s="802"/>
      <c r="N5" s="802"/>
      <c r="O5" s="802"/>
      <c r="P5" s="802"/>
      <c r="Q5" s="802"/>
      <c r="R5" s="802"/>
      <c r="S5" s="802"/>
      <c r="T5" s="415"/>
      <c r="U5" s="415"/>
      <c r="V5" s="415"/>
      <c r="W5" s="415"/>
      <c r="X5" s="415"/>
      <c r="Y5" s="415"/>
      <c r="Z5" s="415"/>
      <c r="AA5" s="414"/>
      <c r="AB5" s="407"/>
    </row>
    <row r="6" spans="1:28" ht="12" customHeight="1">
      <c r="A6" s="797"/>
      <c r="B6" s="798"/>
      <c r="C6" s="803" t="s">
        <v>64</v>
      </c>
      <c r="D6" s="805" t="s">
        <v>682</v>
      </c>
      <c r="E6" s="805"/>
      <c r="F6" s="805"/>
      <c r="G6" s="805"/>
      <c r="H6" s="805" t="s">
        <v>681</v>
      </c>
      <c r="I6" s="805"/>
      <c r="J6" s="805"/>
      <c r="K6" s="805"/>
      <c r="L6" s="413"/>
      <c r="M6" s="806" t="s">
        <v>680</v>
      </c>
      <c r="N6" s="806"/>
      <c r="O6" s="806"/>
      <c r="P6" s="806"/>
      <c r="Q6" s="806"/>
      <c r="R6" s="806"/>
      <c r="S6" s="786"/>
      <c r="T6" s="412"/>
      <c r="U6" s="794" t="s">
        <v>679</v>
      </c>
      <c r="V6" s="794"/>
      <c r="W6" s="794"/>
      <c r="X6" s="794"/>
      <c r="Y6" s="794"/>
      <c r="Z6" s="794"/>
      <c r="AA6" s="787"/>
      <c r="AB6" s="411"/>
    </row>
    <row r="7" spans="1:28" ht="24">
      <c r="A7" s="799"/>
      <c r="B7" s="800"/>
      <c r="C7" s="804"/>
      <c r="D7" s="410"/>
      <c r="E7" s="408" t="s">
        <v>470</v>
      </c>
      <c r="F7" s="381" t="s">
        <v>677</v>
      </c>
      <c r="G7" s="383" t="s">
        <v>678</v>
      </c>
      <c r="H7" s="385"/>
      <c r="I7" s="408" t="s">
        <v>470</v>
      </c>
      <c r="J7" s="381" t="s">
        <v>677</v>
      </c>
      <c r="K7" s="383" t="s">
        <v>678</v>
      </c>
      <c r="L7" s="409"/>
      <c r="M7" s="408" t="s">
        <v>470</v>
      </c>
      <c r="N7" s="408" t="s">
        <v>677</v>
      </c>
      <c r="O7" s="408" t="s">
        <v>676</v>
      </c>
      <c r="P7" s="408" t="s">
        <v>675</v>
      </c>
      <c r="Q7" s="408" t="s">
        <v>674</v>
      </c>
      <c r="R7" s="381" t="s">
        <v>673</v>
      </c>
      <c r="S7" s="408" t="s">
        <v>672</v>
      </c>
      <c r="T7" s="409"/>
      <c r="U7" s="408" t="s">
        <v>470</v>
      </c>
      <c r="V7" s="408" t="s">
        <v>677</v>
      </c>
      <c r="W7" s="408" t="s">
        <v>676</v>
      </c>
      <c r="X7" s="408" t="s">
        <v>675</v>
      </c>
      <c r="Y7" s="408" t="s">
        <v>674</v>
      </c>
      <c r="Z7" s="381" t="s">
        <v>673</v>
      </c>
      <c r="AA7" s="408" t="s">
        <v>672</v>
      </c>
      <c r="AB7" s="407"/>
    </row>
    <row r="8" spans="1:28">
      <c r="A8" s="406">
        <v>1</v>
      </c>
      <c r="B8" s="377" t="s">
        <v>471</v>
      </c>
      <c r="C8" s="550">
        <f>SUM(C9:C14)</f>
        <v>21971875738.358559</v>
      </c>
      <c r="D8" s="550">
        <f>SUM(D9:D14)</f>
        <v>20479206262.382084</v>
      </c>
      <c r="E8" s="550">
        <f>SUM(E9:E14)</f>
        <v>165772345.52115113</v>
      </c>
      <c r="F8" s="550">
        <f t="shared" ref="F8:AA8" si="0">SUM(F9:F14)</f>
        <v>24517.717499999999</v>
      </c>
      <c r="G8" s="550">
        <f t="shared" si="0"/>
        <v>0</v>
      </c>
      <c r="H8" s="550">
        <f t="shared" si="0"/>
        <v>980954478.59559989</v>
      </c>
      <c r="I8" s="550">
        <f t="shared" si="0"/>
        <v>205338182.12690002</v>
      </c>
      <c r="J8" s="550">
        <f t="shared" si="0"/>
        <v>51738205.857500002</v>
      </c>
      <c r="K8" s="550">
        <f t="shared" si="0"/>
        <v>3369774.1859000009</v>
      </c>
      <c r="L8" s="550">
        <f t="shared" si="0"/>
        <v>396240915.64200032</v>
      </c>
      <c r="M8" s="550">
        <f t="shared" si="0"/>
        <v>49255837.591200009</v>
      </c>
      <c r="N8" s="550">
        <f t="shared" si="0"/>
        <v>22920332.3891</v>
      </c>
      <c r="O8" s="550">
        <f t="shared" si="0"/>
        <v>42890408.859499983</v>
      </c>
      <c r="P8" s="550">
        <f t="shared" si="0"/>
        <v>30861375.908400007</v>
      </c>
      <c r="Q8" s="550">
        <f t="shared" si="0"/>
        <v>84221067.267800003</v>
      </c>
      <c r="R8" s="550">
        <f t="shared" si="0"/>
        <v>47446459.7535</v>
      </c>
      <c r="S8" s="550">
        <f t="shared" si="0"/>
        <v>4073199.1842000009</v>
      </c>
      <c r="T8" s="550">
        <f t="shared" si="0"/>
        <v>115474081.73887458</v>
      </c>
      <c r="U8" s="550">
        <f t="shared" si="0"/>
        <v>14734027.631100003</v>
      </c>
      <c r="V8" s="550">
        <f t="shared" si="0"/>
        <v>4974739.2140999986</v>
      </c>
      <c r="W8" s="550">
        <f t="shared" si="0"/>
        <v>4247932.1598999994</v>
      </c>
      <c r="X8" s="550">
        <f t="shared" si="0"/>
        <v>20878333.172400001</v>
      </c>
      <c r="Y8" s="550">
        <f t="shared" si="0"/>
        <v>5186236.2636999991</v>
      </c>
      <c r="Z8" s="550">
        <f t="shared" si="0"/>
        <v>1244935.4186</v>
      </c>
      <c r="AA8" s="550">
        <f t="shared" si="0"/>
        <v>0</v>
      </c>
      <c r="AB8" s="404"/>
    </row>
    <row r="9" spans="1:28" ht="13.8">
      <c r="A9" s="372">
        <v>1.1000000000000001</v>
      </c>
      <c r="B9" s="405" t="s">
        <v>472</v>
      </c>
      <c r="C9" s="554">
        <f>D9+H9+L9+T9</f>
        <v>0</v>
      </c>
      <c r="D9" s="551">
        <v>0</v>
      </c>
      <c r="E9" s="551">
        <v>0</v>
      </c>
      <c r="F9" s="551">
        <v>0</v>
      </c>
      <c r="G9" s="551">
        <v>0</v>
      </c>
      <c r="H9" s="551">
        <v>0</v>
      </c>
      <c r="I9" s="551">
        <v>0</v>
      </c>
      <c r="J9" s="551">
        <v>0</v>
      </c>
      <c r="K9" s="551">
        <v>0</v>
      </c>
      <c r="L9" s="551">
        <v>0</v>
      </c>
      <c r="M9" s="551">
        <v>0</v>
      </c>
      <c r="N9" s="551">
        <v>0</v>
      </c>
      <c r="O9" s="551">
        <v>0</v>
      </c>
      <c r="P9" s="551">
        <v>0</v>
      </c>
      <c r="Q9" s="551">
        <v>0</v>
      </c>
      <c r="R9" s="551">
        <v>0</v>
      </c>
      <c r="S9" s="551">
        <v>0</v>
      </c>
      <c r="T9" s="551">
        <v>0</v>
      </c>
      <c r="U9" s="551">
        <v>0</v>
      </c>
      <c r="V9" s="551">
        <v>0</v>
      </c>
      <c r="W9" s="551">
        <v>0</v>
      </c>
      <c r="X9" s="551">
        <v>0</v>
      </c>
      <c r="Y9" s="551">
        <v>0</v>
      </c>
      <c r="Z9" s="551">
        <v>0</v>
      </c>
      <c r="AA9" s="551">
        <v>0</v>
      </c>
      <c r="AB9" s="404"/>
    </row>
    <row r="10" spans="1:28" ht="13.8">
      <c r="A10" s="372">
        <v>1.2</v>
      </c>
      <c r="B10" s="405" t="s">
        <v>473</v>
      </c>
      <c r="C10" s="554">
        <f t="shared" ref="C10:C25" si="1">D10+H10+L10+T10</f>
        <v>0</v>
      </c>
      <c r="D10" s="551">
        <v>0</v>
      </c>
      <c r="E10" s="551">
        <v>0</v>
      </c>
      <c r="F10" s="551">
        <v>0</v>
      </c>
      <c r="G10" s="551">
        <v>0</v>
      </c>
      <c r="H10" s="551">
        <v>0</v>
      </c>
      <c r="I10" s="551">
        <v>0</v>
      </c>
      <c r="J10" s="551">
        <v>0</v>
      </c>
      <c r="K10" s="551">
        <v>0</v>
      </c>
      <c r="L10" s="551">
        <v>0</v>
      </c>
      <c r="M10" s="551">
        <v>0</v>
      </c>
      <c r="N10" s="551">
        <v>0</v>
      </c>
      <c r="O10" s="551">
        <v>0</v>
      </c>
      <c r="P10" s="551">
        <v>0</v>
      </c>
      <c r="Q10" s="551">
        <v>0</v>
      </c>
      <c r="R10" s="551">
        <v>0</v>
      </c>
      <c r="S10" s="551">
        <v>0</v>
      </c>
      <c r="T10" s="551">
        <v>0</v>
      </c>
      <c r="U10" s="551">
        <v>0</v>
      </c>
      <c r="V10" s="551">
        <v>0</v>
      </c>
      <c r="W10" s="551">
        <v>0</v>
      </c>
      <c r="X10" s="551">
        <v>0</v>
      </c>
      <c r="Y10" s="551">
        <v>0</v>
      </c>
      <c r="Z10" s="551">
        <v>0</v>
      </c>
      <c r="AA10" s="551">
        <v>0</v>
      </c>
      <c r="AB10" s="404"/>
    </row>
    <row r="11" spans="1:28" ht="13.8">
      <c r="A11" s="372">
        <v>1.3</v>
      </c>
      <c r="B11" s="405" t="s">
        <v>474</v>
      </c>
      <c r="C11" s="554">
        <f t="shared" si="1"/>
        <v>0</v>
      </c>
      <c r="D11" s="551">
        <v>0</v>
      </c>
      <c r="E11" s="551">
        <v>0</v>
      </c>
      <c r="F11" s="551">
        <v>0</v>
      </c>
      <c r="G11" s="551">
        <v>0</v>
      </c>
      <c r="H11" s="551">
        <v>0</v>
      </c>
      <c r="I11" s="551">
        <v>0</v>
      </c>
      <c r="J11" s="551">
        <v>0</v>
      </c>
      <c r="K11" s="551">
        <v>0</v>
      </c>
      <c r="L11" s="551">
        <v>0</v>
      </c>
      <c r="M11" s="551">
        <v>0</v>
      </c>
      <c r="N11" s="551">
        <v>0</v>
      </c>
      <c r="O11" s="551">
        <v>0</v>
      </c>
      <c r="P11" s="551">
        <v>0</v>
      </c>
      <c r="Q11" s="551">
        <v>0</v>
      </c>
      <c r="R11" s="551">
        <v>0</v>
      </c>
      <c r="S11" s="551">
        <v>0</v>
      </c>
      <c r="T11" s="551">
        <v>0</v>
      </c>
      <c r="U11" s="551">
        <v>0</v>
      </c>
      <c r="V11" s="551">
        <v>0</v>
      </c>
      <c r="W11" s="551">
        <v>0</v>
      </c>
      <c r="X11" s="551">
        <v>0</v>
      </c>
      <c r="Y11" s="551">
        <v>0</v>
      </c>
      <c r="Z11" s="551">
        <v>0</v>
      </c>
      <c r="AA11" s="551">
        <v>0</v>
      </c>
      <c r="AB11" s="404"/>
    </row>
    <row r="12" spans="1:28" ht="13.8">
      <c r="A12" s="372">
        <v>1.4</v>
      </c>
      <c r="B12" s="405" t="s">
        <v>475</v>
      </c>
      <c r="C12" s="554">
        <f>D12+H12+L12+T12</f>
        <v>300731192.2863999</v>
      </c>
      <c r="D12" s="551">
        <v>300119909.87639993</v>
      </c>
      <c r="E12" s="551">
        <v>0</v>
      </c>
      <c r="F12" s="551">
        <v>0</v>
      </c>
      <c r="G12" s="551">
        <v>0</v>
      </c>
      <c r="H12" s="551">
        <v>37621.139600000002</v>
      </c>
      <c r="I12" s="551">
        <v>0</v>
      </c>
      <c r="J12" s="551">
        <v>0</v>
      </c>
      <c r="K12" s="551">
        <v>0</v>
      </c>
      <c r="L12" s="551">
        <v>220092.02160000001</v>
      </c>
      <c r="M12" s="551">
        <v>0</v>
      </c>
      <c r="N12" s="551">
        <v>0</v>
      </c>
      <c r="O12" s="551">
        <v>0</v>
      </c>
      <c r="P12" s="551">
        <v>0</v>
      </c>
      <c r="Q12" s="551">
        <v>0</v>
      </c>
      <c r="R12" s="551">
        <v>0</v>
      </c>
      <c r="S12" s="551">
        <v>0</v>
      </c>
      <c r="T12" s="551">
        <v>353569.2488</v>
      </c>
      <c r="U12" s="551">
        <v>0</v>
      </c>
      <c r="V12" s="551">
        <v>0</v>
      </c>
      <c r="W12" s="551">
        <v>0</v>
      </c>
      <c r="X12" s="551">
        <v>0</v>
      </c>
      <c r="Y12" s="551">
        <v>0</v>
      </c>
      <c r="Z12" s="551">
        <v>0</v>
      </c>
      <c r="AA12" s="551">
        <v>0</v>
      </c>
      <c r="AB12" s="404"/>
    </row>
    <row r="13" spans="1:28" ht="13.8">
      <c r="A13" s="372">
        <v>1.5</v>
      </c>
      <c r="B13" s="405" t="s">
        <v>476</v>
      </c>
      <c r="C13" s="554">
        <f t="shared" si="1"/>
        <v>10492754333.855301</v>
      </c>
      <c r="D13" s="551">
        <v>9675950369.5563011</v>
      </c>
      <c r="E13" s="551">
        <v>51618822.784751087</v>
      </c>
      <c r="F13" s="551">
        <v>820.75</v>
      </c>
      <c r="G13" s="551">
        <v>0</v>
      </c>
      <c r="H13" s="551">
        <v>573516274.27889991</v>
      </c>
      <c r="I13" s="551">
        <v>144177077.4508</v>
      </c>
      <c r="J13" s="551">
        <v>16340077.522299999</v>
      </c>
      <c r="K13" s="551">
        <v>231526.1538</v>
      </c>
      <c r="L13" s="551">
        <v>213088645.55970019</v>
      </c>
      <c r="M13" s="551">
        <v>31407012.196400002</v>
      </c>
      <c r="N13" s="551">
        <v>14084534.747599998</v>
      </c>
      <c r="O13" s="551">
        <v>16120643.443599999</v>
      </c>
      <c r="P13" s="551">
        <v>12724055.238500001</v>
      </c>
      <c r="Q13" s="551">
        <v>58894272.094900005</v>
      </c>
      <c r="R13" s="551">
        <v>31406951.637599993</v>
      </c>
      <c r="S13" s="551">
        <v>1118622.3463999999</v>
      </c>
      <c r="T13" s="551">
        <v>30199044.4604</v>
      </c>
      <c r="U13" s="551">
        <v>4925429.6919000009</v>
      </c>
      <c r="V13" s="551">
        <v>0</v>
      </c>
      <c r="W13" s="551">
        <v>312902.95880000002</v>
      </c>
      <c r="X13" s="551">
        <v>18480230.416200001</v>
      </c>
      <c r="Y13" s="551">
        <v>210080.67310000001</v>
      </c>
      <c r="Z13" s="551">
        <v>668885.2291</v>
      </c>
      <c r="AA13" s="551">
        <v>0</v>
      </c>
      <c r="AB13" s="404"/>
    </row>
    <row r="14" spans="1:28" ht="13.8">
      <c r="A14" s="372">
        <v>1.6</v>
      </c>
      <c r="B14" s="405" t="s">
        <v>477</v>
      </c>
      <c r="C14" s="554">
        <f t="shared" si="1"/>
        <v>11178390212.216856</v>
      </c>
      <c r="D14" s="551">
        <v>10503135982.949383</v>
      </c>
      <c r="E14" s="551">
        <v>114153522.73640002</v>
      </c>
      <c r="F14" s="551">
        <v>23696.967499999999</v>
      </c>
      <c r="G14" s="551">
        <v>0</v>
      </c>
      <c r="H14" s="551">
        <v>407400583.17709988</v>
      </c>
      <c r="I14" s="551">
        <v>61161104.676100023</v>
      </c>
      <c r="J14" s="551">
        <v>35398128.335200004</v>
      </c>
      <c r="K14" s="551">
        <v>3138248.0321000009</v>
      </c>
      <c r="L14" s="551">
        <v>182932178.06070009</v>
      </c>
      <c r="M14" s="551">
        <v>17848825.394800004</v>
      </c>
      <c r="N14" s="551">
        <v>8835797.6414999999</v>
      </c>
      <c r="O14" s="551">
        <v>26769765.415899985</v>
      </c>
      <c r="P14" s="551">
        <v>18137320.669900004</v>
      </c>
      <c r="Q14" s="551">
        <v>25326795.172900006</v>
      </c>
      <c r="R14" s="551">
        <v>16039508.115900008</v>
      </c>
      <c r="S14" s="551">
        <v>2954576.8378000008</v>
      </c>
      <c r="T14" s="551">
        <v>84921468.02967459</v>
      </c>
      <c r="U14" s="551">
        <v>9808597.9392000008</v>
      </c>
      <c r="V14" s="551">
        <v>4974739.2140999986</v>
      </c>
      <c r="W14" s="551">
        <v>3935029.2010999997</v>
      </c>
      <c r="X14" s="551">
        <v>2398102.7561999997</v>
      </c>
      <c r="Y14" s="551">
        <v>4976155.5905999988</v>
      </c>
      <c r="Z14" s="551">
        <v>576050.18949999998</v>
      </c>
      <c r="AA14" s="551">
        <v>0</v>
      </c>
      <c r="AB14" s="404"/>
    </row>
    <row r="15" spans="1:28" ht="13.8">
      <c r="A15" s="406">
        <v>2</v>
      </c>
      <c r="B15" s="389" t="s">
        <v>478</v>
      </c>
      <c r="C15" s="554">
        <f>SUM(C16:C21)</f>
        <v>6926943061.8965998</v>
      </c>
      <c r="D15" s="554">
        <f t="shared" ref="D15:AA15" si="2">SUM(D16:D21)</f>
        <v>6926943061.8965998</v>
      </c>
      <c r="E15" s="554">
        <f t="shared" si="2"/>
        <v>0</v>
      </c>
      <c r="F15" s="554">
        <f t="shared" si="2"/>
        <v>0</v>
      </c>
      <c r="G15" s="554">
        <f t="shared" si="2"/>
        <v>0</v>
      </c>
      <c r="H15" s="554">
        <f t="shared" si="2"/>
        <v>0</v>
      </c>
      <c r="I15" s="554">
        <f t="shared" si="2"/>
        <v>0</v>
      </c>
      <c r="J15" s="554">
        <f t="shared" si="2"/>
        <v>0</v>
      </c>
      <c r="K15" s="554">
        <f t="shared" si="2"/>
        <v>0</v>
      </c>
      <c r="L15" s="554">
        <f t="shared" si="2"/>
        <v>0</v>
      </c>
      <c r="M15" s="554">
        <f t="shared" si="2"/>
        <v>0</v>
      </c>
      <c r="N15" s="554">
        <f t="shared" si="2"/>
        <v>0</v>
      </c>
      <c r="O15" s="554">
        <f t="shared" si="2"/>
        <v>0</v>
      </c>
      <c r="P15" s="554">
        <f t="shared" si="2"/>
        <v>0</v>
      </c>
      <c r="Q15" s="554">
        <f t="shared" si="2"/>
        <v>0</v>
      </c>
      <c r="R15" s="554">
        <f t="shared" si="2"/>
        <v>0</v>
      </c>
      <c r="S15" s="554">
        <f t="shared" si="2"/>
        <v>0</v>
      </c>
      <c r="T15" s="554">
        <f t="shared" si="2"/>
        <v>0</v>
      </c>
      <c r="U15" s="554">
        <f t="shared" si="2"/>
        <v>0</v>
      </c>
      <c r="V15" s="554">
        <f t="shared" si="2"/>
        <v>0</v>
      </c>
      <c r="W15" s="554">
        <f t="shared" si="2"/>
        <v>0</v>
      </c>
      <c r="X15" s="554">
        <f t="shared" si="2"/>
        <v>0</v>
      </c>
      <c r="Y15" s="554">
        <f t="shared" si="2"/>
        <v>0</v>
      </c>
      <c r="Z15" s="554">
        <f t="shared" si="2"/>
        <v>0</v>
      </c>
      <c r="AA15" s="554">
        <f t="shared" si="2"/>
        <v>0</v>
      </c>
      <c r="AB15" s="404"/>
    </row>
    <row r="16" spans="1:28" ht="13.8">
      <c r="A16" s="372">
        <v>2.1</v>
      </c>
      <c r="B16" s="405" t="s">
        <v>472</v>
      </c>
      <c r="C16" s="554">
        <f t="shared" si="1"/>
        <v>13880714.616</v>
      </c>
      <c r="D16" s="551">
        <v>13880714.616</v>
      </c>
      <c r="E16" s="551">
        <v>0</v>
      </c>
      <c r="F16" s="551">
        <v>0</v>
      </c>
      <c r="G16" s="551">
        <v>0</v>
      </c>
      <c r="H16" s="551">
        <v>0</v>
      </c>
      <c r="I16" s="551">
        <v>0</v>
      </c>
      <c r="J16" s="551">
        <v>0</v>
      </c>
      <c r="K16" s="551">
        <v>0</v>
      </c>
      <c r="L16" s="551">
        <v>0</v>
      </c>
      <c r="M16" s="551">
        <v>0</v>
      </c>
      <c r="N16" s="551">
        <v>0</v>
      </c>
      <c r="O16" s="551">
        <v>0</v>
      </c>
      <c r="P16" s="551">
        <v>0</v>
      </c>
      <c r="Q16" s="551">
        <v>0</v>
      </c>
      <c r="R16" s="551">
        <v>0</v>
      </c>
      <c r="S16" s="551">
        <v>0</v>
      </c>
      <c r="T16" s="551">
        <v>0</v>
      </c>
      <c r="U16" s="551">
        <v>0</v>
      </c>
      <c r="V16" s="551">
        <v>0</v>
      </c>
      <c r="W16" s="551">
        <v>0</v>
      </c>
      <c r="X16" s="551">
        <v>0</v>
      </c>
      <c r="Y16" s="551">
        <v>0</v>
      </c>
      <c r="Z16" s="551">
        <v>0</v>
      </c>
      <c r="AA16" s="551">
        <v>0</v>
      </c>
      <c r="AB16" s="404"/>
    </row>
    <row r="17" spans="1:28" ht="13.8">
      <c r="A17" s="372">
        <v>2.2000000000000002</v>
      </c>
      <c r="B17" s="405" t="s">
        <v>473</v>
      </c>
      <c r="C17" s="554">
        <f t="shared" si="1"/>
        <v>5778778580.8919001</v>
      </c>
      <c r="D17" s="551">
        <v>5778778580.8919001</v>
      </c>
      <c r="E17" s="551">
        <v>0</v>
      </c>
      <c r="F17" s="551">
        <v>0</v>
      </c>
      <c r="G17" s="551">
        <v>0</v>
      </c>
      <c r="H17" s="551">
        <v>0</v>
      </c>
      <c r="I17" s="551">
        <v>0</v>
      </c>
      <c r="J17" s="551">
        <v>0</v>
      </c>
      <c r="K17" s="551">
        <v>0</v>
      </c>
      <c r="L17" s="551">
        <v>0</v>
      </c>
      <c r="M17" s="551">
        <v>0</v>
      </c>
      <c r="N17" s="551">
        <v>0</v>
      </c>
      <c r="O17" s="551">
        <v>0</v>
      </c>
      <c r="P17" s="551">
        <v>0</v>
      </c>
      <c r="Q17" s="551">
        <v>0</v>
      </c>
      <c r="R17" s="551">
        <v>0</v>
      </c>
      <c r="S17" s="551">
        <v>0</v>
      </c>
      <c r="T17" s="551">
        <v>0</v>
      </c>
      <c r="U17" s="551">
        <v>0</v>
      </c>
      <c r="V17" s="551">
        <v>0</v>
      </c>
      <c r="W17" s="551">
        <v>0</v>
      </c>
      <c r="X17" s="551">
        <v>0</v>
      </c>
      <c r="Y17" s="551">
        <v>0</v>
      </c>
      <c r="Z17" s="551">
        <v>0</v>
      </c>
      <c r="AA17" s="551">
        <v>0</v>
      </c>
      <c r="AB17" s="404"/>
    </row>
    <row r="18" spans="1:28" ht="13.8">
      <c r="A18" s="372">
        <v>2.2999999999999998</v>
      </c>
      <c r="B18" s="405" t="s">
        <v>474</v>
      </c>
      <c r="C18" s="554">
        <f t="shared" si="1"/>
        <v>1002623058.7745</v>
      </c>
      <c r="D18" s="551">
        <v>1002623058.7745</v>
      </c>
      <c r="E18" s="551">
        <v>0</v>
      </c>
      <c r="F18" s="551">
        <v>0</v>
      </c>
      <c r="G18" s="551">
        <v>0</v>
      </c>
      <c r="H18" s="551">
        <v>0</v>
      </c>
      <c r="I18" s="551">
        <v>0</v>
      </c>
      <c r="J18" s="551">
        <v>0</v>
      </c>
      <c r="K18" s="551">
        <v>0</v>
      </c>
      <c r="L18" s="551">
        <v>0</v>
      </c>
      <c r="M18" s="551">
        <v>0</v>
      </c>
      <c r="N18" s="551">
        <v>0</v>
      </c>
      <c r="O18" s="551">
        <v>0</v>
      </c>
      <c r="P18" s="551">
        <v>0</v>
      </c>
      <c r="Q18" s="551">
        <v>0</v>
      </c>
      <c r="R18" s="551">
        <v>0</v>
      </c>
      <c r="S18" s="551">
        <v>0</v>
      </c>
      <c r="T18" s="551">
        <v>0</v>
      </c>
      <c r="U18" s="551">
        <v>0</v>
      </c>
      <c r="V18" s="551">
        <v>0</v>
      </c>
      <c r="W18" s="551">
        <v>0</v>
      </c>
      <c r="X18" s="551">
        <v>0</v>
      </c>
      <c r="Y18" s="551">
        <v>0</v>
      </c>
      <c r="Z18" s="551">
        <v>0</v>
      </c>
      <c r="AA18" s="551">
        <v>0</v>
      </c>
      <c r="AB18" s="404"/>
    </row>
    <row r="19" spans="1:28" ht="13.8">
      <c r="A19" s="372">
        <v>2.4</v>
      </c>
      <c r="B19" s="405" t="s">
        <v>475</v>
      </c>
      <c r="C19" s="554">
        <f t="shared" si="1"/>
        <v>10387964.699999999</v>
      </c>
      <c r="D19" s="551">
        <v>10387964.699999999</v>
      </c>
      <c r="E19" s="551">
        <v>0</v>
      </c>
      <c r="F19" s="551">
        <v>0</v>
      </c>
      <c r="G19" s="551">
        <v>0</v>
      </c>
      <c r="H19" s="551">
        <v>0</v>
      </c>
      <c r="I19" s="551">
        <v>0</v>
      </c>
      <c r="J19" s="551">
        <v>0</v>
      </c>
      <c r="K19" s="551">
        <v>0</v>
      </c>
      <c r="L19" s="551">
        <v>0</v>
      </c>
      <c r="M19" s="551">
        <v>0</v>
      </c>
      <c r="N19" s="551">
        <v>0</v>
      </c>
      <c r="O19" s="551">
        <v>0</v>
      </c>
      <c r="P19" s="551">
        <v>0</v>
      </c>
      <c r="Q19" s="551">
        <v>0</v>
      </c>
      <c r="R19" s="551">
        <v>0</v>
      </c>
      <c r="S19" s="551">
        <v>0</v>
      </c>
      <c r="T19" s="551">
        <v>0</v>
      </c>
      <c r="U19" s="551">
        <v>0</v>
      </c>
      <c r="V19" s="551">
        <v>0</v>
      </c>
      <c r="W19" s="551">
        <v>0</v>
      </c>
      <c r="X19" s="551">
        <v>0</v>
      </c>
      <c r="Y19" s="551">
        <v>0</v>
      </c>
      <c r="Z19" s="551">
        <v>0</v>
      </c>
      <c r="AA19" s="551">
        <v>0</v>
      </c>
      <c r="AB19" s="404"/>
    </row>
    <row r="20" spans="1:28" ht="13.8">
      <c r="A20" s="372">
        <v>2.5</v>
      </c>
      <c r="B20" s="405" t="s">
        <v>476</v>
      </c>
      <c r="C20" s="554">
        <f t="shared" si="1"/>
        <v>121272742.91420002</v>
      </c>
      <c r="D20" s="551">
        <v>121272742.91420002</v>
      </c>
      <c r="E20" s="551">
        <v>0</v>
      </c>
      <c r="F20" s="551">
        <v>0</v>
      </c>
      <c r="G20" s="551">
        <v>0</v>
      </c>
      <c r="H20" s="551">
        <v>0</v>
      </c>
      <c r="I20" s="551">
        <v>0</v>
      </c>
      <c r="J20" s="551">
        <v>0</v>
      </c>
      <c r="K20" s="551">
        <v>0</v>
      </c>
      <c r="L20" s="551">
        <v>0</v>
      </c>
      <c r="M20" s="551">
        <v>0</v>
      </c>
      <c r="N20" s="551">
        <v>0</v>
      </c>
      <c r="O20" s="551">
        <v>0</v>
      </c>
      <c r="P20" s="551">
        <v>0</v>
      </c>
      <c r="Q20" s="551">
        <v>0</v>
      </c>
      <c r="R20" s="551">
        <v>0</v>
      </c>
      <c r="S20" s="551">
        <v>0</v>
      </c>
      <c r="T20" s="551">
        <v>0</v>
      </c>
      <c r="U20" s="551">
        <v>0</v>
      </c>
      <c r="V20" s="551">
        <v>0</v>
      </c>
      <c r="W20" s="551">
        <v>0</v>
      </c>
      <c r="X20" s="551">
        <v>0</v>
      </c>
      <c r="Y20" s="551">
        <v>0</v>
      </c>
      <c r="Z20" s="551">
        <v>0</v>
      </c>
      <c r="AA20" s="551">
        <v>0</v>
      </c>
      <c r="AB20" s="404"/>
    </row>
    <row r="21" spans="1:28" ht="13.8">
      <c r="A21" s="372">
        <v>2.6</v>
      </c>
      <c r="B21" s="405" t="s">
        <v>477</v>
      </c>
      <c r="C21" s="554">
        <f t="shared" si="1"/>
        <v>0</v>
      </c>
      <c r="D21" s="551">
        <v>0</v>
      </c>
      <c r="E21" s="551">
        <v>0</v>
      </c>
      <c r="F21" s="551">
        <v>0</v>
      </c>
      <c r="G21" s="551">
        <v>0</v>
      </c>
      <c r="H21" s="551">
        <v>0</v>
      </c>
      <c r="I21" s="551">
        <v>0</v>
      </c>
      <c r="J21" s="551">
        <v>0</v>
      </c>
      <c r="K21" s="551">
        <v>0</v>
      </c>
      <c r="L21" s="551">
        <v>0</v>
      </c>
      <c r="M21" s="551">
        <v>0</v>
      </c>
      <c r="N21" s="551">
        <v>0</v>
      </c>
      <c r="O21" s="551">
        <v>0</v>
      </c>
      <c r="P21" s="551">
        <v>0</v>
      </c>
      <c r="Q21" s="551">
        <v>0</v>
      </c>
      <c r="R21" s="551">
        <v>0</v>
      </c>
      <c r="S21" s="551">
        <v>0</v>
      </c>
      <c r="T21" s="551">
        <v>0</v>
      </c>
      <c r="U21" s="551">
        <v>0</v>
      </c>
      <c r="V21" s="551">
        <v>0</v>
      </c>
      <c r="W21" s="551">
        <v>0</v>
      </c>
      <c r="X21" s="551">
        <v>0</v>
      </c>
      <c r="Y21" s="551">
        <v>0</v>
      </c>
      <c r="Z21" s="551">
        <v>0</v>
      </c>
      <c r="AA21" s="551">
        <v>0</v>
      </c>
      <c r="AB21" s="404"/>
    </row>
    <row r="22" spans="1:28" ht="13.8">
      <c r="A22" s="406">
        <v>3</v>
      </c>
      <c r="B22" s="377" t="s">
        <v>518</v>
      </c>
      <c r="C22" s="554">
        <f>SUM(C23:C28)</f>
        <v>2942777418.3939099</v>
      </c>
      <c r="D22" s="554">
        <f t="shared" ref="D22" si="3">SUM(D23:D28)</f>
        <v>2878930911.8326569</v>
      </c>
      <c r="E22" s="555"/>
      <c r="F22" s="555"/>
      <c r="G22" s="555"/>
      <c r="H22" s="554">
        <f t="shared" ref="H22" si="4">SUM(H23:H28)</f>
        <v>52461653.306439996</v>
      </c>
      <c r="I22" s="555"/>
      <c r="J22" s="555"/>
      <c r="K22" s="555"/>
      <c r="L22" s="554">
        <f t="shared" ref="L22" si="5">SUM(L23:L28)</f>
        <v>11376533.952312998</v>
      </c>
      <c r="M22" s="555"/>
      <c r="N22" s="555"/>
      <c r="O22" s="555"/>
      <c r="P22" s="555"/>
      <c r="Q22" s="555"/>
      <c r="R22" s="555"/>
      <c r="S22" s="555"/>
      <c r="T22" s="551">
        <v>0</v>
      </c>
      <c r="U22" s="555"/>
      <c r="V22" s="555"/>
      <c r="W22" s="555"/>
      <c r="X22" s="555"/>
      <c r="Y22" s="555"/>
      <c r="Z22" s="555"/>
      <c r="AA22" s="555"/>
      <c r="AB22" s="404"/>
    </row>
    <row r="23" spans="1:28" ht="13.8">
      <c r="A23" s="372">
        <v>3.1</v>
      </c>
      <c r="B23" s="405" t="s">
        <v>472</v>
      </c>
      <c r="C23" s="554">
        <f t="shared" si="1"/>
        <v>0</v>
      </c>
      <c r="D23" s="551">
        <v>0</v>
      </c>
      <c r="E23" s="555"/>
      <c r="F23" s="555"/>
      <c r="G23" s="555"/>
      <c r="H23" s="551">
        <v>0</v>
      </c>
      <c r="I23" s="555"/>
      <c r="J23" s="555"/>
      <c r="K23" s="555"/>
      <c r="L23" s="551">
        <v>0</v>
      </c>
      <c r="M23" s="555"/>
      <c r="N23" s="555"/>
      <c r="O23" s="555"/>
      <c r="P23" s="555"/>
      <c r="Q23" s="555"/>
      <c r="R23" s="555"/>
      <c r="S23" s="555"/>
      <c r="T23" s="551">
        <v>0</v>
      </c>
      <c r="U23" s="555"/>
      <c r="V23" s="555"/>
      <c r="W23" s="555"/>
      <c r="X23" s="555"/>
      <c r="Y23" s="555"/>
      <c r="Z23" s="555"/>
      <c r="AA23" s="555"/>
      <c r="AB23" s="404"/>
    </row>
    <row r="24" spans="1:28" ht="13.8">
      <c r="A24" s="372">
        <v>3.2</v>
      </c>
      <c r="B24" s="405" t="s">
        <v>473</v>
      </c>
      <c r="C24" s="554">
        <f t="shared" si="1"/>
        <v>998869.04999999993</v>
      </c>
      <c r="D24" s="551">
        <v>998869.04999999993</v>
      </c>
      <c r="E24" s="555"/>
      <c r="F24" s="555"/>
      <c r="G24" s="555"/>
      <c r="H24" s="551">
        <v>0</v>
      </c>
      <c r="I24" s="555"/>
      <c r="J24" s="555"/>
      <c r="K24" s="555"/>
      <c r="L24" s="551">
        <v>0</v>
      </c>
      <c r="M24" s="555"/>
      <c r="N24" s="555"/>
      <c r="O24" s="555"/>
      <c r="P24" s="555"/>
      <c r="Q24" s="555"/>
      <c r="R24" s="555"/>
      <c r="S24" s="555"/>
      <c r="T24" s="551">
        <v>0</v>
      </c>
      <c r="U24" s="555"/>
      <c r="V24" s="555"/>
      <c r="W24" s="555"/>
      <c r="X24" s="555"/>
      <c r="Y24" s="555"/>
      <c r="Z24" s="555"/>
      <c r="AA24" s="555"/>
      <c r="AB24" s="404"/>
    </row>
    <row r="25" spans="1:28" ht="13.8">
      <c r="A25" s="372">
        <v>3.3</v>
      </c>
      <c r="B25" s="405" t="s">
        <v>474</v>
      </c>
      <c r="C25" s="554">
        <f t="shared" si="1"/>
        <v>0</v>
      </c>
      <c r="D25" s="551">
        <v>0</v>
      </c>
      <c r="E25" s="555"/>
      <c r="F25" s="555"/>
      <c r="G25" s="555"/>
      <c r="H25" s="551">
        <v>0</v>
      </c>
      <c r="I25" s="555"/>
      <c r="J25" s="555"/>
      <c r="K25" s="555"/>
      <c r="L25" s="551">
        <v>0</v>
      </c>
      <c r="M25" s="555"/>
      <c r="N25" s="555"/>
      <c r="O25" s="555"/>
      <c r="P25" s="555"/>
      <c r="Q25" s="555"/>
      <c r="R25" s="555"/>
      <c r="S25" s="555"/>
      <c r="T25" s="551">
        <v>0</v>
      </c>
      <c r="U25" s="555"/>
      <c r="V25" s="555"/>
      <c r="W25" s="555"/>
      <c r="X25" s="555"/>
      <c r="Y25" s="555"/>
      <c r="Z25" s="555"/>
      <c r="AA25" s="555"/>
      <c r="AB25" s="404"/>
    </row>
    <row r="26" spans="1:28" ht="13.8">
      <c r="A26" s="372">
        <v>3.4</v>
      </c>
      <c r="B26" s="405" t="s">
        <v>475</v>
      </c>
      <c r="C26" s="554">
        <f>D26+H26+L26+T26</f>
        <v>11382254.772299999</v>
      </c>
      <c r="D26" s="551">
        <v>11382254.772299999</v>
      </c>
      <c r="E26" s="555"/>
      <c r="F26" s="555"/>
      <c r="G26" s="555"/>
      <c r="H26" s="551">
        <v>0</v>
      </c>
      <c r="I26" s="555"/>
      <c r="J26" s="555"/>
      <c r="K26" s="555"/>
      <c r="L26" s="551">
        <v>0</v>
      </c>
      <c r="M26" s="555"/>
      <c r="N26" s="555"/>
      <c r="O26" s="555"/>
      <c r="P26" s="555"/>
      <c r="Q26" s="555"/>
      <c r="R26" s="555"/>
      <c r="S26" s="555"/>
      <c r="T26" s="551">
        <v>0</v>
      </c>
      <c r="U26" s="555"/>
      <c r="V26" s="555"/>
      <c r="W26" s="555"/>
      <c r="X26" s="555"/>
      <c r="Y26" s="555"/>
      <c r="Z26" s="555"/>
      <c r="AA26" s="555"/>
      <c r="AB26" s="404"/>
    </row>
    <row r="27" spans="1:28" ht="13.8">
      <c r="A27" s="372">
        <v>3.5</v>
      </c>
      <c r="B27" s="405" t="s">
        <v>476</v>
      </c>
      <c r="C27" s="554">
        <f>D27+H27+L27+T27</f>
        <v>2627723500.343389</v>
      </c>
      <c r="D27" s="551">
        <v>2572313460.520009</v>
      </c>
      <c r="E27" s="555"/>
      <c r="F27" s="555"/>
      <c r="G27" s="555"/>
      <c r="H27" s="551">
        <v>44406522.273867995</v>
      </c>
      <c r="I27" s="555"/>
      <c r="J27" s="555"/>
      <c r="K27" s="555"/>
      <c r="L27" s="551">
        <v>11003517.549511999</v>
      </c>
      <c r="M27" s="555"/>
      <c r="N27" s="555"/>
      <c r="O27" s="555"/>
      <c r="P27" s="555"/>
      <c r="Q27" s="555"/>
      <c r="R27" s="555"/>
      <c r="S27" s="555"/>
      <c r="T27" s="551">
        <v>0</v>
      </c>
      <c r="U27" s="555"/>
      <c r="V27" s="555"/>
      <c r="W27" s="555"/>
      <c r="X27" s="555"/>
      <c r="Y27" s="555"/>
      <c r="Z27" s="555"/>
      <c r="AA27" s="555"/>
      <c r="AB27" s="404"/>
    </row>
    <row r="28" spans="1:28" ht="13.8">
      <c r="A28" s="372">
        <v>3.6</v>
      </c>
      <c r="B28" s="405" t="s">
        <v>477</v>
      </c>
      <c r="C28" s="554">
        <f>D28+H28+L28+T28</f>
        <v>302672794.22822094</v>
      </c>
      <c r="D28" s="551">
        <v>294236327.49034798</v>
      </c>
      <c r="E28" s="555"/>
      <c r="F28" s="555"/>
      <c r="G28" s="555"/>
      <c r="H28" s="551">
        <v>8055131.0325719994</v>
      </c>
      <c r="I28" s="555"/>
      <c r="J28" s="555"/>
      <c r="K28" s="555"/>
      <c r="L28" s="551">
        <v>373016.40280100005</v>
      </c>
      <c r="M28" s="555"/>
      <c r="N28" s="555"/>
      <c r="O28" s="555"/>
      <c r="P28" s="555"/>
      <c r="Q28" s="555"/>
      <c r="R28" s="555"/>
      <c r="S28" s="555"/>
      <c r="T28" s="551">
        <v>8319.3024999999998</v>
      </c>
      <c r="U28" s="555"/>
      <c r="V28" s="555"/>
      <c r="W28" s="555"/>
      <c r="X28" s="555"/>
      <c r="Y28" s="555"/>
      <c r="Z28" s="555"/>
      <c r="AA28" s="555"/>
      <c r="AB28" s="404"/>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23"/>
  <sheetViews>
    <sheetView showGridLines="0" zoomScaleNormal="100" workbookViewId="0"/>
  </sheetViews>
  <sheetFormatPr defaultColWidth="9.109375" defaultRowHeight="12"/>
  <cols>
    <col min="1" max="1" width="11.88671875" style="384" bestFit="1" customWidth="1"/>
    <col min="2" max="2" width="90.33203125" style="384" bestFit="1" customWidth="1"/>
    <col min="3" max="3" width="20.109375" style="384" customWidth="1"/>
    <col min="4" max="4" width="22.33203125" style="384" customWidth="1"/>
    <col min="5" max="7" width="17.109375" style="384" customWidth="1"/>
    <col min="8" max="8" width="22.33203125" style="384" customWidth="1"/>
    <col min="9" max="10" width="17.109375" style="384" customWidth="1"/>
    <col min="11" max="27" width="22.33203125" style="384" customWidth="1"/>
    <col min="28" max="16384" width="9.109375" style="384"/>
  </cols>
  <sheetData>
    <row r="1" spans="1:27" ht="13.8">
      <c r="A1" s="304" t="s">
        <v>30</v>
      </c>
      <c r="B1" s="370" t="str">
        <f>'Info '!C2</f>
        <v xml:space="preserve">JSC "Bank of Georgia" </v>
      </c>
    </row>
    <row r="2" spans="1:27">
      <c r="A2" s="305" t="s">
        <v>31</v>
      </c>
      <c r="B2" s="369">
        <f>'1. key ratios '!B2</f>
        <v>45473</v>
      </c>
    </row>
    <row r="3" spans="1:27">
      <c r="A3" s="306" t="s">
        <v>480</v>
      </c>
      <c r="C3" s="386"/>
    </row>
    <row r="4" spans="1:27" ht="12.6" thickBot="1">
      <c r="A4" s="306"/>
      <c r="B4" s="440"/>
      <c r="C4" s="386"/>
    </row>
    <row r="5" spans="1:27" s="416" customFormat="1" ht="13.5" customHeight="1">
      <c r="A5" s="807" t="s">
        <v>686</v>
      </c>
      <c r="B5" s="808"/>
      <c r="C5" s="816" t="s">
        <v>685</v>
      </c>
      <c r="D5" s="817"/>
      <c r="E5" s="817"/>
      <c r="F5" s="817"/>
      <c r="G5" s="817"/>
      <c r="H5" s="817"/>
      <c r="I5" s="817"/>
      <c r="J5" s="817"/>
      <c r="K5" s="817"/>
      <c r="L5" s="817"/>
      <c r="M5" s="817"/>
      <c r="N5" s="817"/>
      <c r="O5" s="817"/>
      <c r="P5" s="817"/>
      <c r="Q5" s="817"/>
      <c r="R5" s="817"/>
      <c r="S5" s="818"/>
      <c r="T5" s="415"/>
      <c r="U5" s="415"/>
      <c r="V5" s="415"/>
      <c r="W5" s="415"/>
      <c r="X5" s="415"/>
      <c r="Y5" s="415"/>
      <c r="Z5" s="415"/>
      <c r="AA5" s="414"/>
    </row>
    <row r="6" spans="1:27" s="416" customFormat="1" ht="12" customHeight="1">
      <c r="A6" s="809"/>
      <c r="B6" s="810"/>
      <c r="C6" s="813" t="s">
        <v>64</v>
      </c>
      <c r="D6" s="805" t="s">
        <v>682</v>
      </c>
      <c r="E6" s="805"/>
      <c r="F6" s="805"/>
      <c r="G6" s="805"/>
      <c r="H6" s="805" t="s">
        <v>681</v>
      </c>
      <c r="I6" s="805"/>
      <c r="J6" s="805"/>
      <c r="K6" s="805"/>
      <c r="L6" s="413"/>
      <c r="M6" s="806" t="s">
        <v>680</v>
      </c>
      <c r="N6" s="806"/>
      <c r="O6" s="806"/>
      <c r="P6" s="806"/>
      <c r="Q6" s="806"/>
      <c r="R6" s="806"/>
      <c r="S6" s="815"/>
      <c r="T6" s="415"/>
      <c r="U6" s="794" t="s">
        <v>679</v>
      </c>
      <c r="V6" s="794"/>
      <c r="W6" s="794"/>
      <c r="X6" s="794"/>
      <c r="Y6" s="794"/>
      <c r="Z6" s="794"/>
      <c r="AA6" s="787"/>
    </row>
    <row r="7" spans="1:27" s="416" customFormat="1" ht="24">
      <c r="A7" s="811"/>
      <c r="B7" s="812"/>
      <c r="C7" s="814"/>
      <c r="D7" s="410"/>
      <c r="E7" s="408" t="s">
        <v>470</v>
      </c>
      <c r="F7" s="381" t="s">
        <v>677</v>
      </c>
      <c r="G7" s="383" t="s">
        <v>678</v>
      </c>
      <c r="H7" s="439"/>
      <c r="I7" s="408" t="s">
        <v>470</v>
      </c>
      <c r="J7" s="381" t="s">
        <v>677</v>
      </c>
      <c r="K7" s="383" t="s">
        <v>678</v>
      </c>
      <c r="L7" s="409"/>
      <c r="M7" s="408" t="s">
        <v>470</v>
      </c>
      <c r="N7" s="381" t="s">
        <v>677</v>
      </c>
      <c r="O7" s="381" t="s">
        <v>676</v>
      </c>
      <c r="P7" s="381" t="s">
        <v>675</v>
      </c>
      <c r="Q7" s="381" t="s">
        <v>674</v>
      </c>
      <c r="R7" s="381" t="s">
        <v>673</v>
      </c>
      <c r="S7" s="438" t="s">
        <v>672</v>
      </c>
      <c r="T7" s="437"/>
      <c r="U7" s="408" t="s">
        <v>470</v>
      </c>
      <c r="V7" s="408" t="s">
        <v>677</v>
      </c>
      <c r="W7" s="408" t="s">
        <v>676</v>
      </c>
      <c r="X7" s="408" t="s">
        <v>675</v>
      </c>
      <c r="Y7" s="408" t="s">
        <v>674</v>
      </c>
      <c r="Z7" s="381" t="s">
        <v>673</v>
      </c>
      <c r="AA7" s="408" t="s">
        <v>672</v>
      </c>
    </row>
    <row r="8" spans="1:27" ht="13.8">
      <c r="A8" s="436">
        <v>1</v>
      </c>
      <c r="B8" s="435" t="s">
        <v>471</v>
      </c>
      <c r="C8" s="651">
        <f t="shared" ref="C8:C15" si="0">D8+H8+L8+T8</f>
        <v>21971875738.360573</v>
      </c>
      <c r="D8" s="548">
        <v>20479206262.384098</v>
      </c>
      <c r="E8" s="548">
        <v>165772345.52115113</v>
      </c>
      <c r="F8" s="548">
        <v>24517.717500000002</v>
      </c>
      <c r="G8" s="548"/>
      <c r="H8" s="548">
        <v>980954478.59559989</v>
      </c>
      <c r="I8" s="548">
        <v>205338182.12689999</v>
      </c>
      <c r="J8" s="548">
        <v>51738205.857500002</v>
      </c>
      <c r="K8" s="548">
        <v>3369774.1859000004</v>
      </c>
      <c r="L8" s="548">
        <v>396240915.64200002</v>
      </c>
      <c r="M8" s="548">
        <v>49255837.591199994</v>
      </c>
      <c r="N8" s="548">
        <v>22920332.3891</v>
      </c>
      <c r="O8" s="548">
        <v>42890408.859499998</v>
      </c>
      <c r="P8" s="548">
        <v>30861375.908400007</v>
      </c>
      <c r="Q8" s="548">
        <v>84221067.267800003</v>
      </c>
      <c r="R8" s="548">
        <v>47446459.7535</v>
      </c>
      <c r="S8" s="548">
        <v>4073199.1842000009</v>
      </c>
      <c r="T8" s="548">
        <v>115474081.73887458</v>
      </c>
      <c r="U8" s="548">
        <v>14734027.631100001</v>
      </c>
      <c r="V8" s="548">
        <v>4974739.2140999995</v>
      </c>
      <c r="W8" s="548">
        <v>4247932.1599000003</v>
      </c>
      <c r="X8" s="548">
        <v>20878333.172400001</v>
      </c>
      <c r="Y8" s="548">
        <v>5186236.2637</v>
      </c>
      <c r="Z8" s="548">
        <v>1244935.4186</v>
      </c>
      <c r="AA8" s="660">
        <v>0</v>
      </c>
    </row>
    <row r="9" spans="1:27" ht="13.8">
      <c r="A9" s="433">
        <v>1.1000000000000001</v>
      </c>
      <c r="B9" s="434" t="s">
        <v>481</v>
      </c>
      <c r="C9" s="651">
        <f t="shared" si="0"/>
        <v>18262093109.967102</v>
      </c>
      <c r="D9" s="548">
        <v>16984837632.604902</v>
      </c>
      <c r="E9" s="548">
        <v>127200419.56320001</v>
      </c>
      <c r="F9" s="548">
        <v>7552.45</v>
      </c>
      <c r="G9" s="548"/>
      <c r="H9" s="548">
        <v>834920395.90190005</v>
      </c>
      <c r="I9" s="548">
        <v>178106323.82859999</v>
      </c>
      <c r="J9" s="548">
        <v>33254662.802799996</v>
      </c>
      <c r="K9" s="548">
        <v>3015615.6946999999</v>
      </c>
      <c r="L9" s="548">
        <v>331815931.01010001</v>
      </c>
      <c r="M9" s="548">
        <v>40411703.058399998</v>
      </c>
      <c r="N9" s="548">
        <v>16844820.6569</v>
      </c>
      <c r="O9" s="548">
        <v>27327375.725699998</v>
      </c>
      <c r="P9" s="548">
        <v>30239096.181699999</v>
      </c>
      <c r="Q9" s="548">
        <v>84059643.053399995</v>
      </c>
      <c r="R9" s="548">
        <v>43380078.465599999</v>
      </c>
      <c r="S9" s="548">
        <v>33173.747600000002</v>
      </c>
      <c r="T9" s="548">
        <v>110519150.45019999</v>
      </c>
      <c r="U9" s="548">
        <v>13839050.768100001</v>
      </c>
      <c r="V9" s="548">
        <v>4579368.2480999995</v>
      </c>
      <c r="W9" s="548">
        <v>3976851.9593000002</v>
      </c>
      <c r="X9" s="548">
        <v>20878333.172400001</v>
      </c>
      <c r="Y9" s="548">
        <v>5121034.9024999999</v>
      </c>
      <c r="Z9" s="548">
        <v>1244935.4186</v>
      </c>
      <c r="AA9" s="660"/>
    </row>
    <row r="10" spans="1:27" ht="13.8">
      <c r="A10" s="431" t="s">
        <v>14</v>
      </c>
      <c r="B10" s="432" t="s">
        <v>482</v>
      </c>
      <c r="C10" s="651">
        <f t="shared" si="0"/>
        <v>17658354193.534401</v>
      </c>
      <c r="D10" s="548">
        <v>16398360775.318399</v>
      </c>
      <c r="E10" s="548">
        <v>114800801.16370001</v>
      </c>
      <c r="F10" s="548">
        <v>0</v>
      </c>
      <c r="G10" s="548"/>
      <c r="H10" s="548">
        <v>822574086.56349993</v>
      </c>
      <c r="I10" s="548">
        <v>177238744.54930001</v>
      </c>
      <c r="J10" s="548">
        <v>32584091.699299999</v>
      </c>
      <c r="K10" s="548">
        <v>3015615.6946999999</v>
      </c>
      <c r="L10" s="548">
        <v>327002674.43229997</v>
      </c>
      <c r="M10" s="548">
        <v>40139821.679499999</v>
      </c>
      <c r="N10" s="548">
        <v>16485980.301199999</v>
      </c>
      <c r="O10" s="548">
        <v>26796443.606699999</v>
      </c>
      <c r="P10" s="548">
        <v>30221589.951700002</v>
      </c>
      <c r="Q10" s="548">
        <v>82831001.473399997</v>
      </c>
      <c r="R10" s="548">
        <v>42136450.375600003</v>
      </c>
      <c r="S10" s="548">
        <v>0</v>
      </c>
      <c r="T10" s="548">
        <v>110416657.2202</v>
      </c>
      <c r="U10" s="548">
        <v>13839050.768100001</v>
      </c>
      <c r="V10" s="548">
        <v>4476875.0181</v>
      </c>
      <c r="W10" s="548">
        <v>3976851.9593000002</v>
      </c>
      <c r="X10" s="548">
        <v>20878333.172400001</v>
      </c>
      <c r="Y10" s="548">
        <v>5121034.9024999999</v>
      </c>
      <c r="Z10" s="548">
        <v>1244935.4186</v>
      </c>
      <c r="AA10" s="660"/>
    </row>
    <row r="11" spans="1:27" ht="13.8">
      <c r="A11" s="430" t="s">
        <v>483</v>
      </c>
      <c r="B11" s="429" t="s">
        <v>484</v>
      </c>
      <c r="C11" s="651">
        <f t="shared" si="0"/>
        <v>10682066946.3521</v>
      </c>
      <c r="D11" s="548">
        <v>10164132304.543701</v>
      </c>
      <c r="E11" s="548">
        <v>74365903.890600011</v>
      </c>
      <c r="F11" s="548">
        <v>0</v>
      </c>
      <c r="G11" s="548"/>
      <c r="H11" s="548">
        <v>336196985.11019999</v>
      </c>
      <c r="I11" s="548">
        <v>28918785.186699998</v>
      </c>
      <c r="J11" s="548">
        <v>15628071.3522</v>
      </c>
      <c r="K11" s="548">
        <v>608139.4915</v>
      </c>
      <c r="L11" s="548">
        <v>128695375.85969999</v>
      </c>
      <c r="M11" s="548">
        <v>14039301.439099999</v>
      </c>
      <c r="N11" s="548">
        <v>3638585.5397999999</v>
      </c>
      <c r="O11" s="548">
        <v>13331337.541999999</v>
      </c>
      <c r="P11" s="548">
        <v>10379159.482800001</v>
      </c>
      <c r="Q11" s="548">
        <v>20448812.153999999</v>
      </c>
      <c r="R11" s="548">
        <v>19496822.1417</v>
      </c>
      <c r="S11" s="548">
        <v>0</v>
      </c>
      <c r="T11" s="548">
        <v>53042280.838500001</v>
      </c>
      <c r="U11" s="548">
        <v>6396005.9665999999</v>
      </c>
      <c r="V11" s="548">
        <v>1742595.9838</v>
      </c>
      <c r="W11" s="548">
        <v>1219507.6862000001</v>
      </c>
      <c r="X11" s="548">
        <v>810289.85990000004</v>
      </c>
      <c r="Y11" s="548">
        <v>371172.50300000003</v>
      </c>
      <c r="Z11" s="548">
        <v>491765.73820000002</v>
      </c>
      <c r="AA11" s="660"/>
    </row>
    <row r="12" spans="1:27" ht="13.8">
      <c r="A12" s="430" t="s">
        <v>485</v>
      </c>
      <c r="B12" s="429" t="s">
        <v>486</v>
      </c>
      <c r="C12" s="651">
        <f t="shared" si="0"/>
        <v>2485909876.2339001</v>
      </c>
      <c r="D12" s="548">
        <v>2314162351.4101</v>
      </c>
      <c r="E12" s="548">
        <v>26351979.773300003</v>
      </c>
      <c r="F12" s="548">
        <v>0</v>
      </c>
      <c r="G12" s="548"/>
      <c r="H12" s="548">
        <v>83626519.740200013</v>
      </c>
      <c r="I12" s="548">
        <v>8482864.1974999998</v>
      </c>
      <c r="J12" s="548">
        <v>8640219.6910999995</v>
      </c>
      <c r="K12" s="548">
        <v>618376.56370000006</v>
      </c>
      <c r="L12" s="548">
        <v>50879898.996399999</v>
      </c>
      <c r="M12" s="548">
        <v>3327747.2804</v>
      </c>
      <c r="N12" s="548">
        <v>1382428.7749000001</v>
      </c>
      <c r="O12" s="548">
        <v>4351799.9641000004</v>
      </c>
      <c r="P12" s="548">
        <v>5325527.4117999999</v>
      </c>
      <c r="Q12" s="548">
        <v>5935809.0210999995</v>
      </c>
      <c r="R12" s="548">
        <v>7961111.0741999997</v>
      </c>
      <c r="S12" s="548">
        <v>0</v>
      </c>
      <c r="T12" s="548">
        <v>37241106.087200001</v>
      </c>
      <c r="U12" s="548">
        <v>5854696.4610000001</v>
      </c>
      <c r="V12" s="548">
        <v>2350831.1132999999</v>
      </c>
      <c r="W12" s="548">
        <v>599524.75060000003</v>
      </c>
      <c r="X12" s="548">
        <v>19371206.942299999</v>
      </c>
      <c r="Y12" s="548">
        <v>735637.9523</v>
      </c>
      <c r="Z12" s="548">
        <v>0</v>
      </c>
      <c r="AA12" s="660"/>
    </row>
    <row r="13" spans="1:27" ht="13.8">
      <c r="A13" s="430" t="s">
        <v>487</v>
      </c>
      <c r="B13" s="429" t="s">
        <v>488</v>
      </c>
      <c r="C13" s="651">
        <f t="shared" si="0"/>
        <v>1191006116.7009001</v>
      </c>
      <c r="D13" s="548">
        <v>1083197694.7983</v>
      </c>
      <c r="E13" s="548">
        <v>5935074.0225999998</v>
      </c>
      <c r="F13" s="548">
        <v>0</v>
      </c>
      <c r="G13" s="548"/>
      <c r="H13" s="548">
        <v>46923988.974100001</v>
      </c>
      <c r="I13" s="548">
        <v>20183452.876600001</v>
      </c>
      <c r="J13" s="548">
        <v>2839118.1787</v>
      </c>
      <c r="K13" s="548">
        <v>867104.67669999995</v>
      </c>
      <c r="L13" s="548">
        <v>50455171.605699994</v>
      </c>
      <c r="M13" s="548">
        <v>11613589.27</v>
      </c>
      <c r="N13" s="548">
        <v>6346377.0199999996</v>
      </c>
      <c r="O13" s="548">
        <v>2950849.0093</v>
      </c>
      <c r="P13" s="548">
        <v>3907156.5282000001</v>
      </c>
      <c r="Q13" s="548">
        <v>15418144.596000001</v>
      </c>
      <c r="R13" s="548">
        <v>1797283.9210999999</v>
      </c>
      <c r="S13" s="548">
        <v>0</v>
      </c>
      <c r="T13" s="548">
        <v>10429261.322799997</v>
      </c>
      <c r="U13" s="548">
        <v>1128025.1015000001</v>
      </c>
      <c r="V13" s="548">
        <v>262564.03999999998</v>
      </c>
      <c r="W13" s="548">
        <v>1338691.7157999999</v>
      </c>
      <c r="X13" s="548">
        <v>274115.4558</v>
      </c>
      <c r="Y13" s="548">
        <v>3052661.9701999999</v>
      </c>
      <c r="Z13" s="548">
        <v>150445.8382</v>
      </c>
      <c r="AA13" s="660"/>
    </row>
    <row r="14" spans="1:27" ht="13.8">
      <c r="A14" s="430" t="s">
        <v>489</v>
      </c>
      <c r="B14" s="429" t="s">
        <v>490</v>
      </c>
      <c r="C14" s="651">
        <f t="shared" si="0"/>
        <v>3299371254.2474999</v>
      </c>
      <c r="D14" s="548">
        <v>2836868424.5662999</v>
      </c>
      <c r="E14" s="548">
        <v>8147843.4772000005</v>
      </c>
      <c r="F14" s="548">
        <v>0</v>
      </c>
      <c r="G14" s="548"/>
      <c r="H14" s="548">
        <v>355826592.73900002</v>
      </c>
      <c r="I14" s="548">
        <v>119653642.28850001</v>
      </c>
      <c r="J14" s="548">
        <v>5476682.4773000004</v>
      </c>
      <c r="K14" s="548">
        <v>921994.96279999998</v>
      </c>
      <c r="L14" s="548">
        <v>96972227.970499992</v>
      </c>
      <c r="M14" s="548">
        <v>11159183.689999999</v>
      </c>
      <c r="N14" s="548">
        <v>5118588.9665000001</v>
      </c>
      <c r="O14" s="548">
        <v>6162457.0912999995</v>
      </c>
      <c r="P14" s="548">
        <v>10609746.528899999</v>
      </c>
      <c r="Q14" s="548">
        <v>41028235.702299997</v>
      </c>
      <c r="R14" s="548">
        <v>12881233.238600001</v>
      </c>
      <c r="S14" s="548">
        <v>0</v>
      </c>
      <c r="T14" s="548">
        <v>9704008.9716999996</v>
      </c>
      <c r="U14" s="548">
        <v>460323.239</v>
      </c>
      <c r="V14" s="548">
        <v>120883.88099999999</v>
      </c>
      <c r="W14" s="548">
        <v>819127.80669999996</v>
      </c>
      <c r="X14" s="548">
        <v>422720.91440000001</v>
      </c>
      <c r="Y14" s="548">
        <v>961562.47699999996</v>
      </c>
      <c r="Z14" s="548">
        <v>602723.84219999996</v>
      </c>
      <c r="AA14" s="660"/>
    </row>
    <row r="15" spans="1:27" ht="13.8">
      <c r="A15" s="428">
        <v>1.2</v>
      </c>
      <c r="B15" s="426" t="s">
        <v>684</v>
      </c>
      <c r="C15" s="651">
        <f t="shared" si="0"/>
        <v>196692689.591934</v>
      </c>
      <c r="D15" s="548">
        <v>25050850.630000003</v>
      </c>
      <c r="E15" s="548">
        <v>614898.32999999996</v>
      </c>
      <c r="F15" s="548">
        <v>9.2100000000000009</v>
      </c>
      <c r="G15" s="548"/>
      <c r="H15" s="548">
        <v>35980590.560000002</v>
      </c>
      <c r="I15" s="548">
        <v>13903252.73</v>
      </c>
      <c r="J15" s="548">
        <v>993205.21</v>
      </c>
      <c r="K15" s="548">
        <v>151044.67000000001</v>
      </c>
      <c r="L15" s="548">
        <v>110214095.87078699</v>
      </c>
      <c r="M15" s="548">
        <v>18583839.05776</v>
      </c>
      <c r="N15" s="548">
        <v>7172161.9815830002</v>
      </c>
      <c r="O15" s="548">
        <v>5864922.0879149996</v>
      </c>
      <c r="P15" s="548">
        <v>9831122.7563319989</v>
      </c>
      <c r="Q15" s="548">
        <v>34851049.913165003</v>
      </c>
      <c r="R15" s="548">
        <v>14649947.883297998</v>
      </c>
      <c r="S15" s="548">
        <v>1473.82</v>
      </c>
      <c r="T15" s="548">
        <v>25447152.531146999</v>
      </c>
      <c r="U15" s="548">
        <v>4432160.7560639996</v>
      </c>
      <c r="V15" s="548">
        <v>1597880.2700000003</v>
      </c>
      <c r="W15" s="548">
        <v>1811749.1103440002</v>
      </c>
      <c r="X15" s="548">
        <v>7293173.3158739991</v>
      </c>
      <c r="Y15" s="548">
        <v>1856392.4697889998</v>
      </c>
      <c r="Z15" s="548">
        <v>386283.80788700003</v>
      </c>
      <c r="AA15" s="660"/>
    </row>
    <row r="16" spans="1:27" ht="13.8">
      <c r="A16" s="427">
        <v>1.3</v>
      </c>
      <c r="B16" s="426" t="s">
        <v>529</v>
      </c>
      <c r="C16" s="661"/>
      <c r="D16" s="662"/>
      <c r="E16" s="662"/>
      <c r="F16" s="662"/>
      <c r="G16" s="662"/>
      <c r="H16" s="662"/>
      <c r="I16" s="662"/>
      <c r="J16" s="662"/>
      <c r="K16" s="662"/>
      <c r="L16" s="662"/>
      <c r="M16" s="662"/>
      <c r="N16" s="662"/>
      <c r="O16" s="662"/>
      <c r="P16" s="662"/>
      <c r="Q16" s="662"/>
      <c r="R16" s="662"/>
      <c r="S16" s="662"/>
      <c r="T16" s="662"/>
      <c r="U16" s="662"/>
      <c r="V16" s="662"/>
      <c r="W16" s="662"/>
      <c r="X16" s="662"/>
      <c r="Y16" s="662"/>
      <c r="Z16" s="662"/>
      <c r="AA16" s="663"/>
    </row>
    <row r="17" spans="1:27" s="416" customFormat="1" ht="13.8">
      <c r="A17" s="424" t="s">
        <v>491</v>
      </c>
      <c r="B17" s="425" t="s">
        <v>492</v>
      </c>
      <c r="C17" s="651">
        <f t="shared" ref="C17:C22" si="1">D17+H17+L17+T17</f>
        <v>17341843292.073807</v>
      </c>
      <c r="D17" s="556">
        <v>16165174528.199203</v>
      </c>
      <c r="E17" s="556">
        <v>125658869.89920001</v>
      </c>
      <c r="F17" s="556">
        <v>6791.29</v>
      </c>
      <c r="G17" s="556"/>
      <c r="H17" s="556">
        <v>760270803.59970009</v>
      </c>
      <c r="I17" s="556">
        <v>153437748.65809998</v>
      </c>
      <c r="J17" s="556">
        <v>32221257.701099996</v>
      </c>
      <c r="K17" s="556">
        <v>2871686.5606</v>
      </c>
      <c r="L17" s="556">
        <v>307693869.2112</v>
      </c>
      <c r="M17" s="556">
        <v>37152685.759899996</v>
      </c>
      <c r="N17" s="556">
        <v>13182955.914900001</v>
      </c>
      <c r="O17" s="556">
        <v>26449496.0295</v>
      </c>
      <c r="P17" s="556">
        <v>27890752.761500005</v>
      </c>
      <c r="Q17" s="556">
        <v>76748437.9639</v>
      </c>
      <c r="R17" s="556">
        <v>38760911.590999998</v>
      </c>
      <c r="S17" s="556">
        <v>27432.09</v>
      </c>
      <c r="T17" s="556">
        <v>108704091.06370001</v>
      </c>
      <c r="U17" s="556">
        <v>13730894.2291</v>
      </c>
      <c r="V17" s="556">
        <v>4571259.6870999997</v>
      </c>
      <c r="W17" s="556">
        <v>3860503.3026000001</v>
      </c>
      <c r="X17" s="556">
        <v>20801254.558000002</v>
      </c>
      <c r="Y17" s="556">
        <v>4966437.2407000009</v>
      </c>
      <c r="Z17" s="556">
        <v>1082197.4264</v>
      </c>
      <c r="AA17" s="664"/>
    </row>
    <row r="18" spans="1:27" s="416" customFormat="1" ht="13.8">
      <c r="A18" s="421" t="s">
        <v>493</v>
      </c>
      <c r="B18" s="422" t="s">
        <v>494</v>
      </c>
      <c r="C18" s="651">
        <f t="shared" si="1"/>
        <v>16522332349.375853</v>
      </c>
      <c r="D18" s="556">
        <v>15405740168.41086</v>
      </c>
      <c r="E18" s="556">
        <v>112539901.20650002</v>
      </c>
      <c r="F18" s="556">
        <v>0</v>
      </c>
      <c r="G18" s="556"/>
      <c r="H18" s="556">
        <v>714029981.29849398</v>
      </c>
      <c r="I18" s="556">
        <v>142511513.18079999</v>
      </c>
      <c r="J18" s="556">
        <v>31340256.252</v>
      </c>
      <c r="K18" s="556">
        <v>2844198.4318999997</v>
      </c>
      <c r="L18" s="556">
        <v>294042003.82799995</v>
      </c>
      <c r="M18" s="556">
        <v>35730713.759499997</v>
      </c>
      <c r="N18" s="556">
        <v>12837393.864700001</v>
      </c>
      <c r="O18" s="556">
        <v>25312764.8354</v>
      </c>
      <c r="P18" s="556">
        <v>27378022.302800003</v>
      </c>
      <c r="Q18" s="556">
        <v>68903050.621100008</v>
      </c>
      <c r="R18" s="556">
        <v>37671413.366999999</v>
      </c>
      <c r="S18" s="556">
        <v>0</v>
      </c>
      <c r="T18" s="556">
        <v>108520195.83850001</v>
      </c>
      <c r="U18" s="556">
        <v>13730894.2291</v>
      </c>
      <c r="V18" s="556">
        <v>4468766.4571000002</v>
      </c>
      <c r="W18" s="556">
        <v>3860503.3026000001</v>
      </c>
      <c r="X18" s="556">
        <v>20801254.558000002</v>
      </c>
      <c r="Y18" s="556">
        <v>4966437.2455000002</v>
      </c>
      <c r="Z18" s="556">
        <v>1082197.4264</v>
      </c>
      <c r="AA18" s="664"/>
    </row>
    <row r="19" spans="1:27" s="416" customFormat="1" ht="13.8">
      <c r="A19" s="424" t="s">
        <v>495</v>
      </c>
      <c r="B19" s="423" t="s">
        <v>496</v>
      </c>
      <c r="C19" s="651">
        <f t="shared" si="1"/>
        <v>22554850302.490601</v>
      </c>
      <c r="D19" s="556">
        <v>21433715795.080299</v>
      </c>
      <c r="E19" s="556">
        <v>131891963.53000002</v>
      </c>
      <c r="F19" s="556">
        <v>299.35000000000002</v>
      </c>
      <c r="G19" s="556"/>
      <c r="H19" s="556">
        <v>720461805.1516</v>
      </c>
      <c r="I19" s="556">
        <v>49690157.294100001</v>
      </c>
      <c r="J19" s="556">
        <v>25672829.776999999</v>
      </c>
      <c r="K19" s="556">
        <v>1089122.8659000001</v>
      </c>
      <c r="L19" s="556">
        <v>311544740.45510006</v>
      </c>
      <c r="M19" s="556">
        <v>36432256.167900003</v>
      </c>
      <c r="N19" s="556">
        <v>7502533.6357999993</v>
      </c>
      <c r="O19" s="556">
        <v>32650107.796599999</v>
      </c>
      <c r="P19" s="556">
        <v>20248698.703700002</v>
      </c>
      <c r="Q19" s="556">
        <v>65609805.576300003</v>
      </c>
      <c r="R19" s="556">
        <v>24499694.889800001</v>
      </c>
      <c r="S19" s="556">
        <v>1271.98</v>
      </c>
      <c r="T19" s="556">
        <v>89127961.803599998</v>
      </c>
      <c r="U19" s="556">
        <v>9645230.4101</v>
      </c>
      <c r="V19" s="556">
        <v>2572930.1529000001</v>
      </c>
      <c r="W19" s="556">
        <v>1611146.6383000002</v>
      </c>
      <c r="X19" s="556">
        <v>8621156.8979000002</v>
      </c>
      <c r="Y19" s="556">
        <v>990210.7365</v>
      </c>
      <c r="Z19" s="556">
        <v>764156.76359999995</v>
      </c>
      <c r="AA19" s="664"/>
    </row>
    <row r="20" spans="1:27" s="416" customFormat="1" ht="13.8">
      <c r="A20" s="421" t="s">
        <v>497</v>
      </c>
      <c r="B20" s="422" t="s">
        <v>494</v>
      </c>
      <c r="C20" s="651">
        <f t="shared" si="1"/>
        <v>21029443360.946995</v>
      </c>
      <c r="D20" s="556">
        <v>19986125314.867996</v>
      </c>
      <c r="E20" s="556">
        <v>116674545.67349999</v>
      </c>
      <c r="F20" s="556">
        <v>0</v>
      </c>
      <c r="G20" s="556"/>
      <c r="H20" s="556">
        <v>692396099.68549991</v>
      </c>
      <c r="I20" s="556">
        <v>48777278.249200001</v>
      </c>
      <c r="J20" s="556">
        <v>24580218.318</v>
      </c>
      <c r="K20" s="556">
        <v>1080079.6980999999</v>
      </c>
      <c r="L20" s="556">
        <v>261991419.09200001</v>
      </c>
      <c r="M20" s="556">
        <v>30542702.230500001</v>
      </c>
      <c r="N20" s="556">
        <v>6996658.5552999992</v>
      </c>
      <c r="O20" s="556">
        <v>30474444.174600001</v>
      </c>
      <c r="P20" s="556">
        <v>19510787.937199999</v>
      </c>
      <c r="Q20" s="556">
        <v>47091014.188899994</v>
      </c>
      <c r="R20" s="556">
        <v>23836622.972999997</v>
      </c>
      <c r="S20" s="556">
        <v>0</v>
      </c>
      <c r="T20" s="556">
        <v>88930527.301500008</v>
      </c>
      <c r="U20" s="556">
        <v>9645230.4008999988</v>
      </c>
      <c r="V20" s="556">
        <v>2556276.0329</v>
      </c>
      <c r="W20" s="556">
        <v>1611146.6374000001</v>
      </c>
      <c r="X20" s="556">
        <v>8621156.9020000007</v>
      </c>
      <c r="Y20" s="556">
        <v>990210.73450000002</v>
      </c>
      <c r="Z20" s="556">
        <v>764156.76359999995</v>
      </c>
      <c r="AA20" s="664"/>
    </row>
    <row r="21" spans="1:27" s="416" customFormat="1" ht="13.8">
      <c r="A21" s="420">
        <v>1.4</v>
      </c>
      <c r="B21" s="419" t="s">
        <v>498</v>
      </c>
      <c r="C21" s="651">
        <f t="shared" si="1"/>
        <v>106405469.1762</v>
      </c>
      <c r="D21" s="556">
        <v>100277822.53</v>
      </c>
      <c r="E21" s="556">
        <v>593539.19999999995</v>
      </c>
      <c r="F21" s="556">
        <v>0</v>
      </c>
      <c r="G21" s="556"/>
      <c r="H21" s="556">
        <v>2350248.54</v>
      </c>
      <c r="I21" s="556">
        <v>170343.34000000003</v>
      </c>
      <c r="J21" s="556">
        <v>378564.64999999997</v>
      </c>
      <c r="K21" s="556">
        <v>0</v>
      </c>
      <c r="L21" s="556">
        <v>3777398.1062000003</v>
      </c>
      <c r="M21" s="556">
        <v>2545554.54</v>
      </c>
      <c r="N21" s="556">
        <v>0</v>
      </c>
      <c r="O21" s="556">
        <v>94210.83</v>
      </c>
      <c r="P21" s="556">
        <v>1020875.73</v>
      </c>
      <c r="Q21" s="556">
        <v>95246.99</v>
      </c>
      <c r="R21" s="556">
        <v>0</v>
      </c>
      <c r="S21" s="556">
        <v>0</v>
      </c>
      <c r="T21" s="556">
        <v>0</v>
      </c>
      <c r="U21" s="556">
        <v>0</v>
      </c>
      <c r="V21" s="556">
        <v>0</v>
      </c>
      <c r="W21" s="556">
        <v>0</v>
      </c>
      <c r="X21" s="556">
        <v>0</v>
      </c>
      <c r="Y21" s="556">
        <v>0</v>
      </c>
      <c r="Z21" s="556">
        <v>0</v>
      </c>
      <c r="AA21" s="664"/>
    </row>
    <row r="22" spans="1:27" s="416" customFormat="1" ht="14.4" thickBot="1">
      <c r="A22" s="418">
        <v>1.5</v>
      </c>
      <c r="B22" s="417" t="s">
        <v>499</v>
      </c>
      <c r="C22" s="665">
        <f t="shared" si="1"/>
        <v>78113051.943800002</v>
      </c>
      <c r="D22" s="666">
        <v>70439491.922999993</v>
      </c>
      <c r="E22" s="666">
        <v>83890.95</v>
      </c>
      <c r="F22" s="666">
        <v>0</v>
      </c>
      <c r="G22" s="666"/>
      <c r="H22" s="666">
        <v>6058973.8733999999</v>
      </c>
      <c r="I22" s="666">
        <v>0</v>
      </c>
      <c r="J22" s="666">
        <v>0</v>
      </c>
      <c r="K22" s="666">
        <v>0</v>
      </c>
      <c r="L22" s="666">
        <v>1614586.1473999999</v>
      </c>
      <c r="M22" s="666">
        <v>1643767.1812</v>
      </c>
      <c r="N22" s="666">
        <v>0</v>
      </c>
      <c r="O22" s="666">
        <v>0</v>
      </c>
      <c r="P22" s="666">
        <v>0</v>
      </c>
      <c r="Q22" s="666">
        <v>0</v>
      </c>
      <c r="R22" s="666">
        <v>0</v>
      </c>
      <c r="S22" s="666">
        <v>0</v>
      </c>
      <c r="T22" s="666">
        <v>0</v>
      </c>
      <c r="U22" s="666">
        <v>0</v>
      </c>
      <c r="V22" s="666">
        <v>0</v>
      </c>
      <c r="W22" s="666">
        <v>0</v>
      </c>
      <c r="X22" s="666">
        <v>0</v>
      </c>
      <c r="Y22" s="666">
        <v>0</v>
      </c>
      <c r="Z22" s="666">
        <v>0</v>
      </c>
      <c r="AA22" s="667"/>
    </row>
    <row r="23" spans="1:27">
      <c r="A23" s="404"/>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5"/>
  <sheetViews>
    <sheetView showGridLines="0" zoomScaleNormal="100" workbookViewId="0"/>
  </sheetViews>
  <sheetFormatPr defaultColWidth="9.109375" defaultRowHeight="12"/>
  <cols>
    <col min="1" max="1" width="11.88671875" style="384" bestFit="1" customWidth="1"/>
    <col min="2" max="2" width="93.44140625" style="384" customWidth="1"/>
    <col min="3" max="3" width="14.5546875" style="384" customWidth="1"/>
    <col min="4" max="5" width="16.109375" style="384" customWidth="1"/>
    <col min="6" max="6" width="16.109375" style="441" customWidth="1"/>
    <col min="7" max="7" width="25.33203125" style="441" customWidth="1"/>
    <col min="8" max="8" width="16.109375" style="384" customWidth="1"/>
    <col min="9" max="11" width="16.109375" style="441" customWidth="1"/>
    <col min="12" max="12" width="26.33203125" style="441" customWidth="1"/>
    <col min="13" max="16384" width="9.109375" style="384"/>
  </cols>
  <sheetData>
    <row r="1" spans="1:12" ht="13.8">
      <c r="A1" s="304" t="s">
        <v>30</v>
      </c>
      <c r="B1" s="370" t="str">
        <f>'Info '!C2</f>
        <v xml:space="preserve">JSC "Bank of Georgia" </v>
      </c>
      <c r="F1" s="384"/>
      <c r="G1" s="384"/>
      <c r="I1" s="384"/>
      <c r="J1" s="384"/>
      <c r="K1" s="384"/>
      <c r="L1" s="384"/>
    </row>
    <row r="2" spans="1:12">
      <c r="A2" s="305" t="s">
        <v>31</v>
      </c>
      <c r="B2" s="369">
        <f>'1. key ratios '!B2</f>
        <v>45473</v>
      </c>
      <c r="F2" s="384"/>
      <c r="G2" s="384"/>
      <c r="I2" s="384"/>
      <c r="J2" s="384"/>
      <c r="K2" s="384"/>
      <c r="L2" s="384"/>
    </row>
    <row r="3" spans="1:12">
      <c r="A3" s="306" t="s">
        <v>500</v>
      </c>
      <c r="F3" s="384"/>
      <c r="G3" s="384"/>
      <c r="I3" s="384"/>
      <c r="J3" s="384"/>
      <c r="K3" s="384"/>
      <c r="L3" s="384"/>
    </row>
    <row r="4" spans="1:12">
      <c r="F4" s="384"/>
      <c r="G4" s="384"/>
      <c r="I4" s="384"/>
      <c r="J4" s="384"/>
      <c r="K4" s="384"/>
      <c r="L4" s="384"/>
    </row>
    <row r="5" spans="1:12" ht="37.5" customHeight="1">
      <c r="A5" s="773" t="s">
        <v>517</v>
      </c>
      <c r="B5" s="774"/>
      <c r="C5" s="819" t="s">
        <v>501</v>
      </c>
      <c r="D5" s="820"/>
      <c r="E5" s="820"/>
      <c r="F5" s="820"/>
      <c r="G5" s="820"/>
      <c r="H5" s="821" t="s">
        <v>661</v>
      </c>
      <c r="I5" s="822"/>
      <c r="J5" s="822"/>
      <c r="K5" s="822"/>
      <c r="L5" s="823"/>
    </row>
    <row r="6" spans="1:12" ht="39.6" customHeight="1">
      <c r="A6" s="777"/>
      <c r="B6" s="778"/>
      <c r="C6" s="308"/>
      <c r="D6" s="382" t="s">
        <v>682</v>
      </c>
      <c r="E6" s="382" t="s">
        <v>681</v>
      </c>
      <c r="F6" s="382" t="s">
        <v>680</v>
      </c>
      <c r="G6" s="382" t="s">
        <v>679</v>
      </c>
      <c r="H6" s="444"/>
      <c r="I6" s="382" t="s">
        <v>682</v>
      </c>
      <c r="J6" s="382" t="s">
        <v>681</v>
      </c>
      <c r="K6" s="382" t="s">
        <v>680</v>
      </c>
      <c r="L6" s="382" t="s">
        <v>679</v>
      </c>
    </row>
    <row r="7" spans="1:12">
      <c r="A7" s="373">
        <v>1</v>
      </c>
      <c r="B7" s="390" t="s">
        <v>520</v>
      </c>
      <c r="C7" s="668">
        <f>SUM(D7:G7)</f>
        <v>664068694.80140007</v>
      </c>
      <c r="D7" s="551">
        <v>637378168.75030005</v>
      </c>
      <c r="E7" s="551">
        <v>18206200.201100003</v>
      </c>
      <c r="F7" s="551">
        <v>4765136.8211999992</v>
      </c>
      <c r="G7" s="551">
        <v>3719189.0288</v>
      </c>
      <c r="H7" s="551">
        <f>SUM(I7:L7)</f>
        <v>6293679.519541</v>
      </c>
      <c r="I7" s="551">
        <v>2684292.0599999996</v>
      </c>
      <c r="J7" s="551">
        <v>865237.36</v>
      </c>
      <c r="K7" s="551">
        <v>2359245.9188689999</v>
      </c>
      <c r="L7" s="551">
        <v>384904.18067199999</v>
      </c>
    </row>
    <row r="8" spans="1:12">
      <c r="A8" s="373">
        <v>2</v>
      </c>
      <c r="B8" s="390" t="s">
        <v>433</v>
      </c>
      <c r="C8" s="668">
        <f t="shared" ref="C8:C32" si="0">SUM(D8:G8)</f>
        <v>848005413.5869</v>
      </c>
      <c r="D8" s="551">
        <v>826275669.73159993</v>
      </c>
      <c r="E8" s="551">
        <v>13594818.6467</v>
      </c>
      <c r="F8" s="551">
        <v>5118386.860700001</v>
      </c>
      <c r="G8" s="551">
        <v>3016538.3478999999</v>
      </c>
      <c r="H8" s="551">
        <f t="shared" ref="H8:H32" si="1">SUM(I8:L8)</f>
        <v>4643918.0401210003</v>
      </c>
      <c r="I8" s="551">
        <v>2050879.5899999999</v>
      </c>
      <c r="J8" s="551">
        <v>448655.07000000007</v>
      </c>
      <c r="K8" s="551">
        <v>1684231.109526</v>
      </c>
      <c r="L8" s="551">
        <v>460152.27059500001</v>
      </c>
    </row>
    <row r="9" spans="1:12">
      <c r="A9" s="373">
        <v>3</v>
      </c>
      <c r="B9" s="390" t="s">
        <v>434</v>
      </c>
      <c r="C9" s="668">
        <f t="shared" si="0"/>
        <v>9252924.2199999988</v>
      </c>
      <c r="D9" s="551">
        <v>9252924.2199999988</v>
      </c>
      <c r="E9" s="551">
        <v>0</v>
      </c>
      <c r="F9" s="551">
        <v>0</v>
      </c>
      <c r="G9" s="551">
        <v>0</v>
      </c>
      <c r="H9" s="551">
        <f t="shared" si="1"/>
        <v>0</v>
      </c>
      <c r="I9" s="551">
        <v>0</v>
      </c>
      <c r="J9" s="551">
        <v>0</v>
      </c>
      <c r="K9" s="551">
        <v>0</v>
      </c>
      <c r="L9" s="551">
        <v>0</v>
      </c>
    </row>
    <row r="10" spans="1:12">
      <c r="A10" s="373">
        <v>4</v>
      </c>
      <c r="B10" s="390" t="s">
        <v>521</v>
      </c>
      <c r="C10" s="668">
        <f t="shared" si="0"/>
        <v>1280722745.0602</v>
      </c>
      <c r="D10" s="551">
        <v>1188400912.6965001</v>
      </c>
      <c r="E10" s="551">
        <v>58159138.406300008</v>
      </c>
      <c r="F10" s="551">
        <v>12313017.941500001</v>
      </c>
      <c r="G10" s="551">
        <v>21849676.015900001</v>
      </c>
      <c r="H10" s="551">
        <f t="shared" si="1"/>
        <v>10824811.166999001</v>
      </c>
      <c r="I10" s="551">
        <v>1107689.27</v>
      </c>
      <c r="J10" s="551">
        <v>89865.86</v>
      </c>
      <c r="K10" s="551">
        <v>1080119.896062</v>
      </c>
      <c r="L10" s="551">
        <v>8547136.1409370005</v>
      </c>
    </row>
    <row r="11" spans="1:12">
      <c r="A11" s="373">
        <v>5</v>
      </c>
      <c r="B11" s="390" t="s">
        <v>435</v>
      </c>
      <c r="C11" s="668">
        <f t="shared" si="0"/>
        <v>1274870665.1282001</v>
      </c>
      <c r="D11" s="551">
        <v>1218299827.4395001</v>
      </c>
      <c r="E11" s="551">
        <v>32821919.604700003</v>
      </c>
      <c r="F11" s="551">
        <v>22202624.400400002</v>
      </c>
      <c r="G11" s="551">
        <v>1546293.6836000001</v>
      </c>
      <c r="H11" s="551">
        <f t="shared" si="1"/>
        <v>10166457.735464999</v>
      </c>
      <c r="I11" s="551">
        <v>2028857.21</v>
      </c>
      <c r="J11" s="551">
        <v>865030.22</v>
      </c>
      <c r="K11" s="551">
        <v>7218920.4454650003</v>
      </c>
      <c r="L11" s="551">
        <v>53649.860000000008</v>
      </c>
    </row>
    <row r="12" spans="1:12">
      <c r="A12" s="373">
        <v>6</v>
      </c>
      <c r="B12" s="390" t="s">
        <v>436</v>
      </c>
      <c r="C12" s="668">
        <f t="shared" si="0"/>
        <v>845972484.62419999</v>
      </c>
      <c r="D12" s="551">
        <v>766336886.42229998</v>
      </c>
      <c r="E12" s="551">
        <v>58145184.734499998</v>
      </c>
      <c r="F12" s="551">
        <v>18306234.503600001</v>
      </c>
      <c r="G12" s="551">
        <v>3184178.9638000005</v>
      </c>
      <c r="H12" s="551">
        <f t="shared" si="1"/>
        <v>13843338.415114999</v>
      </c>
      <c r="I12" s="551">
        <v>4082673.21</v>
      </c>
      <c r="J12" s="551">
        <v>1777318.7399999998</v>
      </c>
      <c r="K12" s="551">
        <v>7456825.3251149999</v>
      </c>
      <c r="L12" s="551">
        <v>526521.1399999999</v>
      </c>
    </row>
    <row r="13" spans="1:12">
      <c r="A13" s="373">
        <v>7</v>
      </c>
      <c r="B13" s="390" t="s">
        <v>437</v>
      </c>
      <c r="C13" s="668">
        <f t="shared" si="0"/>
        <v>1046427783.6459</v>
      </c>
      <c r="D13" s="551">
        <v>1012698960.6215</v>
      </c>
      <c r="E13" s="551">
        <v>8428246.2459000014</v>
      </c>
      <c r="F13" s="551">
        <v>24327891.679999996</v>
      </c>
      <c r="G13" s="551">
        <v>972685.09849999996</v>
      </c>
      <c r="H13" s="551">
        <f t="shared" si="1"/>
        <v>14897145.462080998</v>
      </c>
      <c r="I13" s="551">
        <v>1825748.96</v>
      </c>
      <c r="J13" s="551">
        <v>512747.58</v>
      </c>
      <c r="K13" s="551">
        <v>12411750.822081</v>
      </c>
      <c r="L13" s="551">
        <v>146898.1</v>
      </c>
    </row>
    <row r="14" spans="1:12">
      <c r="A14" s="373">
        <v>8</v>
      </c>
      <c r="B14" s="390" t="s">
        <v>438</v>
      </c>
      <c r="C14" s="668">
        <f t="shared" si="0"/>
        <v>945484394.03089976</v>
      </c>
      <c r="D14" s="551">
        <v>907966163.58879972</v>
      </c>
      <c r="E14" s="551">
        <v>22060673.239400007</v>
      </c>
      <c r="F14" s="551">
        <v>13429795.315500002</v>
      </c>
      <c r="G14" s="551">
        <v>2027761.8872000002</v>
      </c>
      <c r="H14" s="551">
        <f t="shared" si="1"/>
        <v>10500956.657346999</v>
      </c>
      <c r="I14" s="551">
        <v>4089767.2499999995</v>
      </c>
      <c r="J14" s="551">
        <v>1293758.8299999998</v>
      </c>
      <c r="K14" s="551">
        <v>4501071.5977079999</v>
      </c>
      <c r="L14" s="551">
        <v>616358.97963900003</v>
      </c>
    </row>
    <row r="15" spans="1:12">
      <c r="A15" s="373">
        <v>9</v>
      </c>
      <c r="B15" s="390" t="s">
        <v>439</v>
      </c>
      <c r="C15" s="668">
        <f t="shared" si="0"/>
        <v>976705258.35889971</v>
      </c>
      <c r="D15" s="551">
        <v>766249922.83169973</v>
      </c>
      <c r="E15" s="551">
        <v>190130620.171</v>
      </c>
      <c r="F15" s="551">
        <v>19194272.112399995</v>
      </c>
      <c r="G15" s="551">
        <v>1130443.2437999998</v>
      </c>
      <c r="H15" s="551">
        <f t="shared" si="1"/>
        <v>32288393.178454001</v>
      </c>
      <c r="I15" s="551">
        <v>2434590.12</v>
      </c>
      <c r="J15" s="551">
        <v>23111884.969999999</v>
      </c>
      <c r="K15" s="551">
        <v>6472241.6484540002</v>
      </c>
      <c r="L15" s="551">
        <v>269676.44</v>
      </c>
    </row>
    <row r="16" spans="1:12">
      <c r="A16" s="373">
        <v>10</v>
      </c>
      <c r="B16" s="390" t="s">
        <v>440</v>
      </c>
      <c r="C16" s="668">
        <f t="shared" si="0"/>
        <v>387864782.43940002</v>
      </c>
      <c r="D16" s="551">
        <v>369578426.56920004</v>
      </c>
      <c r="E16" s="551">
        <v>11946405.953300001</v>
      </c>
      <c r="F16" s="551">
        <v>6065348.1198000014</v>
      </c>
      <c r="G16" s="551">
        <v>274601.79709999997</v>
      </c>
      <c r="H16" s="551">
        <f t="shared" si="1"/>
        <v>4538305.9383399999</v>
      </c>
      <c r="I16" s="551">
        <v>1438724.0299999998</v>
      </c>
      <c r="J16" s="551">
        <v>629259.06000000006</v>
      </c>
      <c r="K16" s="551">
        <v>2392632.0583400005</v>
      </c>
      <c r="L16" s="551">
        <v>77690.789999999994</v>
      </c>
    </row>
    <row r="17" spans="1:12">
      <c r="A17" s="373">
        <v>11</v>
      </c>
      <c r="B17" s="390" t="s">
        <v>441</v>
      </c>
      <c r="C17" s="668">
        <f t="shared" si="0"/>
        <v>404689984.83390003</v>
      </c>
      <c r="D17" s="551">
        <v>394534835.14070004</v>
      </c>
      <c r="E17" s="551">
        <v>7085044.3612000011</v>
      </c>
      <c r="F17" s="551">
        <v>2565160.281</v>
      </c>
      <c r="G17" s="551">
        <v>504945.05099999998</v>
      </c>
      <c r="H17" s="551">
        <f t="shared" si="1"/>
        <v>3156283.3966610003</v>
      </c>
      <c r="I17" s="551">
        <v>1570976.9200000004</v>
      </c>
      <c r="J17" s="551">
        <v>409244.50999999995</v>
      </c>
      <c r="K17" s="551">
        <v>1111141.8766610001</v>
      </c>
      <c r="L17" s="551">
        <v>64920.090000000004</v>
      </c>
    </row>
    <row r="18" spans="1:12">
      <c r="A18" s="373">
        <v>12</v>
      </c>
      <c r="B18" s="390" t="s">
        <v>442</v>
      </c>
      <c r="C18" s="668">
        <f t="shared" si="0"/>
        <v>878874977.93630004</v>
      </c>
      <c r="D18" s="551">
        <v>840090865.46850002</v>
      </c>
      <c r="E18" s="551">
        <v>19369839.989100002</v>
      </c>
      <c r="F18" s="551">
        <v>18303084.467000004</v>
      </c>
      <c r="G18" s="551">
        <v>1111188.0116999999</v>
      </c>
      <c r="H18" s="551">
        <f t="shared" si="1"/>
        <v>9061132.7643420007</v>
      </c>
      <c r="I18" s="551">
        <v>2832262.9699999997</v>
      </c>
      <c r="J18" s="551">
        <v>861959.3899999999</v>
      </c>
      <c r="K18" s="551">
        <v>5247638.5243420005</v>
      </c>
      <c r="L18" s="551">
        <v>119271.87999999999</v>
      </c>
    </row>
    <row r="19" spans="1:12">
      <c r="A19" s="373">
        <v>13</v>
      </c>
      <c r="B19" s="390" t="s">
        <v>443</v>
      </c>
      <c r="C19" s="668">
        <f t="shared" si="0"/>
        <v>214998550.25230005</v>
      </c>
      <c r="D19" s="551">
        <v>169521929.87310004</v>
      </c>
      <c r="E19" s="551">
        <v>43952111.879699998</v>
      </c>
      <c r="F19" s="551">
        <v>1276117.9990999999</v>
      </c>
      <c r="G19" s="551">
        <v>248390.50039999999</v>
      </c>
      <c r="H19" s="551">
        <f t="shared" si="1"/>
        <v>3134555.4346269993</v>
      </c>
      <c r="I19" s="551">
        <v>715328.16999999981</v>
      </c>
      <c r="J19" s="551">
        <v>1981706.0999999999</v>
      </c>
      <c r="K19" s="551">
        <v>419327.32462699991</v>
      </c>
      <c r="L19" s="551">
        <v>18193.84</v>
      </c>
    </row>
    <row r="20" spans="1:12">
      <c r="A20" s="373">
        <v>14</v>
      </c>
      <c r="B20" s="390" t="s">
        <v>444</v>
      </c>
      <c r="C20" s="668">
        <f t="shared" si="0"/>
        <v>1378348583.2158</v>
      </c>
      <c r="D20" s="551">
        <v>1260066818.1166</v>
      </c>
      <c r="E20" s="551">
        <v>86042301.422100008</v>
      </c>
      <c r="F20" s="551">
        <v>31355239.6928</v>
      </c>
      <c r="G20" s="551">
        <v>884223.98429999989</v>
      </c>
      <c r="H20" s="551">
        <f t="shared" si="1"/>
        <v>15722361.522394</v>
      </c>
      <c r="I20" s="551">
        <v>2472557.06</v>
      </c>
      <c r="J20" s="551">
        <v>1483883.0400000003</v>
      </c>
      <c r="K20" s="551">
        <v>11649010.642393999</v>
      </c>
      <c r="L20" s="551">
        <v>116910.78</v>
      </c>
    </row>
    <row r="21" spans="1:12">
      <c r="A21" s="373">
        <v>15</v>
      </c>
      <c r="B21" s="390" t="s">
        <v>445</v>
      </c>
      <c r="C21" s="668">
        <f t="shared" si="0"/>
        <v>375856894.55360001</v>
      </c>
      <c r="D21" s="551">
        <v>356833718.2026</v>
      </c>
      <c r="E21" s="551">
        <v>11512911.838099999</v>
      </c>
      <c r="F21" s="551">
        <v>6080890.9448000006</v>
      </c>
      <c r="G21" s="551">
        <v>1429373.5680999998</v>
      </c>
      <c r="H21" s="551">
        <f t="shared" si="1"/>
        <v>4235201.4945379999</v>
      </c>
      <c r="I21" s="551">
        <v>1817713.95</v>
      </c>
      <c r="J21" s="551">
        <v>467998.43</v>
      </c>
      <c r="K21" s="551">
        <v>1786961.3143259999</v>
      </c>
      <c r="L21" s="551">
        <v>162527.800212</v>
      </c>
    </row>
    <row r="22" spans="1:12">
      <c r="A22" s="373">
        <v>16</v>
      </c>
      <c r="B22" s="390" t="s">
        <v>446</v>
      </c>
      <c r="C22" s="668">
        <f t="shared" si="0"/>
        <v>598863749.10870004</v>
      </c>
      <c r="D22" s="551">
        <v>475533132.9271</v>
      </c>
      <c r="E22" s="551">
        <v>105374489.89120001</v>
      </c>
      <c r="F22" s="551">
        <v>17447090.740000006</v>
      </c>
      <c r="G22" s="551">
        <v>509035.55039999995</v>
      </c>
      <c r="H22" s="551">
        <f t="shared" si="1"/>
        <v>14562038.256989002</v>
      </c>
      <c r="I22" s="551">
        <v>915172.03</v>
      </c>
      <c r="J22" s="551">
        <v>5669288.8000000007</v>
      </c>
      <c r="K22" s="551">
        <v>7903975.7869890006</v>
      </c>
      <c r="L22" s="551">
        <v>73601.640000000014</v>
      </c>
    </row>
    <row r="23" spans="1:12">
      <c r="A23" s="373">
        <v>17</v>
      </c>
      <c r="B23" s="390" t="s">
        <v>524</v>
      </c>
      <c r="C23" s="668">
        <f t="shared" si="0"/>
        <v>175852108.94909999</v>
      </c>
      <c r="D23" s="551">
        <v>165297446.18289998</v>
      </c>
      <c r="E23" s="551">
        <v>3058832.9937000005</v>
      </c>
      <c r="F23" s="551">
        <v>7145657.0541999992</v>
      </c>
      <c r="G23" s="551">
        <v>350172.71830000001</v>
      </c>
      <c r="H23" s="551">
        <f t="shared" si="1"/>
        <v>4400342.0585239986</v>
      </c>
      <c r="I23" s="551">
        <v>329220.20000000007</v>
      </c>
      <c r="J23" s="551">
        <v>213658.36000000002</v>
      </c>
      <c r="K23" s="551">
        <v>3841815.0285239993</v>
      </c>
      <c r="L23" s="551">
        <v>15648.469999999998</v>
      </c>
    </row>
    <row r="24" spans="1:12">
      <c r="A24" s="373">
        <v>18</v>
      </c>
      <c r="B24" s="390" t="s">
        <v>447</v>
      </c>
      <c r="C24" s="668">
        <f t="shared" si="0"/>
        <v>996499035.85159993</v>
      </c>
      <c r="D24" s="551">
        <v>987248040.38119996</v>
      </c>
      <c r="E24" s="551">
        <v>7766049.0653999988</v>
      </c>
      <c r="F24" s="551">
        <v>855590.13919999998</v>
      </c>
      <c r="G24" s="551">
        <v>629356.26579999994</v>
      </c>
      <c r="H24" s="551">
        <f t="shared" si="1"/>
        <v>3531463.93</v>
      </c>
      <c r="I24" s="551">
        <v>2614504.17</v>
      </c>
      <c r="J24" s="551">
        <v>226202.86000000002</v>
      </c>
      <c r="K24" s="551">
        <v>524684.51</v>
      </c>
      <c r="L24" s="551">
        <v>166072.39000000001</v>
      </c>
    </row>
    <row r="25" spans="1:12">
      <c r="A25" s="373">
        <v>19</v>
      </c>
      <c r="B25" s="390" t="s">
        <v>448</v>
      </c>
      <c r="C25" s="668">
        <f t="shared" si="0"/>
        <v>132255605.01920001</v>
      </c>
      <c r="D25" s="551">
        <v>128576412.00310001</v>
      </c>
      <c r="E25" s="551">
        <v>1883759.1997000002</v>
      </c>
      <c r="F25" s="551">
        <v>1643681.3248000001</v>
      </c>
      <c r="G25" s="551">
        <v>151752.49160000001</v>
      </c>
      <c r="H25" s="551">
        <f t="shared" si="1"/>
        <v>801650.43000000017</v>
      </c>
      <c r="I25" s="551">
        <v>295385.29000000004</v>
      </c>
      <c r="J25" s="551">
        <v>85460.91</v>
      </c>
      <c r="K25" s="551">
        <v>335573.19</v>
      </c>
      <c r="L25" s="551">
        <v>85231.040000000008</v>
      </c>
    </row>
    <row r="26" spans="1:12">
      <c r="A26" s="373">
        <v>20</v>
      </c>
      <c r="B26" s="390" t="s">
        <v>523</v>
      </c>
      <c r="C26" s="668">
        <f t="shared" si="0"/>
        <v>717194058.25679982</v>
      </c>
      <c r="D26" s="551">
        <v>669731344.78809988</v>
      </c>
      <c r="E26" s="551">
        <v>16823641.121899996</v>
      </c>
      <c r="F26" s="551">
        <v>28141911.866800003</v>
      </c>
      <c r="G26" s="551">
        <v>2497160.48</v>
      </c>
      <c r="H26" s="551">
        <f t="shared" si="1"/>
        <v>18870124.426261999</v>
      </c>
      <c r="I26" s="551">
        <v>2465082.4999999995</v>
      </c>
      <c r="J26" s="551">
        <v>787665.25999999989</v>
      </c>
      <c r="K26" s="551">
        <v>15241760.055495</v>
      </c>
      <c r="L26" s="551">
        <v>375616.61076700001</v>
      </c>
    </row>
    <row r="27" spans="1:12">
      <c r="A27" s="373">
        <v>21</v>
      </c>
      <c r="B27" s="390" t="s">
        <v>449</v>
      </c>
      <c r="C27" s="668">
        <f t="shared" si="0"/>
        <v>123782193.92040001</v>
      </c>
      <c r="D27" s="551">
        <v>120023991.598</v>
      </c>
      <c r="E27" s="551">
        <v>2742432.6916</v>
      </c>
      <c r="F27" s="551">
        <v>629762.12080000003</v>
      </c>
      <c r="G27" s="551">
        <v>386007.50999999995</v>
      </c>
      <c r="H27" s="551">
        <f t="shared" si="1"/>
        <v>1086598.4013730001</v>
      </c>
      <c r="I27" s="551">
        <v>597446.85</v>
      </c>
      <c r="J27" s="551">
        <v>149772.29</v>
      </c>
      <c r="K27" s="551">
        <v>252833.48137300002</v>
      </c>
      <c r="L27" s="551">
        <v>86545.78</v>
      </c>
    </row>
    <row r="28" spans="1:12">
      <c r="A28" s="373">
        <v>22</v>
      </c>
      <c r="B28" s="390" t="s">
        <v>450</v>
      </c>
      <c r="C28" s="668">
        <f t="shared" si="0"/>
        <v>287638172.15109998</v>
      </c>
      <c r="D28" s="551">
        <v>276070422.8409</v>
      </c>
      <c r="E28" s="551">
        <v>7332385.4844999993</v>
      </c>
      <c r="F28" s="551">
        <v>3179684.1925999997</v>
      </c>
      <c r="G28" s="551">
        <v>1055679.6331</v>
      </c>
      <c r="H28" s="551">
        <f t="shared" si="1"/>
        <v>2267597.6963860001</v>
      </c>
      <c r="I28" s="551">
        <v>775002.77000000014</v>
      </c>
      <c r="J28" s="551">
        <v>339961.78</v>
      </c>
      <c r="K28" s="551">
        <v>1099324.3563859998</v>
      </c>
      <c r="L28" s="551">
        <v>53308.789999999994</v>
      </c>
    </row>
    <row r="29" spans="1:12">
      <c r="A29" s="373">
        <v>23</v>
      </c>
      <c r="B29" s="390" t="s">
        <v>451</v>
      </c>
      <c r="C29" s="668">
        <f t="shared" si="0"/>
        <v>3540686450.7923999</v>
      </c>
      <c r="D29" s="551">
        <v>3365012445.1336002</v>
      </c>
      <c r="E29" s="551">
        <v>109401035.95649998</v>
      </c>
      <c r="F29" s="551">
        <v>45970180.31059999</v>
      </c>
      <c r="G29" s="551">
        <v>20302789.3917</v>
      </c>
      <c r="H29" s="551">
        <f t="shared" si="1"/>
        <v>41814613.678558007</v>
      </c>
      <c r="I29" s="551">
        <v>13856868.640000001</v>
      </c>
      <c r="J29" s="551">
        <v>5222493.96</v>
      </c>
      <c r="K29" s="551">
        <v>17818891.233309004</v>
      </c>
      <c r="L29" s="551">
        <v>4916359.845249</v>
      </c>
    </row>
    <row r="30" spans="1:12">
      <c r="A30" s="373">
        <v>24</v>
      </c>
      <c r="B30" s="390" t="s">
        <v>522</v>
      </c>
      <c r="C30" s="668">
        <f t="shared" si="0"/>
        <v>1157970771.6344001</v>
      </c>
      <c r="D30" s="551">
        <v>1072630843.7454</v>
      </c>
      <c r="E30" s="551">
        <v>33234546.730600007</v>
      </c>
      <c r="F30" s="551">
        <v>51441670.797899999</v>
      </c>
      <c r="G30" s="551">
        <v>663710.36050000007</v>
      </c>
      <c r="H30" s="551">
        <f t="shared" si="1"/>
        <v>27277846.181697998</v>
      </c>
      <c r="I30" s="551">
        <v>4320097.91</v>
      </c>
      <c r="J30" s="551">
        <v>1386769.61</v>
      </c>
      <c r="K30" s="551">
        <v>21261501.821697999</v>
      </c>
      <c r="L30" s="551">
        <v>309476.84000000003</v>
      </c>
    </row>
    <row r="31" spans="1:12">
      <c r="A31" s="373">
        <v>25</v>
      </c>
      <c r="B31" s="390" t="s">
        <v>452</v>
      </c>
      <c r="C31" s="668">
        <f t="shared" si="0"/>
        <v>2661260366.925468</v>
      </c>
      <c r="D31" s="551">
        <v>2456433041.3420935</v>
      </c>
      <c r="E31" s="551">
        <v>108521023.29479997</v>
      </c>
      <c r="F31" s="551">
        <v>49764714.668799989</v>
      </c>
      <c r="G31" s="551">
        <v>46541587.619774587</v>
      </c>
      <c r="H31" s="551">
        <f t="shared" si="1"/>
        <v>56459311.594136007</v>
      </c>
      <c r="I31" s="551">
        <v>15108935.93</v>
      </c>
      <c r="J31" s="551">
        <v>7700650.9000000013</v>
      </c>
      <c r="K31" s="551">
        <v>23784790.774997003</v>
      </c>
      <c r="L31" s="551">
        <v>9864933.989139</v>
      </c>
    </row>
    <row r="32" spans="1:12">
      <c r="A32" s="373">
        <v>26</v>
      </c>
      <c r="B32" s="390" t="s">
        <v>519</v>
      </c>
      <c r="C32" s="668">
        <f t="shared" si="0"/>
        <v>47729089.061491959</v>
      </c>
      <c r="D32" s="551">
        <v>39163111.766791962</v>
      </c>
      <c r="E32" s="551">
        <v>3360865.4725999995</v>
      </c>
      <c r="F32" s="551">
        <v>4717771.2865000013</v>
      </c>
      <c r="G32" s="551">
        <v>487340.5356</v>
      </c>
      <c r="H32" s="551">
        <f t="shared" si="1"/>
        <v>5450266.9937495887</v>
      </c>
      <c r="I32" s="551">
        <v>321231.99997958902</v>
      </c>
      <c r="J32" s="551">
        <v>339736.02999999991</v>
      </c>
      <c r="K32" s="551">
        <v>4598197.5539809996</v>
      </c>
      <c r="L32" s="551">
        <v>191101.409789</v>
      </c>
    </row>
    <row r="33" spans="1:12">
      <c r="A33" s="373">
        <v>27</v>
      </c>
      <c r="B33" s="443" t="s">
        <v>64</v>
      </c>
      <c r="C33" s="669">
        <f t="shared" ref="C33:L33" si="2">SUM(C7:C32)</f>
        <v>21971875738.358562</v>
      </c>
      <c r="D33" s="669">
        <f>SUM(D7:D32)</f>
        <v>20479206262.382084</v>
      </c>
      <c r="E33" s="669">
        <f t="shared" si="2"/>
        <v>980954478.59559989</v>
      </c>
      <c r="F33" s="669">
        <f t="shared" si="2"/>
        <v>396240915.64200002</v>
      </c>
      <c r="G33" s="669">
        <f t="shared" si="2"/>
        <v>115474081.73887458</v>
      </c>
      <c r="H33" s="669">
        <f t="shared" si="2"/>
        <v>319828394.37370062</v>
      </c>
      <c r="I33" s="669">
        <f t="shared" si="2"/>
        <v>72751009.059979588</v>
      </c>
      <c r="J33" s="669">
        <f t="shared" si="2"/>
        <v>56920209.920000002</v>
      </c>
      <c r="K33" s="669">
        <f t="shared" si="2"/>
        <v>162454466.29672199</v>
      </c>
      <c r="L33" s="669">
        <f t="shared" si="2"/>
        <v>27702709.096998993</v>
      </c>
    </row>
    <row r="34" spans="1:12">
      <c r="A34" s="404"/>
      <c r="B34" s="404"/>
      <c r="C34" s="404"/>
      <c r="D34" s="404"/>
      <c r="E34" s="404"/>
      <c r="H34" s="404"/>
    </row>
    <row r="35" spans="1:12">
      <c r="A35" s="404"/>
      <c r="B35" s="442"/>
      <c r="C35" s="442"/>
      <c r="D35" s="404"/>
      <c r="E35" s="404"/>
      <c r="H35" s="404"/>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9"/>
  <sheetViews>
    <sheetView showGridLines="0" zoomScaleNormal="100" workbookViewId="0"/>
  </sheetViews>
  <sheetFormatPr defaultColWidth="8.6640625" defaultRowHeight="12"/>
  <cols>
    <col min="1" max="1" width="11.88671875" style="445" bestFit="1" customWidth="1"/>
    <col min="2" max="2" width="68.6640625" style="445" customWidth="1"/>
    <col min="3" max="11" width="28.33203125" style="445" customWidth="1"/>
    <col min="12" max="16384" width="8.6640625" style="445"/>
  </cols>
  <sheetData>
    <row r="1" spans="1:11" s="384" customFormat="1" ht="13.8">
      <c r="A1" s="304" t="s">
        <v>30</v>
      </c>
      <c r="B1" s="370" t="str">
        <f>'Info '!C2</f>
        <v xml:space="preserve">JSC "Bank of Georgia" </v>
      </c>
    </row>
    <row r="2" spans="1:11" s="384" customFormat="1">
      <c r="A2" s="305" t="s">
        <v>31</v>
      </c>
      <c r="B2" s="369">
        <f>'1. key ratios '!B2</f>
        <v>45473</v>
      </c>
    </row>
    <row r="3" spans="1:11" s="384" customFormat="1">
      <c r="A3" s="306" t="s">
        <v>502</v>
      </c>
    </row>
    <row r="4" spans="1:11">
      <c r="C4" s="449" t="s">
        <v>696</v>
      </c>
      <c r="D4" s="449" t="s">
        <v>695</v>
      </c>
      <c r="E4" s="449" t="s">
        <v>694</v>
      </c>
      <c r="F4" s="449" t="s">
        <v>693</v>
      </c>
      <c r="G4" s="449" t="s">
        <v>692</v>
      </c>
      <c r="H4" s="449" t="s">
        <v>691</v>
      </c>
      <c r="I4" s="449" t="s">
        <v>690</v>
      </c>
      <c r="J4" s="449" t="s">
        <v>689</v>
      </c>
      <c r="K4" s="449" t="s">
        <v>688</v>
      </c>
    </row>
    <row r="5" spans="1:11" ht="104.1" customHeight="1">
      <c r="A5" s="824" t="s">
        <v>687</v>
      </c>
      <c r="B5" s="825"/>
      <c r="C5" s="448" t="s">
        <v>503</v>
      </c>
      <c r="D5" s="448" t="s">
        <v>504</v>
      </c>
      <c r="E5" s="448" t="s">
        <v>505</v>
      </c>
      <c r="F5" s="448" t="s">
        <v>506</v>
      </c>
      <c r="G5" s="448" t="s">
        <v>507</v>
      </c>
      <c r="H5" s="448" t="s">
        <v>508</v>
      </c>
      <c r="I5" s="448" t="s">
        <v>509</v>
      </c>
      <c r="J5" s="448" t="s">
        <v>510</v>
      </c>
      <c r="K5" s="448" t="s">
        <v>511</v>
      </c>
    </row>
    <row r="6" spans="1:11">
      <c r="A6" s="372">
        <v>1</v>
      </c>
      <c r="B6" s="372" t="s">
        <v>471</v>
      </c>
      <c r="C6" s="670">
        <v>382316437.33000004</v>
      </c>
      <c r="D6" s="670">
        <v>106199249.16000001</v>
      </c>
      <c r="E6" s="670">
        <v>78079539.142099991</v>
      </c>
      <c r="F6" s="670">
        <v>146883515.23000002</v>
      </c>
      <c r="G6" s="670">
        <v>16403983516.802675</v>
      </c>
      <c r="H6" s="670">
        <v>583122161.23000002</v>
      </c>
      <c r="I6" s="670">
        <v>596228216.3563</v>
      </c>
      <c r="J6" s="670">
        <v>706642976.5999999</v>
      </c>
      <c r="K6" s="670">
        <v>2968420126.5094995</v>
      </c>
    </row>
    <row r="7" spans="1:11">
      <c r="A7" s="372">
        <v>2</v>
      </c>
      <c r="B7" s="373" t="s">
        <v>512</v>
      </c>
      <c r="C7" s="670">
        <v>0</v>
      </c>
      <c r="D7" s="670">
        <v>0</v>
      </c>
      <c r="E7" s="670">
        <v>0</v>
      </c>
      <c r="F7" s="670">
        <v>0</v>
      </c>
      <c r="G7" s="670">
        <v>0</v>
      </c>
      <c r="H7" s="670">
        <v>0</v>
      </c>
      <c r="I7" s="670">
        <v>0</v>
      </c>
      <c r="J7" s="670">
        <v>0</v>
      </c>
      <c r="K7" s="670">
        <f>'[4]22. Quality'!C20+'[4]22. Quality'!C19</f>
        <v>131660707.61420003</v>
      </c>
    </row>
    <row r="8" spans="1:11">
      <c r="A8" s="372">
        <v>3</v>
      </c>
      <c r="B8" s="373" t="s">
        <v>479</v>
      </c>
      <c r="C8" s="670">
        <v>352896276.85763001</v>
      </c>
      <c r="D8" s="670">
        <v>0</v>
      </c>
      <c r="E8" s="670">
        <v>641736965.09874296</v>
      </c>
      <c r="F8" s="670">
        <v>0</v>
      </c>
      <c r="G8" s="670">
        <v>470192236.07585496</v>
      </c>
      <c r="H8" s="670">
        <v>172100131.46521601</v>
      </c>
      <c r="I8" s="670">
        <v>30172595.350751001</v>
      </c>
      <c r="J8" s="670">
        <v>151190873.40694901</v>
      </c>
      <c r="K8" s="670">
        <v>1124488340.1387701</v>
      </c>
    </row>
    <row r="9" spans="1:11">
      <c r="A9" s="372">
        <v>4</v>
      </c>
      <c r="B9" s="405" t="s">
        <v>513</v>
      </c>
      <c r="C9" s="670">
        <v>3041745.2000606698</v>
      </c>
      <c r="D9" s="670">
        <v>4802998.6085009901</v>
      </c>
      <c r="E9" s="670">
        <v>1597264.8309403299</v>
      </c>
      <c r="F9" s="670">
        <v>3950617.4874082101</v>
      </c>
      <c r="G9" s="670">
        <v>404562004.55482399</v>
      </c>
      <c r="H9" s="670">
        <v>0</v>
      </c>
      <c r="I9" s="670">
        <v>13815453.767356353</v>
      </c>
      <c r="J9" s="670">
        <v>9675301.1565384101</v>
      </c>
      <c r="K9" s="670">
        <v>70269611.775245696</v>
      </c>
    </row>
    <row r="10" spans="1:11">
      <c r="A10" s="372">
        <v>5</v>
      </c>
      <c r="B10" s="394" t="s">
        <v>514</v>
      </c>
      <c r="C10" s="670">
        <v>0</v>
      </c>
      <c r="D10" s="670">
        <v>0</v>
      </c>
      <c r="E10" s="670">
        <v>0</v>
      </c>
      <c r="F10" s="670">
        <v>0</v>
      </c>
      <c r="G10" s="670">
        <v>0</v>
      </c>
      <c r="H10" s="670">
        <v>0</v>
      </c>
      <c r="I10" s="670">
        <v>0</v>
      </c>
      <c r="J10" s="670">
        <v>0</v>
      </c>
      <c r="K10" s="670">
        <v>0</v>
      </c>
    </row>
    <row r="11" spans="1:11">
      <c r="A11" s="372">
        <v>6</v>
      </c>
      <c r="B11" s="394" t="s">
        <v>515</v>
      </c>
      <c r="C11" s="670">
        <v>0</v>
      </c>
      <c r="D11" s="670">
        <v>0</v>
      </c>
      <c r="E11" s="670">
        <v>0</v>
      </c>
      <c r="F11" s="670">
        <v>0</v>
      </c>
      <c r="G11" s="670">
        <v>0</v>
      </c>
      <c r="H11" s="670">
        <v>0</v>
      </c>
      <c r="I11" s="670">
        <v>0</v>
      </c>
      <c r="J11" s="670">
        <v>0</v>
      </c>
      <c r="K11" s="670">
        <v>0</v>
      </c>
    </row>
    <row r="13" spans="1:11" ht="13.8">
      <c r="B13" s="446"/>
      <c r="C13" s="560"/>
    </row>
    <row r="14" spans="1:11">
      <c r="C14" s="560"/>
      <c r="D14" s="560"/>
      <c r="E14" s="560"/>
      <c r="F14" s="560"/>
      <c r="G14" s="560"/>
      <c r="H14" s="560"/>
      <c r="I14" s="560"/>
      <c r="J14" s="560"/>
      <c r="K14" s="560"/>
    </row>
    <row r="15" spans="1:11">
      <c r="C15" s="560"/>
      <c r="D15" s="560"/>
      <c r="E15" s="560"/>
      <c r="F15" s="560"/>
      <c r="G15" s="560"/>
      <c r="H15" s="560"/>
      <c r="I15" s="560"/>
      <c r="J15" s="560"/>
      <c r="K15" s="560"/>
    </row>
    <row r="16" spans="1:11">
      <c r="C16" s="560"/>
      <c r="D16" s="560"/>
      <c r="E16" s="560"/>
      <c r="F16" s="560"/>
      <c r="G16" s="560"/>
      <c r="H16" s="560"/>
      <c r="I16" s="560"/>
      <c r="J16" s="560"/>
      <c r="K16" s="560"/>
    </row>
    <row r="17" spans="3:11">
      <c r="C17" s="560"/>
      <c r="D17" s="560"/>
      <c r="E17" s="560"/>
      <c r="F17" s="560"/>
      <c r="G17" s="560"/>
      <c r="H17" s="560"/>
      <c r="I17" s="560"/>
      <c r="J17" s="560"/>
      <c r="K17" s="560"/>
    </row>
    <row r="18" spans="3:11">
      <c r="C18" s="560"/>
      <c r="D18" s="560"/>
      <c r="E18" s="560"/>
      <c r="F18" s="560"/>
      <c r="G18" s="560"/>
      <c r="H18" s="560"/>
      <c r="I18" s="560"/>
      <c r="J18" s="560"/>
      <c r="K18" s="560"/>
    </row>
    <row r="19" spans="3:11">
      <c r="C19" s="560"/>
      <c r="D19" s="560"/>
      <c r="E19" s="560"/>
      <c r="F19" s="560"/>
      <c r="G19" s="560"/>
      <c r="H19" s="560"/>
      <c r="I19" s="560"/>
      <c r="J19" s="560"/>
      <c r="K19" s="560"/>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38"/>
  <sheetViews>
    <sheetView showGridLines="0" zoomScaleNormal="100" workbookViewId="0"/>
  </sheetViews>
  <sheetFormatPr defaultColWidth="8.6640625" defaultRowHeight="14.4"/>
  <cols>
    <col min="1" max="1" width="10" style="450" bestFit="1" customWidth="1"/>
    <col min="2" max="2" width="71.6640625" style="450" customWidth="1"/>
    <col min="3" max="3" width="14.33203125" style="450" bestFit="1" customWidth="1"/>
    <col min="4" max="7" width="15.5546875" style="450" customWidth="1"/>
    <col min="8" max="8" width="14.33203125" style="450" bestFit="1" customWidth="1"/>
    <col min="9" max="12" width="17.33203125" style="450" customWidth="1"/>
    <col min="13" max="13" width="12.88671875" style="450" bestFit="1" customWidth="1"/>
    <col min="14" max="17" width="16.109375" style="450" customWidth="1"/>
    <col min="18" max="18" width="12.44140625" style="450" bestFit="1" customWidth="1"/>
    <col min="19" max="19" width="46.88671875" style="450" bestFit="1" customWidth="1"/>
    <col min="20" max="20" width="43.44140625" style="450" bestFit="1" customWidth="1"/>
    <col min="21" max="21" width="45.88671875" style="450" bestFit="1" customWidth="1"/>
    <col min="22" max="22" width="43.44140625" style="450" bestFit="1" customWidth="1"/>
    <col min="23" max="16384" width="8.6640625" style="450"/>
  </cols>
  <sheetData>
    <row r="1" spans="1:22">
      <c r="A1" s="304" t="s">
        <v>30</v>
      </c>
      <c r="B1" s="677" t="str">
        <f>'Info '!C2</f>
        <v xml:space="preserve">JSC "Bank of Georgia" </v>
      </c>
    </row>
    <row r="2" spans="1:22">
      <c r="A2" s="305" t="s">
        <v>31</v>
      </c>
      <c r="B2" s="678">
        <f>'1. key ratios '!B2</f>
        <v>45473</v>
      </c>
    </row>
    <row r="3" spans="1:22">
      <c r="A3" s="306" t="s">
        <v>530</v>
      </c>
      <c r="B3" s="384"/>
    </row>
    <row r="4" spans="1:22">
      <c r="A4" s="306"/>
      <c r="B4" s="384"/>
    </row>
    <row r="5" spans="1:22" ht="24" customHeight="1">
      <c r="A5" s="826" t="s">
        <v>531</v>
      </c>
      <c r="B5" s="827"/>
      <c r="C5" s="831" t="s">
        <v>697</v>
      </c>
      <c r="D5" s="831"/>
      <c r="E5" s="831"/>
      <c r="F5" s="831"/>
      <c r="G5" s="831"/>
      <c r="H5" s="831" t="s">
        <v>549</v>
      </c>
      <c r="I5" s="831"/>
      <c r="J5" s="831"/>
      <c r="K5" s="831"/>
      <c r="L5" s="831"/>
      <c r="M5" s="831" t="s">
        <v>661</v>
      </c>
      <c r="N5" s="831"/>
      <c r="O5" s="831"/>
      <c r="P5" s="831"/>
      <c r="Q5" s="831"/>
      <c r="R5" s="830" t="s">
        <v>532</v>
      </c>
      <c r="S5" s="830" t="s">
        <v>546</v>
      </c>
      <c r="T5" s="830" t="s">
        <v>547</v>
      </c>
      <c r="U5" s="830" t="s">
        <v>706</v>
      </c>
      <c r="V5" s="830" t="s">
        <v>707</v>
      </c>
    </row>
    <row r="6" spans="1:22" ht="36" customHeight="1">
      <c r="A6" s="828"/>
      <c r="B6" s="829"/>
      <c r="C6" s="460"/>
      <c r="D6" s="382" t="s">
        <v>682</v>
      </c>
      <c r="E6" s="382" t="s">
        <v>681</v>
      </c>
      <c r="F6" s="382" t="s">
        <v>680</v>
      </c>
      <c r="G6" s="382" t="s">
        <v>679</v>
      </c>
      <c r="H6" s="460"/>
      <c r="I6" s="382" t="s">
        <v>682</v>
      </c>
      <c r="J6" s="382" t="s">
        <v>681</v>
      </c>
      <c r="K6" s="382" t="s">
        <v>680</v>
      </c>
      <c r="L6" s="382" t="s">
        <v>679</v>
      </c>
      <c r="M6" s="460"/>
      <c r="N6" s="382" t="s">
        <v>682</v>
      </c>
      <c r="O6" s="382" t="s">
        <v>681</v>
      </c>
      <c r="P6" s="382" t="s">
        <v>680</v>
      </c>
      <c r="Q6" s="382" t="s">
        <v>679</v>
      </c>
      <c r="R6" s="830"/>
      <c r="S6" s="830"/>
      <c r="T6" s="830"/>
      <c r="U6" s="830"/>
      <c r="V6" s="830"/>
    </row>
    <row r="7" spans="1:22">
      <c r="A7" s="458">
        <v>1</v>
      </c>
      <c r="B7" s="459" t="s">
        <v>540</v>
      </c>
      <c r="C7" s="671">
        <f>SUM(D7:G7)</f>
        <v>87808655.019999996</v>
      </c>
      <c r="D7" s="672">
        <v>82834261.099999994</v>
      </c>
      <c r="E7" s="672">
        <v>4099678.33</v>
      </c>
      <c r="F7" s="672">
        <v>776515.59</v>
      </c>
      <c r="G7" s="672">
        <v>98200</v>
      </c>
      <c r="H7" s="672">
        <v>89173321.915099993</v>
      </c>
      <c r="I7" s="672">
        <v>84069671.334999993</v>
      </c>
      <c r="J7" s="672">
        <v>4180381.4408</v>
      </c>
      <c r="K7" s="672">
        <v>820775.90930000006</v>
      </c>
      <c r="L7" s="672">
        <v>102493.23</v>
      </c>
      <c r="M7" s="672">
        <v>2110506.9077209998</v>
      </c>
      <c r="N7" s="672">
        <v>925780.89</v>
      </c>
      <c r="O7" s="672">
        <v>518156.91</v>
      </c>
      <c r="P7" s="672">
        <v>608545.34772099997</v>
      </c>
      <c r="Q7" s="672">
        <v>58023.76</v>
      </c>
      <c r="R7" s="672">
        <v>999</v>
      </c>
      <c r="S7" s="673">
        <v>0.10716674545745278</v>
      </c>
      <c r="T7" s="673">
        <v>0.12286443017403387</v>
      </c>
      <c r="U7" s="674">
        <v>0.11550000000000001</v>
      </c>
      <c r="V7" s="675">
        <v>43.43</v>
      </c>
    </row>
    <row r="8" spans="1:22">
      <c r="A8" s="458">
        <v>2</v>
      </c>
      <c r="B8" s="457" t="s">
        <v>539</v>
      </c>
      <c r="C8" s="671">
        <f t="shared" ref="C8:C18" si="0">SUM(D8:G8)</f>
        <v>4792065602.1199999</v>
      </c>
      <c r="D8" s="672">
        <v>4474806003.5699997</v>
      </c>
      <c r="E8" s="672">
        <v>208449098.88</v>
      </c>
      <c r="F8" s="672">
        <v>82083615.560000002</v>
      </c>
      <c r="G8" s="672">
        <v>26726884.109999999</v>
      </c>
      <c r="H8" s="672">
        <v>4806234367.7486</v>
      </c>
      <c r="I8" s="672">
        <v>4482934876.3311005</v>
      </c>
      <c r="J8" s="672">
        <v>211491318.51800001</v>
      </c>
      <c r="K8" s="672">
        <v>84065046.702000007</v>
      </c>
      <c r="L8" s="672">
        <v>27743126.197500002</v>
      </c>
      <c r="M8" s="672">
        <v>111359143.11371002</v>
      </c>
      <c r="N8" s="672">
        <v>41394413.25</v>
      </c>
      <c r="O8" s="672">
        <v>18604792.010000002</v>
      </c>
      <c r="P8" s="672">
        <v>44831057.962664999</v>
      </c>
      <c r="Q8" s="672">
        <v>6528879.8910450004</v>
      </c>
      <c r="R8" s="672">
        <v>569047</v>
      </c>
      <c r="S8" s="673">
        <v>0.14491734285008687</v>
      </c>
      <c r="T8" s="673">
        <v>0.18900125274141721</v>
      </c>
      <c r="U8" s="674">
        <v>0.1421</v>
      </c>
      <c r="V8" s="675">
        <v>57.75</v>
      </c>
    </row>
    <row r="9" spans="1:22">
      <c r="A9" s="458">
        <v>3</v>
      </c>
      <c r="B9" s="457" t="s">
        <v>538</v>
      </c>
      <c r="C9" s="671">
        <f t="shared" si="0"/>
        <v>341336.61</v>
      </c>
      <c r="D9" s="672">
        <v>110096.71</v>
      </c>
      <c r="E9" s="672">
        <v>101806.48</v>
      </c>
      <c r="F9" s="672">
        <v>124848.81</v>
      </c>
      <c r="G9" s="672">
        <v>4584.6099999999997</v>
      </c>
      <c r="H9" s="672">
        <v>384227.30330000003</v>
      </c>
      <c r="I9" s="672">
        <v>116584.3187</v>
      </c>
      <c r="J9" s="672">
        <v>126340.82460000001</v>
      </c>
      <c r="K9" s="672">
        <v>136494.2715</v>
      </c>
      <c r="L9" s="672">
        <v>4807.8885</v>
      </c>
      <c r="M9" s="672">
        <v>155810.97999999998</v>
      </c>
      <c r="N9" s="672">
        <v>11854.28</v>
      </c>
      <c r="O9" s="672">
        <v>17061.43</v>
      </c>
      <c r="P9" s="672">
        <v>124915.12</v>
      </c>
      <c r="Q9" s="672">
        <v>1980.15</v>
      </c>
      <c r="R9" s="672">
        <v>648</v>
      </c>
      <c r="S9" s="673">
        <v>0.28073678495826615</v>
      </c>
      <c r="T9" s="673">
        <v>0.35826608641970226</v>
      </c>
      <c r="U9" s="674">
        <v>0.25169999999999998</v>
      </c>
      <c r="V9" s="675">
        <v>15.85</v>
      </c>
    </row>
    <row r="10" spans="1:22">
      <c r="A10" s="458">
        <v>4</v>
      </c>
      <c r="B10" s="457" t="s">
        <v>537</v>
      </c>
      <c r="C10" s="671">
        <f t="shared" si="0"/>
        <v>120146949.75</v>
      </c>
      <c r="D10" s="672">
        <v>117346662.09999999</v>
      </c>
      <c r="E10" s="672">
        <v>2062340.81</v>
      </c>
      <c r="F10" s="672">
        <v>737946.84</v>
      </c>
      <c r="G10" s="672">
        <v>0</v>
      </c>
      <c r="H10" s="672">
        <v>119229581.2977</v>
      </c>
      <c r="I10" s="672">
        <v>116363373.8378</v>
      </c>
      <c r="J10" s="672">
        <v>2086113.1409</v>
      </c>
      <c r="K10" s="672">
        <v>780094.31900000002</v>
      </c>
      <c r="L10" s="672">
        <v>0</v>
      </c>
      <c r="M10" s="672">
        <v>2793438.82</v>
      </c>
      <c r="N10" s="672">
        <v>1809110.72</v>
      </c>
      <c r="O10" s="672">
        <v>397578.66</v>
      </c>
      <c r="P10" s="672">
        <v>586749.43999999994</v>
      </c>
      <c r="Q10" s="672">
        <v>0</v>
      </c>
      <c r="R10" s="672">
        <v>165775</v>
      </c>
      <c r="S10" s="673">
        <v>0.15869917059575867</v>
      </c>
      <c r="T10" s="673">
        <v>0.29104165435692375</v>
      </c>
      <c r="U10" s="674">
        <v>0.19980000000000001</v>
      </c>
      <c r="V10" s="675">
        <v>12.24</v>
      </c>
    </row>
    <row r="11" spans="1:22">
      <c r="A11" s="458">
        <v>5</v>
      </c>
      <c r="B11" s="457" t="s">
        <v>536</v>
      </c>
      <c r="C11" s="671">
        <f t="shared" si="0"/>
        <v>12562632.220000003</v>
      </c>
      <c r="D11" s="672">
        <v>9564098.7100000009</v>
      </c>
      <c r="E11" s="672">
        <v>911451.46</v>
      </c>
      <c r="F11" s="672">
        <v>2087082.05</v>
      </c>
      <c r="G11" s="672">
        <v>0</v>
      </c>
      <c r="H11" s="672">
        <v>15036490.268900001</v>
      </c>
      <c r="I11" s="672">
        <v>9940664.0072000008</v>
      </c>
      <c r="J11" s="672">
        <v>1172228.7849999999</v>
      </c>
      <c r="K11" s="672">
        <v>3923597.4767</v>
      </c>
      <c r="L11" s="672">
        <v>0</v>
      </c>
      <c r="M11" s="672">
        <v>4383163.4172139997</v>
      </c>
      <c r="N11" s="672">
        <v>312944.78999999998</v>
      </c>
      <c r="O11" s="672">
        <v>199140.53</v>
      </c>
      <c r="P11" s="672">
        <v>3871078.0972139998</v>
      </c>
      <c r="Q11" s="672">
        <v>0</v>
      </c>
      <c r="R11" s="672">
        <v>126393</v>
      </c>
      <c r="S11" s="673">
        <v>0.18625700796819195</v>
      </c>
      <c r="T11" s="673">
        <v>0.18703037488689644</v>
      </c>
      <c r="U11" s="674">
        <v>0.1754</v>
      </c>
      <c r="V11" s="675">
        <v>12.34</v>
      </c>
    </row>
    <row r="12" spans="1:22">
      <c r="A12" s="458">
        <v>6</v>
      </c>
      <c r="B12" s="457" t="s">
        <v>535</v>
      </c>
      <c r="C12" s="671">
        <f t="shared" si="0"/>
        <v>211906647.91</v>
      </c>
      <c r="D12" s="672">
        <v>196208538.88999999</v>
      </c>
      <c r="E12" s="672">
        <v>11162682.15</v>
      </c>
      <c r="F12" s="672">
        <v>4535426.87</v>
      </c>
      <c r="G12" s="672">
        <v>0</v>
      </c>
      <c r="H12" s="672">
        <v>218578370.6934</v>
      </c>
      <c r="I12" s="672">
        <v>202290558.07929999</v>
      </c>
      <c r="J12" s="672">
        <v>11541717.2788</v>
      </c>
      <c r="K12" s="672">
        <v>4746095.3353000004</v>
      </c>
      <c r="L12" s="672">
        <v>0</v>
      </c>
      <c r="M12" s="672">
        <v>5826906.9467219999</v>
      </c>
      <c r="N12" s="672">
        <v>1091466.93</v>
      </c>
      <c r="O12" s="672">
        <v>587290.72</v>
      </c>
      <c r="P12" s="672">
        <v>4148149.296722</v>
      </c>
      <c r="Q12" s="672">
        <v>0</v>
      </c>
      <c r="R12" s="672">
        <v>149428</v>
      </c>
      <c r="S12" s="673">
        <v>0.36</v>
      </c>
      <c r="T12" s="674">
        <v>0.36</v>
      </c>
      <c r="U12" s="674">
        <v>0.35899999999999999</v>
      </c>
      <c r="V12" s="675">
        <v>18.04</v>
      </c>
    </row>
    <row r="13" spans="1:22">
      <c r="A13" s="458">
        <v>7</v>
      </c>
      <c r="B13" s="457" t="s">
        <v>534</v>
      </c>
      <c r="C13" s="671">
        <f t="shared" si="0"/>
        <v>4673608063.7815266</v>
      </c>
      <c r="D13" s="672">
        <v>4451561983.5200005</v>
      </c>
      <c r="E13" s="672">
        <v>124488241.27</v>
      </c>
      <c r="F13" s="672">
        <v>43449625.219999999</v>
      </c>
      <c r="G13" s="672">
        <v>54108213.771525405</v>
      </c>
      <c r="H13" s="672">
        <f t="shared" ref="H13:R13" si="1">H14+H15+H16</f>
        <v>4739552698.6901999</v>
      </c>
      <c r="I13" s="672">
        <f t="shared" si="1"/>
        <v>4511304656.3379002</v>
      </c>
      <c r="J13" s="672">
        <f t="shared" si="1"/>
        <v>127536988.1831</v>
      </c>
      <c r="K13" s="672">
        <f t="shared" si="1"/>
        <v>45194257.155900002</v>
      </c>
      <c r="L13" s="672">
        <v>55516797.013300009</v>
      </c>
      <c r="M13" s="672">
        <f t="shared" si="1"/>
        <v>24083309.580035001</v>
      </c>
      <c r="N13" s="672">
        <f t="shared" si="1"/>
        <v>3271850.06</v>
      </c>
      <c r="O13" s="672">
        <f t="shared" si="1"/>
        <v>1401621.8800000001</v>
      </c>
      <c r="P13" s="672">
        <f t="shared" si="1"/>
        <v>9880100.8544909991</v>
      </c>
      <c r="Q13" s="672">
        <v>9529736.7855439987</v>
      </c>
      <c r="R13" s="672">
        <f t="shared" si="1"/>
        <v>74372</v>
      </c>
      <c r="S13" s="673">
        <v>0.10433015322326446</v>
      </c>
      <c r="T13" s="673">
        <v>0.12154945834172598</v>
      </c>
      <c r="U13" s="674">
        <v>0.1037</v>
      </c>
      <c r="V13" s="675">
        <v>112.35</v>
      </c>
    </row>
    <row r="14" spans="1:22">
      <c r="A14" s="452">
        <v>7.1</v>
      </c>
      <c r="B14" s="451" t="s">
        <v>543</v>
      </c>
      <c r="C14" s="671">
        <f t="shared" si="0"/>
        <v>3626622913.7015257</v>
      </c>
      <c r="D14" s="672">
        <v>3437368972.0799999</v>
      </c>
      <c r="E14" s="672">
        <v>98550822.170000002</v>
      </c>
      <c r="F14" s="672">
        <v>39078565.170000002</v>
      </c>
      <c r="G14" s="672">
        <v>51624554.281525403</v>
      </c>
      <c r="H14" s="672">
        <v>3679645511.4369001</v>
      </c>
      <c r="I14" s="672">
        <v>3485106296.1696</v>
      </c>
      <c r="J14" s="672">
        <v>101045327.3248</v>
      </c>
      <c r="K14" s="672">
        <v>40637020.196699999</v>
      </c>
      <c r="L14" s="672">
        <v>52856867.745800003</v>
      </c>
      <c r="M14" s="672">
        <v>21614198.585831001</v>
      </c>
      <c r="N14" s="672">
        <v>2361553.58</v>
      </c>
      <c r="O14" s="672">
        <v>1021391.84</v>
      </c>
      <c r="P14" s="672">
        <v>9119851.9002870005</v>
      </c>
      <c r="Q14" s="672">
        <v>9111401.2655439992</v>
      </c>
      <c r="R14" s="672">
        <v>44968</v>
      </c>
      <c r="S14" s="673">
        <v>0.10238894878660475</v>
      </c>
      <c r="T14" s="673">
        <v>0.11985581737846424</v>
      </c>
      <c r="U14" s="674">
        <v>0.1018</v>
      </c>
      <c r="V14" s="675">
        <v>114.63</v>
      </c>
    </row>
    <row r="15" spans="1:22">
      <c r="A15" s="452">
        <v>7.2</v>
      </c>
      <c r="B15" s="451" t="s">
        <v>545</v>
      </c>
      <c r="C15" s="671">
        <f t="shared" si="0"/>
        <v>769422787.25999999</v>
      </c>
      <c r="D15" s="672">
        <v>745238764.14999998</v>
      </c>
      <c r="E15" s="672">
        <v>19272512.649999999</v>
      </c>
      <c r="F15" s="672">
        <v>2614438.3199999998</v>
      </c>
      <c r="G15" s="672">
        <v>2297072.14</v>
      </c>
      <c r="H15" s="672">
        <v>778483953.00599992</v>
      </c>
      <c r="I15" s="672">
        <v>753620108.16340005</v>
      </c>
      <c r="J15" s="672">
        <v>19647754.458900001</v>
      </c>
      <c r="K15" s="672">
        <v>2755690.4487000001</v>
      </c>
      <c r="L15" s="672">
        <v>2460399.9350000001</v>
      </c>
      <c r="M15" s="672">
        <v>1991802.1942039998</v>
      </c>
      <c r="N15" s="672">
        <v>810068.16</v>
      </c>
      <c r="O15" s="672">
        <v>336164.53</v>
      </c>
      <c r="P15" s="672">
        <v>470778.08420400001</v>
      </c>
      <c r="Q15" s="672">
        <v>374791.42</v>
      </c>
      <c r="R15" s="672">
        <v>8809</v>
      </c>
      <c r="S15" s="673">
        <v>0.10283969731239041</v>
      </c>
      <c r="T15" s="673">
        <v>0.12048407762048638</v>
      </c>
      <c r="U15" s="674">
        <v>0.1074</v>
      </c>
      <c r="V15" s="675">
        <v>112.66</v>
      </c>
    </row>
    <row r="16" spans="1:22">
      <c r="A16" s="452">
        <v>7.3</v>
      </c>
      <c r="B16" s="451" t="s">
        <v>542</v>
      </c>
      <c r="C16" s="671">
        <f t="shared" si="0"/>
        <v>277562362.82000005</v>
      </c>
      <c r="D16" s="672">
        <v>268954247.29000002</v>
      </c>
      <c r="E16" s="672">
        <v>6664906.4500000002</v>
      </c>
      <c r="F16" s="672">
        <v>1756621.73</v>
      </c>
      <c r="G16" s="672">
        <v>186587.35</v>
      </c>
      <c r="H16" s="672">
        <v>281423234.24729997</v>
      </c>
      <c r="I16" s="672">
        <v>272578252.00489998</v>
      </c>
      <c r="J16" s="672">
        <v>6843906.3994000005</v>
      </c>
      <c r="K16" s="672">
        <v>1801546.5105000001</v>
      </c>
      <c r="L16" s="672">
        <v>199529.33249999999</v>
      </c>
      <c r="M16" s="672">
        <v>477308.8</v>
      </c>
      <c r="N16" s="672">
        <v>100228.32</v>
      </c>
      <c r="O16" s="672">
        <v>44065.51</v>
      </c>
      <c r="P16" s="672">
        <v>289470.87</v>
      </c>
      <c r="Q16" s="672">
        <v>43544.1</v>
      </c>
      <c r="R16" s="672">
        <v>20595</v>
      </c>
      <c r="S16" s="673">
        <v>0.12352668470127749</v>
      </c>
      <c r="T16" s="673">
        <v>0.13774706649422247</v>
      </c>
      <c r="U16" s="674">
        <v>0.11890000000000001</v>
      </c>
      <c r="V16" s="675">
        <v>81.739999999999995</v>
      </c>
    </row>
    <row r="17" spans="1:22">
      <c r="A17" s="458">
        <v>8</v>
      </c>
      <c r="B17" s="457" t="s">
        <v>541</v>
      </c>
      <c r="C17" s="671">
        <f t="shared" si="0"/>
        <v>136884825.34999999</v>
      </c>
      <c r="D17" s="672">
        <v>128819292.95999999</v>
      </c>
      <c r="E17" s="672">
        <v>6093186.7000000002</v>
      </c>
      <c r="F17" s="672">
        <v>1972345.69</v>
      </c>
      <c r="G17" s="672">
        <v>0</v>
      </c>
      <c r="H17" s="672">
        <v>139295896.4777</v>
      </c>
      <c r="I17" s="672">
        <v>130008693.55580001</v>
      </c>
      <c r="J17" s="672">
        <v>6183006.9927000003</v>
      </c>
      <c r="K17" s="672">
        <v>3104195.9292000001</v>
      </c>
      <c r="L17" s="672">
        <v>0</v>
      </c>
      <c r="M17" s="672">
        <v>1168515.67</v>
      </c>
      <c r="N17" s="672">
        <v>21572.48</v>
      </c>
      <c r="O17" s="672">
        <v>10308.16</v>
      </c>
      <c r="P17" s="672">
        <v>1136635.03</v>
      </c>
      <c r="Q17" s="672">
        <v>0</v>
      </c>
      <c r="R17" s="672">
        <v>99387</v>
      </c>
      <c r="S17" s="673">
        <v>0.19047942422245548</v>
      </c>
      <c r="T17" s="673">
        <v>0.19047942422245548</v>
      </c>
      <c r="U17" s="674">
        <v>0.194774193496386</v>
      </c>
      <c r="V17" s="675">
        <v>0.61177176275098899</v>
      </c>
    </row>
    <row r="18" spans="1:22">
      <c r="A18" s="456">
        <v>9</v>
      </c>
      <c r="B18" s="455" t="s">
        <v>533</v>
      </c>
      <c r="C18" s="671">
        <f t="shared" si="0"/>
        <v>0</v>
      </c>
      <c r="D18" s="672">
        <v>0</v>
      </c>
      <c r="E18" s="672">
        <v>0</v>
      </c>
      <c r="F18" s="672">
        <v>0</v>
      </c>
      <c r="G18" s="672">
        <v>0</v>
      </c>
      <c r="H18" s="672">
        <v>48.83</v>
      </c>
      <c r="I18" s="672">
        <v>48.83</v>
      </c>
      <c r="J18" s="672">
        <v>0</v>
      </c>
      <c r="K18" s="672">
        <v>0</v>
      </c>
      <c r="L18" s="672">
        <v>0</v>
      </c>
      <c r="M18" s="672">
        <v>0</v>
      </c>
      <c r="N18" s="672">
        <v>0</v>
      </c>
      <c r="O18" s="672">
        <v>0</v>
      </c>
      <c r="P18" s="672">
        <v>0</v>
      </c>
      <c r="Q18" s="672">
        <v>0</v>
      </c>
      <c r="R18" s="672">
        <v>0</v>
      </c>
      <c r="S18" s="673">
        <v>0</v>
      </c>
      <c r="T18" s="673">
        <v>0</v>
      </c>
      <c r="U18" s="674">
        <v>0</v>
      </c>
      <c r="V18" s="675">
        <v>0</v>
      </c>
    </row>
    <row r="19" spans="1:22">
      <c r="A19" s="454">
        <v>10</v>
      </c>
      <c r="B19" s="453" t="s">
        <v>544</v>
      </c>
      <c r="C19" s="676">
        <f>SUM(C7:C13)+C17+C18</f>
        <v>10035324712.761526</v>
      </c>
      <c r="D19" s="676">
        <f t="shared" ref="D19:G19" si="2">SUM(D7:D13)+D17+D18</f>
        <v>9461250937.5600014</v>
      </c>
      <c r="E19" s="676">
        <f t="shared" si="2"/>
        <v>357368486.07999998</v>
      </c>
      <c r="F19" s="676">
        <f t="shared" si="2"/>
        <v>135767406.63000003</v>
      </c>
      <c r="G19" s="676">
        <f t="shared" si="2"/>
        <v>80937882.491525412</v>
      </c>
      <c r="H19" s="676">
        <f>SUM(H7:H13)+H17+H18</f>
        <v>10127485003.224899</v>
      </c>
      <c r="I19" s="676">
        <f t="shared" ref="I19:L19" si="3">SUM(I7:I13)+I17+I18</f>
        <v>9537029126.6328011</v>
      </c>
      <c r="J19" s="676">
        <f t="shared" si="3"/>
        <v>364318095.16390002</v>
      </c>
      <c r="K19" s="676">
        <f t="shared" si="3"/>
        <v>142770557.09890002</v>
      </c>
      <c r="L19" s="676">
        <f t="shared" si="3"/>
        <v>83367224.329300016</v>
      </c>
      <c r="M19" s="676">
        <f t="shared" ref="M19:Q19" si="4">SUM(M7:M13)+M17+M18</f>
        <v>151880795.43540201</v>
      </c>
      <c r="N19" s="676">
        <f t="shared" si="4"/>
        <v>48838993.399999999</v>
      </c>
      <c r="O19" s="676">
        <f t="shared" si="4"/>
        <v>21735950.300000001</v>
      </c>
      <c r="P19" s="676">
        <f t="shared" si="4"/>
        <v>65187231.148812994</v>
      </c>
      <c r="Q19" s="676">
        <f t="shared" si="4"/>
        <v>16118620.586588999</v>
      </c>
      <c r="R19" s="676">
        <f>SUM(R7:R13)+R17+R18</f>
        <v>1186049</v>
      </c>
      <c r="S19" s="673">
        <v>0.15982130453514423</v>
      </c>
      <c r="T19" s="673">
        <v>0.19094532942236372</v>
      </c>
      <c r="U19" s="674">
        <v>0.13</v>
      </c>
      <c r="V19" s="675">
        <v>80.900000000000006</v>
      </c>
    </row>
    <row r="20" spans="1:22" ht="24">
      <c r="A20" s="452">
        <v>10.1</v>
      </c>
      <c r="B20" s="451" t="s">
        <v>548</v>
      </c>
      <c r="C20" s="447"/>
      <c r="D20" s="447"/>
      <c r="E20" s="447"/>
      <c r="F20" s="447"/>
      <c r="G20" s="447"/>
      <c r="H20" s="447"/>
      <c r="I20" s="447"/>
      <c r="J20" s="447"/>
      <c r="K20" s="447"/>
      <c r="L20" s="447"/>
      <c r="M20" s="447"/>
      <c r="N20" s="447"/>
      <c r="O20" s="447"/>
      <c r="P20" s="447"/>
      <c r="Q20" s="447"/>
      <c r="R20" s="447"/>
      <c r="S20" s="447"/>
      <c r="T20" s="447"/>
      <c r="U20" s="447"/>
      <c r="V20" s="447"/>
    </row>
    <row r="22" spans="1:22">
      <c r="C22" s="561"/>
      <c r="D22" s="561"/>
      <c r="E22" s="561"/>
      <c r="F22" s="561"/>
      <c r="G22" s="561"/>
      <c r="H22" s="561"/>
      <c r="I22" s="561"/>
      <c r="J22" s="561"/>
      <c r="K22" s="561"/>
      <c r="L22" s="561"/>
      <c r="M22" s="561"/>
      <c r="N22" s="561"/>
      <c r="O22" s="561"/>
      <c r="P22" s="561"/>
      <c r="Q22" s="561"/>
      <c r="R22" s="561"/>
      <c r="S22" s="561"/>
      <c r="T22" s="561"/>
      <c r="U22" s="561"/>
      <c r="V22" s="561"/>
    </row>
    <row r="23" spans="1:22">
      <c r="C23" s="561"/>
      <c r="D23" s="561"/>
      <c r="E23" s="561"/>
      <c r="F23" s="561"/>
      <c r="G23" s="561"/>
      <c r="H23" s="561"/>
      <c r="I23" s="561"/>
      <c r="J23" s="561"/>
      <c r="K23" s="561"/>
      <c r="L23" s="561"/>
      <c r="M23" s="561"/>
      <c r="N23" s="561"/>
      <c r="O23" s="561"/>
      <c r="P23" s="561"/>
      <c r="Q23" s="561"/>
      <c r="R23" s="561"/>
      <c r="S23" s="561"/>
      <c r="T23" s="561"/>
      <c r="U23" s="561"/>
      <c r="V23" s="561"/>
    </row>
    <row r="24" spans="1:22">
      <c r="C24" s="561"/>
      <c r="D24" s="561"/>
      <c r="E24" s="561"/>
      <c r="F24" s="561"/>
      <c r="G24" s="561"/>
      <c r="H24" s="561"/>
      <c r="I24" s="561"/>
      <c r="J24" s="561"/>
      <c r="K24" s="561"/>
      <c r="L24" s="561"/>
      <c r="M24" s="561"/>
      <c r="N24" s="561"/>
      <c r="O24" s="561"/>
      <c r="P24" s="561"/>
      <c r="Q24" s="561"/>
      <c r="R24" s="561"/>
      <c r="S24" s="561"/>
      <c r="T24" s="561"/>
      <c r="U24" s="561"/>
      <c r="V24" s="561"/>
    </row>
    <row r="25" spans="1:22">
      <c r="C25" s="561"/>
      <c r="D25" s="561"/>
      <c r="E25" s="561"/>
      <c r="F25" s="561"/>
      <c r="G25" s="561"/>
      <c r="H25" s="561"/>
      <c r="I25" s="561"/>
      <c r="J25" s="561"/>
      <c r="K25" s="561"/>
      <c r="L25" s="561"/>
      <c r="M25" s="561"/>
      <c r="N25" s="561"/>
      <c r="O25" s="561"/>
      <c r="P25" s="561"/>
      <c r="Q25" s="561"/>
      <c r="R25" s="561"/>
      <c r="S25" s="561"/>
      <c r="T25" s="561"/>
      <c r="U25" s="561"/>
      <c r="V25" s="561"/>
    </row>
    <row r="26" spans="1:22">
      <c r="C26" s="561"/>
      <c r="D26" s="561"/>
      <c r="E26" s="561"/>
      <c r="F26" s="561"/>
      <c r="G26" s="561"/>
      <c r="H26" s="561"/>
      <c r="I26" s="561"/>
      <c r="J26" s="561"/>
      <c r="K26" s="561"/>
      <c r="L26" s="561"/>
      <c r="M26" s="561"/>
      <c r="N26" s="561"/>
      <c r="O26" s="561"/>
      <c r="P26" s="561"/>
      <c r="Q26" s="561"/>
      <c r="R26" s="561"/>
      <c r="S26" s="561"/>
      <c r="T26" s="561"/>
      <c r="U26" s="561"/>
      <c r="V26" s="561"/>
    </row>
    <row r="27" spans="1:22">
      <c r="C27" s="561"/>
      <c r="D27" s="561"/>
      <c r="E27" s="561"/>
      <c r="F27" s="561"/>
      <c r="G27" s="561"/>
      <c r="H27" s="561"/>
      <c r="I27" s="561"/>
      <c r="J27" s="561"/>
      <c r="K27" s="561"/>
      <c r="L27" s="561"/>
      <c r="M27" s="561"/>
      <c r="N27" s="561"/>
      <c r="O27" s="561"/>
      <c r="P27" s="561"/>
      <c r="Q27" s="561"/>
      <c r="R27" s="561"/>
      <c r="S27" s="561"/>
      <c r="T27" s="561"/>
      <c r="U27" s="561"/>
      <c r="V27" s="561"/>
    </row>
    <row r="28" spans="1:22">
      <c r="C28" s="561"/>
      <c r="D28" s="561"/>
      <c r="E28" s="561"/>
      <c r="F28" s="561"/>
      <c r="G28" s="561"/>
      <c r="H28" s="561"/>
      <c r="I28" s="561"/>
      <c r="J28" s="561"/>
      <c r="K28" s="561"/>
      <c r="L28" s="561"/>
      <c r="M28" s="561"/>
      <c r="N28" s="561"/>
      <c r="O28" s="561"/>
      <c r="P28" s="561"/>
      <c r="Q28" s="561"/>
      <c r="R28" s="561"/>
      <c r="S28" s="561"/>
      <c r="T28" s="561"/>
      <c r="U28" s="561"/>
      <c r="V28" s="561"/>
    </row>
    <row r="29" spans="1:22">
      <c r="C29" s="561"/>
      <c r="D29" s="561"/>
      <c r="E29" s="561"/>
      <c r="F29" s="561"/>
      <c r="G29" s="561"/>
      <c r="H29" s="561"/>
      <c r="I29" s="561"/>
      <c r="J29" s="561"/>
      <c r="K29" s="561"/>
      <c r="L29" s="561"/>
      <c r="M29" s="561"/>
      <c r="N29" s="561"/>
      <c r="O29" s="561"/>
      <c r="P29" s="561"/>
      <c r="Q29" s="561"/>
      <c r="R29" s="561"/>
      <c r="S29" s="561"/>
      <c r="T29" s="561"/>
      <c r="U29" s="561"/>
      <c r="V29" s="561"/>
    </row>
    <row r="30" spans="1:22">
      <c r="C30" s="561"/>
      <c r="D30" s="561"/>
      <c r="E30" s="561"/>
      <c r="F30" s="561"/>
      <c r="G30" s="561"/>
      <c r="H30" s="561"/>
      <c r="I30" s="561"/>
      <c r="J30" s="561"/>
      <c r="K30" s="561"/>
      <c r="L30" s="561"/>
      <c r="M30" s="561"/>
      <c r="N30" s="561"/>
      <c r="O30" s="561"/>
      <c r="P30" s="561"/>
      <c r="Q30" s="561"/>
      <c r="R30" s="561"/>
      <c r="S30" s="561"/>
      <c r="T30" s="561"/>
      <c r="U30" s="561"/>
      <c r="V30" s="561"/>
    </row>
    <row r="31" spans="1:22">
      <c r="C31" s="561"/>
      <c r="D31" s="561"/>
      <c r="E31" s="561"/>
      <c r="F31" s="561"/>
      <c r="G31" s="561"/>
      <c r="H31" s="561"/>
      <c r="I31" s="561"/>
      <c r="J31" s="561"/>
      <c r="K31" s="561"/>
      <c r="L31" s="561"/>
      <c r="M31" s="561"/>
      <c r="N31" s="561"/>
      <c r="O31" s="561"/>
      <c r="P31" s="561"/>
      <c r="Q31" s="561"/>
      <c r="R31" s="561"/>
      <c r="S31" s="561"/>
      <c r="T31" s="561"/>
      <c r="U31" s="561"/>
      <c r="V31" s="561"/>
    </row>
    <row r="32" spans="1:22">
      <c r="C32" s="561"/>
      <c r="D32" s="561"/>
      <c r="E32" s="561"/>
      <c r="F32" s="561"/>
      <c r="G32" s="561"/>
      <c r="H32" s="561"/>
      <c r="I32" s="561"/>
      <c r="J32" s="561"/>
      <c r="K32" s="561"/>
      <c r="L32" s="561"/>
      <c r="M32" s="561"/>
      <c r="N32" s="561"/>
      <c r="O32" s="561"/>
      <c r="P32" s="561"/>
      <c r="Q32" s="561"/>
      <c r="R32" s="561"/>
      <c r="S32" s="561"/>
      <c r="T32" s="561"/>
      <c r="U32" s="561"/>
      <c r="V32" s="561"/>
    </row>
    <row r="33" spans="3:22">
      <c r="C33" s="561"/>
      <c r="D33" s="561"/>
      <c r="E33" s="561"/>
      <c r="F33" s="561"/>
      <c r="G33" s="561"/>
      <c r="H33" s="561"/>
      <c r="I33" s="561"/>
      <c r="J33" s="561"/>
      <c r="K33" s="561"/>
      <c r="L33" s="561"/>
      <c r="M33" s="561"/>
      <c r="N33" s="561"/>
      <c r="O33" s="561"/>
      <c r="P33" s="561"/>
      <c r="Q33" s="561"/>
      <c r="R33" s="561"/>
      <c r="S33" s="561"/>
      <c r="T33" s="561"/>
      <c r="U33" s="561"/>
      <c r="V33" s="561"/>
    </row>
    <row r="34" spans="3:22">
      <c r="C34" s="561"/>
      <c r="D34" s="561"/>
      <c r="E34" s="561"/>
      <c r="F34" s="561"/>
      <c r="G34" s="561"/>
      <c r="H34" s="561"/>
      <c r="I34" s="561"/>
      <c r="J34" s="561"/>
      <c r="K34" s="561"/>
      <c r="L34" s="561"/>
      <c r="M34" s="561"/>
      <c r="N34" s="561"/>
      <c r="O34" s="561"/>
      <c r="P34" s="561"/>
      <c r="Q34" s="561"/>
      <c r="R34" s="561"/>
      <c r="S34" s="561"/>
      <c r="T34" s="561"/>
      <c r="U34" s="561"/>
      <c r="V34" s="561"/>
    </row>
    <row r="35" spans="3:22">
      <c r="C35" s="561"/>
      <c r="D35" s="561"/>
      <c r="E35" s="561"/>
      <c r="F35" s="561"/>
      <c r="G35" s="561"/>
      <c r="H35" s="561"/>
      <c r="I35" s="561"/>
      <c r="J35" s="561"/>
      <c r="K35" s="561"/>
      <c r="L35" s="561"/>
      <c r="M35" s="561"/>
      <c r="N35" s="561"/>
      <c r="O35" s="561"/>
      <c r="P35" s="561"/>
      <c r="Q35" s="561"/>
      <c r="R35" s="561"/>
      <c r="S35" s="561"/>
      <c r="T35" s="561"/>
      <c r="U35" s="561"/>
      <c r="V35" s="561"/>
    </row>
    <row r="36" spans="3:22">
      <c r="C36" s="561"/>
      <c r="D36" s="561"/>
      <c r="E36" s="561"/>
      <c r="F36" s="561"/>
      <c r="G36" s="561"/>
      <c r="H36" s="561"/>
      <c r="I36" s="561"/>
      <c r="J36" s="561"/>
      <c r="K36" s="561"/>
      <c r="L36" s="561"/>
      <c r="M36" s="561"/>
      <c r="N36" s="561"/>
      <c r="O36" s="561"/>
      <c r="P36" s="561"/>
      <c r="Q36" s="561"/>
      <c r="R36" s="561"/>
      <c r="S36" s="561"/>
      <c r="T36" s="561"/>
      <c r="U36" s="561"/>
      <c r="V36" s="561"/>
    </row>
    <row r="37" spans="3:22">
      <c r="C37" s="561"/>
      <c r="D37" s="561"/>
      <c r="E37" s="561"/>
      <c r="F37" s="561"/>
      <c r="G37" s="561"/>
      <c r="H37" s="561"/>
      <c r="I37" s="561"/>
      <c r="J37" s="561"/>
      <c r="K37" s="561"/>
      <c r="L37" s="561"/>
      <c r="M37" s="561"/>
      <c r="N37" s="561"/>
      <c r="O37" s="561"/>
      <c r="P37" s="561"/>
      <c r="Q37" s="561"/>
      <c r="R37" s="561"/>
      <c r="S37" s="561"/>
      <c r="T37" s="561"/>
      <c r="U37" s="561"/>
      <c r="V37" s="561"/>
    </row>
    <row r="38" spans="3:22">
      <c r="C38" s="561"/>
      <c r="D38" s="561"/>
      <c r="E38" s="561"/>
      <c r="F38" s="561"/>
      <c r="G38" s="561"/>
      <c r="H38" s="561"/>
      <c r="I38" s="561"/>
      <c r="J38" s="561"/>
      <c r="K38" s="561"/>
      <c r="L38" s="561"/>
      <c r="M38" s="561"/>
      <c r="N38" s="561"/>
      <c r="O38" s="561"/>
      <c r="P38" s="561"/>
      <c r="Q38" s="561"/>
      <c r="R38" s="561"/>
      <c r="S38" s="561"/>
      <c r="T38" s="561"/>
      <c r="U38" s="561"/>
      <c r="V38" s="561"/>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wGP7wSw4op21j9sf34QROEoqjSehzYuvEvOSjwi7P2I=</DigestValue>
    </Reference>
    <Reference Type="http://www.w3.org/2000/09/xmldsig#Object" URI="#idOfficeObject">
      <DigestMethod Algorithm="http://www.w3.org/2001/04/xmlenc#sha256"/>
      <DigestValue>+19bKdCMkcBRWc5qrwUtRt9OtGNSphFIP+aEY+a69ck=</DigestValue>
    </Reference>
    <Reference Type="http://uri.etsi.org/01903#SignedProperties" URI="#idSignedProperties">
      <Transforms>
        <Transform Algorithm="http://www.w3.org/TR/2001/REC-xml-c14n-20010315"/>
      </Transforms>
      <DigestMethod Algorithm="http://www.w3.org/2001/04/xmlenc#sha256"/>
      <DigestValue>TY5bxT+a9Jqc5SF3bna10amBbvmdn/8bQWgHh6/l8kQ=</DigestValue>
    </Reference>
  </SignedInfo>
  <SignatureValue>BfsG1dQLmaMzOVB6oKn8NXI0klWszM0Rk/LMe4JM2z1TIt3e0PFt8kVoqAg2j6ydwM7WvnkqMVcQ
78dBu1Y+0I4WChgHhf4AO3g1SJuv+SZ5kY+d4ce6aqtkszsZfWrnqQ51QH5lvFstzk+Urd8pGxld
kdSZXhVZVpKfV7ryZiQ5vUwlT0rjETnSxU0UeT1l0SWxwvKpTt0zSisKFWAQxxH0eUj1mTKJ/Xxf
GAZOQXPj15aXo+NgBAX4LMe/2SyPNogYkNgVlNIwPr2PCvhyt3ooRfhOu3hfvSpJ0UmyUFGeH+5h
v5FJ9CH6gKUPOGfxkq6JbPD0uwJShkRWsh5LJg==</SignatureValue>
  <KeyInfo>
    <X509Data>
      <X509Certificate>MIIGQDCCBSigAwIBAgIKQu3eDgADAAIxjjANBgkqhkiG9w0BAQsFADBKMRIwEAYKCZImiZPyLGQBGRYCZ2UxEzARBgoJkiaJk/IsZAEZFgNuYmcxHzAdBgNVBAMTFk5CRyBDbGFzcyAyIElOVCBTdWIgQ0EwHhcNMjMwNDA3MDkwNzQwWhcNMjUwNDA2MDkwNzQwWjA+MRwwGgYDVQQKExNKU0MgQmFuayBPZiBHZW9yZ2lhMR4wHAYDVQQDExVCQkcgLSBUYXRvIFRvbWFzaHZpbGkwggEiMA0GCSqGSIb3DQEBAQUAA4IBDwAwggEKAoIBAQDk/shvUyXYeyBzYX2whv7iEnO8Ige/2BZwBJWguMwHNmaVyPo/6v+rgzjXRGzimhRHevcQky30kEVX8VwprAl2/HduVMOORfDkJygiwzGnYU8klpgVqgAEiuhLb0x5o0JkfS2L5oF4JWcGKmFhzOvlkF/JIBCKW6r+vhEyLnW42WtppArkyZEAGV1ZFhnfJsP9mlouM0usyXCN7DtKTkXvj49LvXdqYrEQGy7rnpJQyevEEv9wLvtumDDlZNu4/51X2BWFyOSJEVb8nrjlOBAYxSR1FJ4YcvaGzGwqtDzA20zbNe++GLtaH+UWx6Vs1a4Bcut4yIfnbEzya3T9jeaDAgMBAAGjggMyMIIDLjA8BgkrBgEEAYI3FQcELzAtBiUrBgEEAYI3FQjmsmCDjfVEhoGZCYO4oUqDvoRxBIPEkTOEg4hdAgFkAgEjMB0GA1UdJQQWMBQGCCsGAQUFBwMCBggrBgEFBQcDBDALBgNVHQ8EBAMCB4AwJwYJKwYBBAGCNxUKBBowGDAKBggrBgEFBQcDAjAKBggrBgEFBQcDBDAdBgNVHQ4EFgQU03pqTy/GK0gtD4mRyTwm+q5Utak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GEfKkO2VTMvAB7i3P8V6Omw2/cEBU2y82asTwrlA/T8zz8+Ao8VIl+r4IP2GQRHwj/hKvQz/5nh+xMVgQjCENtA8wDVMKesdW9Ng7/+TAM4ysZBJjSYiZ3qXRYEOW2kKhazQ1MdOxhMOIPjDBVUobO2jHFBttO9jJsICOMYQAaO3cCGoqXhkrMbL+95+Y6RSCV91Ln9NHaUgJoagrpYHxz3kxh1a44vTJoobYWGibfDxfIMEBixwczHV8InoePsClBo2t1RLFogrQi1gbhOE1XujrsHlusZd/GJm5uOpFoUZwgcQtPJPHbiUqjQBIIBIkOWMRYEY6hk3oHPDSUZ6X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Transform>
          <Transform Algorithm="http://www.w3.org/TR/2001/REC-xml-c14n-20010315"/>
        </Transforms>
        <DigestMethod Algorithm="http://www.w3.org/2001/04/xmlenc#sha256"/>
        <DigestValue>EuNct4CXxr+A5sSnYBmgU0Nq29vOyMxfu7R/u2V70+0=</DigestValue>
      </Reference>
      <Reference URI="/xl/calcChain.xml?ContentType=application/vnd.openxmlformats-officedocument.spreadsheetml.calcChain+xml">
        <DigestMethod Algorithm="http://www.w3.org/2001/04/xmlenc#sha256"/>
        <DigestValue>aU8mr3NBRh1bptl5ydp5Wxi71s4rvpRpoplrZufodVo=</DigestValue>
      </Reference>
      <Reference URI="/xl/comments1.xml?ContentType=application/vnd.openxmlformats-officedocument.spreadsheetml.comments+xml">
        <DigestMethod Algorithm="http://www.w3.org/2001/04/xmlenc#sha256"/>
        <DigestValue>4NDfhUFYV4rw4a5LJmzFPBJEK6PtlVGlHu+4UeBuk9E=</DigestValue>
      </Reference>
      <Reference URI="/xl/drawings/drawing1.xml?ContentType=application/vnd.openxmlformats-officedocument.drawing+xml">
        <DigestMethod Algorithm="http://www.w3.org/2001/04/xmlenc#sha256"/>
        <DigestValue>8UznAeC8oa4Ew3iX/QTjCcvew3MR81lMbkd21hZdj6Y=</DigestValue>
      </Reference>
      <Reference URI="/xl/drawings/vmlDrawing1.vml?ContentType=application/vnd.openxmlformats-officedocument.vmlDrawing">
        <DigestMethod Algorithm="http://www.w3.org/2001/04/xmlenc#sha256"/>
        <DigestValue>QCFczz06xLGM47tajmhbmgqxJxLT7vmr+9Hztpp3cZY=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i8QCaRC9tZz6GBZAQU8aa7Wx9l7kkjLsmahWOR61UwY=</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33Wh3QxwsFK7gqeqqaobcQRBUpjwtPtHvo+Rs3lHPd0=</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externalLinks/externalLink4.xml?ContentType=application/vnd.openxmlformats-officedocument.spreadsheetml.externalLink+xml">
        <DigestMethod Algorithm="http://www.w3.org/2001/04/xmlenc#sha256"/>
        <DigestValue>oCyBt9JOjX89sFqbwSNBV8fFTKUFlIoX31jpM+fYYZE=</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uU88Xb8H52+zoIqxS5vO/I1x2eOfnDiUW8vvtTUj+gU=</DigestValue>
      </Reference>
      <Reference URI="/xl/sharedStrings.xml?ContentType=application/vnd.openxmlformats-officedocument.spreadsheetml.sharedStrings+xml">
        <DigestMethod Algorithm="http://www.w3.org/2001/04/xmlenc#sha256"/>
        <DigestValue>VmMBNxt4n0XgVaXMQrl4k9m5tvowaypBVIbF7R7box0=</DigestValue>
      </Reference>
      <Reference URI="/xl/styles.xml?ContentType=application/vnd.openxmlformats-officedocument.spreadsheetml.styles+xml">
        <DigestMethod Algorithm="http://www.w3.org/2001/04/xmlenc#sha256"/>
        <DigestValue>VABwafn+OQ3ejluTwgDkE/zjmIzO+6DmCjZut4wMD7g=</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e+74S0qAMeO219YRAPlNqj2l4epWkGgrXoHmbU0Oszw=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zPJoZ1z1KoxgmR8mOWNFzxsrSYB1UjbG9mfwrTAduQs=</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YE7nlzfNF8FZS+Gv7lqOLorzClSCwKYvQSZKgC0vG/g=</DigestValue>
      </Reference>
      <Reference URI="/xl/worksheets/sheet10.xml?ContentType=application/vnd.openxmlformats-officedocument.spreadsheetml.worksheet+xml">
        <DigestMethod Algorithm="http://www.w3.org/2001/04/xmlenc#sha256"/>
        <DigestValue>vKuE76mkDI8pCiYfqCD3ollvDkSV/V+6UzhP08ifZJA=</DigestValue>
      </Reference>
      <Reference URI="/xl/worksheets/sheet11.xml?ContentType=application/vnd.openxmlformats-officedocument.spreadsheetml.worksheet+xml">
        <DigestMethod Algorithm="http://www.w3.org/2001/04/xmlenc#sha256"/>
        <DigestValue>fmNOUDEBN7yAVZ/95D2BMjZ2v9n9jPuW8uWFCggBQw0=</DigestValue>
      </Reference>
      <Reference URI="/xl/worksheets/sheet12.xml?ContentType=application/vnd.openxmlformats-officedocument.spreadsheetml.worksheet+xml">
        <DigestMethod Algorithm="http://www.w3.org/2001/04/xmlenc#sha256"/>
        <DigestValue>ejcZqmiBoz/dLeEQ5ZZhXMrAJXDP6w7y4vzfxvQsAm0=</DigestValue>
      </Reference>
      <Reference URI="/xl/worksheets/sheet13.xml?ContentType=application/vnd.openxmlformats-officedocument.spreadsheetml.worksheet+xml">
        <DigestMethod Algorithm="http://www.w3.org/2001/04/xmlenc#sha256"/>
        <DigestValue>lQ+FL8FUb0564bSivc4L7kiV+R3DZAsOlF42tRrYSTE=</DigestValue>
      </Reference>
      <Reference URI="/xl/worksheets/sheet14.xml?ContentType=application/vnd.openxmlformats-officedocument.spreadsheetml.worksheet+xml">
        <DigestMethod Algorithm="http://www.w3.org/2001/04/xmlenc#sha256"/>
        <DigestValue>tebwLS/BPm++m/s0AXAdcejpPK0RIhGRsMsviRkHmyM=</DigestValue>
      </Reference>
      <Reference URI="/xl/worksheets/sheet15.xml?ContentType=application/vnd.openxmlformats-officedocument.spreadsheetml.worksheet+xml">
        <DigestMethod Algorithm="http://www.w3.org/2001/04/xmlenc#sha256"/>
        <DigestValue>JwbJay49YNde1MwtkSr6aJz5QG8qhO6XTw78p7Cl7hE=</DigestValue>
      </Reference>
      <Reference URI="/xl/worksheets/sheet16.xml?ContentType=application/vnd.openxmlformats-officedocument.spreadsheetml.worksheet+xml">
        <DigestMethod Algorithm="http://www.w3.org/2001/04/xmlenc#sha256"/>
        <DigestValue>9S1T1Tuy3ESpTA/AgBn6cHHfL0vbqjAAHz0D+TddGvo=</DigestValue>
      </Reference>
      <Reference URI="/xl/worksheets/sheet17.xml?ContentType=application/vnd.openxmlformats-officedocument.spreadsheetml.worksheet+xml">
        <DigestMethod Algorithm="http://www.w3.org/2001/04/xmlenc#sha256"/>
        <DigestValue>Bn6UP6mix8K0kX95DzxQe3rk64iyjbAWHDfr4UzfvTo=</DigestValue>
      </Reference>
      <Reference URI="/xl/worksheets/sheet18.xml?ContentType=application/vnd.openxmlformats-officedocument.spreadsheetml.worksheet+xml">
        <DigestMethod Algorithm="http://www.w3.org/2001/04/xmlenc#sha256"/>
        <DigestValue>lJoaXIumjQueLA/kZ8huswvn8gk95UolvsHwj63SXJc=</DigestValue>
      </Reference>
      <Reference URI="/xl/worksheets/sheet19.xml?ContentType=application/vnd.openxmlformats-officedocument.spreadsheetml.worksheet+xml">
        <DigestMethod Algorithm="http://www.w3.org/2001/04/xmlenc#sha256"/>
        <DigestValue>7W6w7sBJXMy0Yff2vH5rUyANcSTLubKgOM5fW6QaQXw=</DigestValue>
      </Reference>
      <Reference URI="/xl/worksheets/sheet2.xml?ContentType=application/vnd.openxmlformats-officedocument.spreadsheetml.worksheet+xml">
        <DigestMethod Algorithm="http://www.w3.org/2001/04/xmlenc#sha256"/>
        <DigestValue>0mtCpylpnniVYtXNlgk5xXU5+TGhIRTToR0hvJfv8Ts=</DigestValue>
      </Reference>
      <Reference URI="/xl/worksheets/sheet20.xml?ContentType=application/vnd.openxmlformats-officedocument.spreadsheetml.worksheet+xml">
        <DigestMethod Algorithm="http://www.w3.org/2001/04/xmlenc#sha256"/>
        <DigestValue>ZxArSpbJU3aRWd24pYjAXWEfdq9QSVXUsVh7olOXbOM=</DigestValue>
      </Reference>
      <Reference URI="/xl/worksheets/sheet21.xml?ContentType=application/vnd.openxmlformats-officedocument.spreadsheetml.worksheet+xml">
        <DigestMethod Algorithm="http://www.w3.org/2001/04/xmlenc#sha256"/>
        <DigestValue>i2MF7V/VH1zndqbIxNUxPP3LZr4Nu1cmPn/97tt4TZ8=</DigestValue>
      </Reference>
      <Reference URI="/xl/worksheets/sheet22.xml?ContentType=application/vnd.openxmlformats-officedocument.spreadsheetml.worksheet+xml">
        <DigestMethod Algorithm="http://www.w3.org/2001/04/xmlenc#sha256"/>
        <DigestValue>vVJodVXzsQ3kkSqo1HmRRsmBi/QP6UqPfUklNJRc3Ig=</DigestValue>
      </Reference>
      <Reference URI="/xl/worksheets/sheet23.xml?ContentType=application/vnd.openxmlformats-officedocument.spreadsheetml.worksheet+xml">
        <DigestMethod Algorithm="http://www.w3.org/2001/04/xmlenc#sha256"/>
        <DigestValue>68eUGaXxJtw9c/D4S16YU0onB/2nLSf5Z11pEIt0kL0=</DigestValue>
      </Reference>
      <Reference URI="/xl/worksheets/sheet24.xml?ContentType=application/vnd.openxmlformats-officedocument.spreadsheetml.worksheet+xml">
        <DigestMethod Algorithm="http://www.w3.org/2001/04/xmlenc#sha256"/>
        <DigestValue>c4n2El0WC5h7HN/gmmv+HYXZvnp1nE9tqCJawf0/imM=</DigestValue>
      </Reference>
      <Reference URI="/xl/worksheets/sheet25.xml?ContentType=application/vnd.openxmlformats-officedocument.spreadsheetml.worksheet+xml">
        <DigestMethod Algorithm="http://www.w3.org/2001/04/xmlenc#sha256"/>
        <DigestValue>omqatsdZA1G0wcIEMWlegyic/FLClTnhnKFTatEE7OY=</DigestValue>
      </Reference>
      <Reference URI="/xl/worksheets/sheet26.xml?ContentType=application/vnd.openxmlformats-officedocument.spreadsheetml.worksheet+xml">
        <DigestMethod Algorithm="http://www.w3.org/2001/04/xmlenc#sha256"/>
        <DigestValue>tvaWxhfZ0QFdptxJLHw4vLguv8wshRYadnz32sK2a/U=</DigestValue>
      </Reference>
      <Reference URI="/xl/worksheets/sheet27.xml?ContentType=application/vnd.openxmlformats-officedocument.spreadsheetml.worksheet+xml">
        <DigestMethod Algorithm="http://www.w3.org/2001/04/xmlenc#sha256"/>
        <DigestValue>e/xA8P2Z9TbE17tcAVcjoKOznZTSXKi4XdNLrIL6ocI=</DigestValue>
      </Reference>
      <Reference URI="/xl/worksheets/sheet28.xml?ContentType=application/vnd.openxmlformats-officedocument.spreadsheetml.worksheet+xml">
        <DigestMethod Algorithm="http://www.w3.org/2001/04/xmlenc#sha256"/>
        <DigestValue>xG6qbuLZKBMTHzE8OVtqnIx4l0mWKLVy93sFTKkAnzA=</DigestValue>
      </Reference>
      <Reference URI="/xl/worksheets/sheet29.xml?ContentType=application/vnd.openxmlformats-officedocument.spreadsheetml.worksheet+xml">
        <DigestMethod Algorithm="http://www.w3.org/2001/04/xmlenc#sha256"/>
        <DigestValue>uDoZ4MCkdqueh93aF5Y4vxIuQK3oXW1HbDIgxnjHkDs=</DigestValue>
      </Reference>
      <Reference URI="/xl/worksheets/sheet3.xml?ContentType=application/vnd.openxmlformats-officedocument.spreadsheetml.worksheet+xml">
        <DigestMethod Algorithm="http://www.w3.org/2001/04/xmlenc#sha256"/>
        <DigestValue>9dKQxn5txbw2EfV0k7jKpIxOja49sw34C5Y1rYc4k1g=</DigestValue>
      </Reference>
      <Reference URI="/xl/worksheets/sheet4.xml?ContentType=application/vnd.openxmlformats-officedocument.spreadsheetml.worksheet+xml">
        <DigestMethod Algorithm="http://www.w3.org/2001/04/xmlenc#sha256"/>
        <DigestValue>kV4qDv/md9vXiuTW/bBiciMWuX7Pjizgp64RrAtkkbE=</DigestValue>
      </Reference>
      <Reference URI="/xl/worksheets/sheet5.xml?ContentType=application/vnd.openxmlformats-officedocument.spreadsheetml.worksheet+xml">
        <DigestMethod Algorithm="http://www.w3.org/2001/04/xmlenc#sha256"/>
        <DigestValue>nR150A3WQ6KkTG7+rhyiYygzqyJq86KQ71W+g1UFMmU=</DigestValue>
      </Reference>
      <Reference URI="/xl/worksheets/sheet6.xml?ContentType=application/vnd.openxmlformats-officedocument.spreadsheetml.worksheet+xml">
        <DigestMethod Algorithm="http://www.w3.org/2001/04/xmlenc#sha256"/>
        <DigestValue>Lf5HKT6zdgwSRpdnsnroksQ0snOhXEiD8D7o5AMAyBk=</DigestValue>
      </Reference>
      <Reference URI="/xl/worksheets/sheet7.xml?ContentType=application/vnd.openxmlformats-officedocument.spreadsheetml.worksheet+xml">
        <DigestMethod Algorithm="http://www.w3.org/2001/04/xmlenc#sha256"/>
        <DigestValue>7O2ipuE4W4iM3QkNVw2nJJ5tKabfVSTtQkHxEE6pTj8=</DigestValue>
      </Reference>
      <Reference URI="/xl/worksheets/sheet8.xml?ContentType=application/vnd.openxmlformats-officedocument.spreadsheetml.worksheet+xml">
        <DigestMethod Algorithm="http://www.w3.org/2001/04/xmlenc#sha256"/>
        <DigestValue>G0x6da3kfHWe7TR9eIN4ATeg2Sqi5xlWzuhRgCeRal0=</DigestValue>
      </Reference>
      <Reference URI="/xl/worksheets/sheet9.xml?ContentType=application/vnd.openxmlformats-officedocument.spreadsheetml.worksheet+xml">
        <DigestMethod Algorithm="http://www.w3.org/2001/04/xmlenc#sha256"/>
        <DigestValue>vlsYjEjVfb8+vhBDPfPbME2GDiZY6QCZU6F7Zq0gKhc=</DigestValue>
      </Reference>
    </Manifest>
    <SignatureProperties>
      <SignatureProperty Id="idSignatureTime" Target="#idPackageSignature">
        <mdssi:SignatureTime xmlns:mdssi="http://schemas.openxmlformats.org/package/2006/digital-signature">
          <mdssi:Format>YYYY-MM-DDThh:mm:ssTZD</mdssi:Format>
          <mdssi:Value>2024-07-30T12:09:31Z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PE1_I-BBG-QQ-20240630</SignatureComments>
          <WindowsVersion>10.0</WindowsVersion>
          <OfficeVersion>16.0.14332/22</OfficeVersion>
          <ApplicationVersion>16.0.14332</ApplicationVersion>
          <Monitors>1</Monitors>
          <HorizontalResolution>2560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2024-07-30T12:09:31Z</xd:SigningTime>
          <xd:SigningCertificate>
            <xd:Cert>
              <xd:CertDigest>
                <DigestMethod Algorithm="http://www.w3.org/2001/04/xmlenc#sha256"/>
                <DigestValue>/UBuN0Mw/1snL83CcPuxpoeKpx0o3Mn7GS88tyFqWdI=</DigestValue>
              </xd:CertDigest>
              <xd:IssuerSerial>
                <X509IssuerName>CN=NBG Class 2 INT Sub CA, DC=nbg, DC=ge</X509IssuerName>
                <X509SerialNumber>316064066941404726833550</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Qualifiers>
              <xd:CommitmentTypeQualifier>PE1_I-BBG-QQ-20240630</xd:CommitmentTypeQualifier>
            </xd:CommitmentTypeQualifiers>
          </xd:CommitmentTypeIndication>
        </xd:SignedDataObject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h4NhCFDplRGjTIb96iIiW5AC1C3lkZ6TPDH3HG18EL8=</DigestValue>
    </Reference>
    <Reference Type="http://www.w3.org/2000/09/xmldsig#Object" URI="#idOfficeObject">
      <DigestMethod Algorithm="http://www.w3.org/2001/04/xmlenc#sha256"/>
      <DigestValue>+19bKdCMkcBRWc5qrwUtRt9OtGNSphFIP+aEY+a69ck=</DigestValue>
    </Reference>
    <Reference Type="http://uri.etsi.org/01903#SignedProperties" URI="#idSignedProperties">
      <Transforms>
        <Transform Algorithm="http://www.w3.org/TR/2001/REC-xml-c14n-20010315"/>
      </Transforms>
      <DigestMethod Algorithm="http://www.w3.org/2001/04/xmlenc#sha256"/>
      <DigestValue>7FCelJ2siDwbnYjcZo+KRU+2GvxCfxVlGzeGrlGl5Iw=</DigestValue>
    </Reference>
  </SignedInfo>
  <SignatureValue>kRSdN14j1MudisX1VJWWATyBOdo517HnkbVDuQI9ebszMl1257qQTsKiP2okDHTPIClhCbyuONGE
Yg2O1CJyAEdjduKnNeRrMl7HFoKvex0VxDSH+LTOmXY0cO85zgkYRqVWHvTCKUD19LnHpjg61Uft
QVpDQVqJIjb/+5IrnOXxb7TzhPOZ141CENCf4DH0wpRcGFXMRZ/dDPAWDejjrwZDrzF5rn8EexyL
r5kfVdsbRkOShKdwkaaTCInLL8B7v4zG8vboERbKjbAu73408sq4agwog7DvsPnzjueqngLxv5zL
y1xHWCOl8ksQjMcaGyIvK671gehaMhlghZ85WA==</SignatureValue>
  <KeyInfo>
    <X509Data>
      <X509Certificate>MIIGPzCCBSegAwIBAgIKOziivgADAAI5bjANBgkqhkiG9w0BAQsFADBKMRIwEAYKCZImiZPyLGQBGRYCZ2UxEzARBgoJkiaJk/IsZAEZFgNuYmcxHzAdBgNVBAMTFk5CRyBDbGFzcyAyIElOVCBTdWIgQ0EwHhcNMjMwNzE0MDcyMzIzWhcNMjUwNzEzMDcyMzIzWjA9MRwwGgYDVQQKExNKU0MgQmFuayBPZiBHZW9yZ2lhMR0wGwYDVQQDExRCQkcgLSBTdWxraGFuIEd2YWxpYTCCASIwDQYJKoZIhvcNAQEBBQADggEPADCCAQoCggEBAOecYlq4VGLo2L9kIl/cra+/Ml0qFGjXClJQ7riAXSzWXXVOf6sFGJ/IP6sAH1+FUjXhPaJ5NtAurKMmK9phRktWey9Jw5taXaoIjdG4PsOsfNqDO6m6BAMVETc0R5zBb9lzIZqbrRuuKaGnGa5NORGqmeDb+lybeKRElhyXAVC1G0FgMNO0Sz/C4V5psFH3m7AmcLA39H/CKrHz7qzMo856K2evQRFiFNZQ23fjqHn3p70wcm8RflqIx1ydbpaLnnKksoSP6BjuyxCpB6UaRwo3ZhvWdA/o9ZZSH88mwsyaHQwyvQA3I4rVPokN+B6W6+UpAxWzKY4ryitRWc0gebECAwEAAaOCAzIwggMuMDwGCSsGAQQBgjcVBwQvMC0GJSsGAQQBgjcVCOayYION9USGgZkJg7ihSoO+hHEEg8SRM4SDiF0CAWQCASMwHQYDVR0lBBYwFAYIKwYBBQUHAwIGCCsGAQUFBwMEMAsGA1UdDwQEAwIHgDAnBgkrBgEEAYI3FQoEGjAYMAoGCCsGAQUFBwMCMAoGCCsGAQUFBwMEMB0GA1UdDgQWBBQ0NcqGvLYQM3nOvhDYcmkvg+OllD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GlrywaPrzPaOHS/JgXkFkvvIgpA8aS1lVG2hs6kxMye4F5xcYCy0X3VgTQQOElLhrcUJkGue6GNwg/42MCGHVROc7u7z3wxn+UbKxcv4IebJt5Yqllgz8CPLPXuXatOYdx8oQLgo0QDN99n+k6/XwwsDkRiEIbUMi5ons1Ktj/kj3kiYu4M6+h5xm54hXFJzbaFxTQ7lgxoc8D/uVqQMLid/GL72jAj4sBf4ZDugaUm0kb3XNrSj9eLiuNWThVSCPHvddfEmFkD58LAl7fVrizRlf4SbAR1RsDUqVo/jiiuAjTuv41WOyvS7mNrTaFl/CFfFlgJyWEfx7e8Y/L4ne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Transform>
          <Transform Algorithm="http://www.w3.org/TR/2001/REC-xml-c14n-20010315"/>
        </Transforms>
        <DigestMethod Algorithm="http://www.w3.org/2001/04/xmlenc#sha256"/>
        <DigestValue>EuNct4CXxr+A5sSnYBmgU0Nq29vOyMxfu7R/u2V70+0=</DigestValue>
      </Reference>
      <Reference URI="/xl/calcChain.xml?ContentType=application/vnd.openxmlformats-officedocument.spreadsheetml.calcChain+xml">
        <DigestMethod Algorithm="http://www.w3.org/2001/04/xmlenc#sha256"/>
        <DigestValue>aU8mr3NBRh1bptl5ydp5Wxi71s4rvpRpoplrZufodVo=</DigestValue>
      </Reference>
      <Reference URI="/xl/comments1.xml?ContentType=application/vnd.openxmlformats-officedocument.spreadsheetml.comments+xml">
        <DigestMethod Algorithm="http://www.w3.org/2001/04/xmlenc#sha256"/>
        <DigestValue>4NDfhUFYV4rw4a5LJmzFPBJEK6PtlVGlHu+4UeBuk9E=</DigestValue>
      </Reference>
      <Reference URI="/xl/drawings/drawing1.xml?ContentType=application/vnd.openxmlformats-officedocument.drawing+xml">
        <DigestMethod Algorithm="http://www.w3.org/2001/04/xmlenc#sha256"/>
        <DigestValue>8UznAeC8oa4Ew3iX/QTjCcvew3MR81lMbkd21hZdj6Y=</DigestValue>
      </Reference>
      <Reference URI="/xl/drawings/vmlDrawing1.vml?ContentType=application/vnd.openxmlformats-officedocument.vmlDrawing">
        <DigestMethod Algorithm="http://www.w3.org/2001/04/xmlenc#sha256"/>
        <DigestValue>QCFczz06xLGM47tajmhbmgqxJxLT7vmr+9Hztpp3cZY=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i8QCaRC9tZz6GBZAQU8aa7Wx9l7kkjLsmahWOR61UwY=</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33Wh3QxwsFK7gqeqqaobcQRBUpjwtPtHvo+Rs3lHPd0=</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externalLinks/externalLink4.xml?ContentType=application/vnd.openxmlformats-officedocument.spreadsheetml.externalLink+xml">
        <DigestMethod Algorithm="http://www.w3.org/2001/04/xmlenc#sha256"/>
        <DigestValue>oCyBt9JOjX89sFqbwSNBV8fFTKUFlIoX31jpM+fYYZE=</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uU88Xb8H52+zoIqxS5vO/I1x2eOfnDiUW8vvtTUj+gU=</DigestValue>
      </Reference>
      <Reference URI="/xl/sharedStrings.xml?ContentType=application/vnd.openxmlformats-officedocument.spreadsheetml.sharedStrings+xml">
        <DigestMethod Algorithm="http://www.w3.org/2001/04/xmlenc#sha256"/>
        <DigestValue>VmMBNxt4n0XgVaXMQrl4k9m5tvowaypBVIbF7R7box0=</DigestValue>
      </Reference>
      <Reference URI="/xl/styles.xml?ContentType=application/vnd.openxmlformats-officedocument.spreadsheetml.styles+xml">
        <DigestMethod Algorithm="http://www.w3.org/2001/04/xmlenc#sha256"/>
        <DigestValue>VABwafn+OQ3ejluTwgDkE/zjmIzO+6DmCjZut4wMD7g=</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e+74S0qAMeO219YRAPlNqj2l4epWkGgrXoHmbU0Oszw=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zPJoZ1z1KoxgmR8mOWNFzxsrSYB1UjbG9mfwrTAduQs=</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YE7nlzfNF8FZS+Gv7lqOLorzClSCwKYvQSZKgC0vG/g=</DigestValue>
      </Reference>
      <Reference URI="/xl/worksheets/sheet10.xml?ContentType=application/vnd.openxmlformats-officedocument.spreadsheetml.worksheet+xml">
        <DigestMethod Algorithm="http://www.w3.org/2001/04/xmlenc#sha256"/>
        <DigestValue>vKuE76mkDI8pCiYfqCD3ollvDkSV/V+6UzhP08ifZJA=</DigestValue>
      </Reference>
      <Reference URI="/xl/worksheets/sheet11.xml?ContentType=application/vnd.openxmlformats-officedocument.spreadsheetml.worksheet+xml">
        <DigestMethod Algorithm="http://www.w3.org/2001/04/xmlenc#sha256"/>
        <DigestValue>fmNOUDEBN7yAVZ/95D2BMjZ2v9n9jPuW8uWFCggBQw0=</DigestValue>
      </Reference>
      <Reference URI="/xl/worksheets/sheet12.xml?ContentType=application/vnd.openxmlformats-officedocument.spreadsheetml.worksheet+xml">
        <DigestMethod Algorithm="http://www.w3.org/2001/04/xmlenc#sha256"/>
        <DigestValue>ejcZqmiBoz/dLeEQ5ZZhXMrAJXDP6w7y4vzfxvQsAm0=</DigestValue>
      </Reference>
      <Reference URI="/xl/worksheets/sheet13.xml?ContentType=application/vnd.openxmlformats-officedocument.spreadsheetml.worksheet+xml">
        <DigestMethod Algorithm="http://www.w3.org/2001/04/xmlenc#sha256"/>
        <DigestValue>lQ+FL8FUb0564bSivc4L7kiV+R3DZAsOlF42tRrYSTE=</DigestValue>
      </Reference>
      <Reference URI="/xl/worksheets/sheet14.xml?ContentType=application/vnd.openxmlformats-officedocument.spreadsheetml.worksheet+xml">
        <DigestMethod Algorithm="http://www.w3.org/2001/04/xmlenc#sha256"/>
        <DigestValue>tebwLS/BPm++m/s0AXAdcejpPK0RIhGRsMsviRkHmyM=</DigestValue>
      </Reference>
      <Reference URI="/xl/worksheets/sheet15.xml?ContentType=application/vnd.openxmlformats-officedocument.spreadsheetml.worksheet+xml">
        <DigestMethod Algorithm="http://www.w3.org/2001/04/xmlenc#sha256"/>
        <DigestValue>JwbJay49YNde1MwtkSr6aJz5QG8qhO6XTw78p7Cl7hE=</DigestValue>
      </Reference>
      <Reference URI="/xl/worksheets/sheet16.xml?ContentType=application/vnd.openxmlformats-officedocument.spreadsheetml.worksheet+xml">
        <DigestMethod Algorithm="http://www.w3.org/2001/04/xmlenc#sha256"/>
        <DigestValue>9S1T1Tuy3ESpTA/AgBn6cHHfL0vbqjAAHz0D+TddGvo=</DigestValue>
      </Reference>
      <Reference URI="/xl/worksheets/sheet17.xml?ContentType=application/vnd.openxmlformats-officedocument.spreadsheetml.worksheet+xml">
        <DigestMethod Algorithm="http://www.w3.org/2001/04/xmlenc#sha256"/>
        <DigestValue>Bn6UP6mix8K0kX95DzxQe3rk64iyjbAWHDfr4UzfvTo=</DigestValue>
      </Reference>
      <Reference URI="/xl/worksheets/sheet18.xml?ContentType=application/vnd.openxmlformats-officedocument.spreadsheetml.worksheet+xml">
        <DigestMethod Algorithm="http://www.w3.org/2001/04/xmlenc#sha256"/>
        <DigestValue>lJoaXIumjQueLA/kZ8huswvn8gk95UolvsHwj63SXJc=</DigestValue>
      </Reference>
      <Reference URI="/xl/worksheets/sheet19.xml?ContentType=application/vnd.openxmlformats-officedocument.spreadsheetml.worksheet+xml">
        <DigestMethod Algorithm="http://www.w3.org/2001/04/xmlenc#sha256"/>
        <DigestValue>7W6w7sBJXMy0Yff2vH5rUyANcSTLubKgOM5fW6QaQXw=</DigestValue>
      </Reference>
      <Reference URI="/xl/worksheets/sheet2.xml?ContentType=application/vnd.openxmlformats-officedocument.spreadsheetml.worksheet+xml">
        <DigestMethod Algorithm="http://www.w3.org/2001/04/xmlenc#sha256"/>
        <DigestValue>0mtCpylpnniVYtXNlgk5xXU5+TGhIRTToR0hvJfv8Ts=</DigestValue>
      </Reference>
      <Reference URI="/xl/worksheets/sheet20.xml?ContentType=application/vnd.openxmlformats-officedocument.spreadsheetml.worksheet+xml">
        <DigestMethod Algorithm="http://www.w3.org/2001/04/xmlenc#sha256"/>
        <DigestValue>ZxArSpbJU3aRWd24pYjAXWEfdq9QSVXUsVh7olOXbOM=</DigestValue>
      </Reference>
      <Reference URI="/xl/worksheets/sheet21.xml?ContentType=application/vnd.openxmlformats-officedocument.spreadsheetml.worksheet+xml">
        <DigestMethod Algorithm="http://www.w3.org/2001/04/xmlenc#sha256"/>
        <DigestValue>i2MF7V/VH1zndqbIxNUxPP3LZr4Nu1cmPn/97tt4TZ8=</DigestValue>
      </Reference>
      <Reference URI="/xl/worksheets/sheet22.xml?ContentType=application/vnd.openxmlformats-officedocument.spreadsheetml.worksheet+xml">
        <DigestMethod Algorithm="http://www.w3.org/2001/04/xmlenc#sha256"/>
        <DigestValue>vVJodVXzsQ3kkSqo1HmRRsmBi/QP6UqPfUklNJRc3Ig=</DigestValue>
      </Reference>
      <Reference URI="/xl/worksheets/sheet23.xml?ContentType=application/vnd.openxmlformats-officedocument.spreadsheetml.worksheet+xml">
        <DigestMethod Algorithm="http://www.w3.org/2001/04/xmlenc#sha256"/>
        <DigestValue>68eUGaXxJtw9c/D4S16YU0onB/2nLSf5Z11pEIt0kL0=</DigestValue>
      </Reference>
      <Reference URI="/xl/worksheets/sheet24.xml?ContentType=application/vnd.openxmlformats-officedocument.spreadsheetml.worksheet+xml">
        <DigestMethod Algorithm="http://www.w3.org/2001/04/xmlenc#sha256"/>
        <DigestValue>c4n2El0WC5h7HN/gmmv+HYXZvnp1nE9tqCJawf0/imM=</DigestValue>
      </Reference>
      <Reference URI="/xl/worksheets/sheet25.xml?ContentType=application/vnd.openxmlformats-officedocument.spreadsheetml.worksheet+xml">
        <DigestMethod Algorithm="http://www.w3.org/2001/04/xmlenc#sha256"/>
        <DigestValue>omqatsdZA1G0wcIEMWlegyic/FLClTnhnKFTatEE7OY=</DigestValue>
      </Reference>
      <Reference URI="/xl/worksheets/sheet26.xml?ContentType=application/vnd.openxmlformats-officedocument.spreadsheetml.worksheet+xml">
        <DigestMethod Algorithm="http://www.w3.org/2001/04/xmlenc#sha256"/>
        <DigestValue>tvaWxhfZ0QFdptxJLHw4vLguv8wshRYadnz32sK2a/U=</DigestValue>
      </Reference>
      <Reference URI="/xl/worksheets/sheet27.xml?ContentType=application/vnd.openxmlformats-officedocument.spreadsheetml.worksheet+xml">
        <DigestMethod Algorithm="http://www.w3.org/2001/04/xmlenc#sha256"/>
        <DigestValue>e/xA8P2Z9TbE17tcAVcjoKOznZTSXKi4XdNLrIL6ocI=</DigestValue>
      </Reference>
      <Reference URI="/xl/worksheets/sheet28.xml?ContentType=application/vnd.openxmlformats-officedocument.spreadsheetml.worksheet+xml">
        <DigestMethod Algorithm="http://www.w3.org/2001/04/xmlenc#sha256"/>
        <DigestValue>xG6qbuLZKBMTHzE8OVtqnIx4l0mWKLVy93sFTKkAnzA=</DigestValue>
      </Reference>
      <Reference URI="/xl/worksheets/sheet29.xml?ContentType=application/vnd.openxmlformats-officedocument.spreadsheetml.worksheet+xml">
        <DigestMethod Algorithm="http://www.w3.org/2001/04/xmlenc#sha256"/>
        <DigestValue>uDoZ4MCkdqueh93aF5Y4vxIuQK3oXW1HbDIgxnjHkDs=</DigestValue>
      </Reference>
      <Reference URI="/xl/worksheets/sheet3.xml?ContentType=application/vnd.openxmlformats-officedocument.spreadsheetml.worksheet+xml">
        <DigestMethod Algorithm="http://www.w3.org/2001/04/xmlenc#sha256"/>
        <DigestValue>9dKQxn5txbw2EfV0k7jKpIxOja49sw34C5Y1rYc4k1g=</DigestValue>
      </Reference>
      <Reference URI="/xl/worksheets/sheet4.xml?ContentType=application/vnd.openxmlformats-officedocument.spreadsheetml.worksheet+xml">
        <DigestMethod Algorithm="http://www.w3.org/2001/04/xmlenc#sha256"/>
        <DigestValue>kV4qDv/md9vXiuTW/bBiciMWuX7Pjizgp64RrAtkkbE=</DigestValue>
      </Reference>
      <Reference URI="/xl/worksheets/sheet5.xml?ContentType=application/vnd.openxmlformats-officedocument.spreadsheetml.worksheet+xml">
        <DigestMethod Algorithm="http://www.w3.org/2001/04/xmlenc#sha256"/>
        <DigestValue>nR150A3WQ6KkTG7+rhyiYygzqyJq86KQ71W+g1UFMmU=</DigestValue>
      </Reference>
      <Reference URI="/xl/worksheets/sheet6.xml?ContentType=application/vnd.openxmlformats-officedocument.spreadsheetml.worksheet+xml">
        <DigestMethod Algorithm="http://www.w3.org/2001/04/xmlenc#sha256"/>
        <DigestValue>Lf5HKT6zdgwSRpdnsnroksQ0snOhXEiD8D7o5AMAyBk=</DigestValue>
      </Reference>
      <Reference URI="/xl/worksheets/sheet7.xml?ContentType=application/vnd.openxmlformats-officedocument.spreadsheetml.worksheet+xml">
        <DigestMethod Algorithm="http://www.w3.org/2001/04/xmlenc#sha256"/>
        <DigestValue>7O2ipuE4W4iM3QkNVw2nJJ5tKabfVSTtQkHxEE6pTj8=</DigestValue>
      </Reference>
      <Reference URI="/xl/worksheets/sheet8.xml?ContentType=application/vnd.openxmlformats-officedocument.spreadsheetml.worksheet+xml">
        <DigestMethod Algorithm="http://www.w3.org/2001/04/xmlenc#sha256"/>
        <DigestValue>G0x6da3kfHWe7TR9eIN4ATeg2Sqi5xlWzuhRgCeRal0=</DigestValue>
      </Reference>
      <Reference URI="/xl/worksheets/sheet9.xml?ContentType=application/vnd.openxmlformats-officedocument.spreadsheetml.worksheet+xml">
        <DigestMethod Algorithm="http://www.w3.org/2001/04/xmlenc#sha256"/>
        <DigestValue>vlsYjEjVfb8+vhBDPfPbME2GDiZY6QCZU6F7Zq0gKhc=</DigestValue>
      </Reference>
    </Manifest>
    <SignatureProperties>
      <SignatureProperty Id="idSignatureTime" Target="#idPackageSignature">
        <mdssi:SignatureTime xmlns:mdssi="http://schemas.openxmlformats.org/package/2006/digital-signature">
          <mdssi:Format>YYYY-MM-DDThh:mm:ssTZD</mdssi:Format>
          <mdssi:Value>2024-07-30T12:19:28Z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PE1_I-BBG-QQ-20240630</SignatureComments>
          <WindowsVersion>10.0</WindowsVersion>
          <OfficeVersion>16.0.14332/22</OfficeVersion>
          <ApplicationVersion>16.0.14332</ApplicationVersion>
          <Monitors>1</Monitors>
          <HorizontalResolution>2560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2024-07-30T12:19:28Z</xd:SigningTime>
          <xd:SigningCertificate>
            <xd:Cert>
              <xd:CertDigest>
                <DigestMethod Algorithm="http://www.w3.org/2001/04/xmlenc#sha256"/>
                <DigestValue>oJZe85lCy/tbf0H+aABU7S3vpCf46Hgov08pL/5tEpQ=</DigestValue>
              </xd:CertDigest>
              <xd:IssuerSerial>
                <X509IssuerName>CN=NBG Class 2 INT Sub CA, DC=nbg, DC=ge</X509IssuerName>
                <X509SerialNumber>279664366967929406896494</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Qualifiers>
              <xd:CommitmentTypeQualifier>PE1_I-BBG-QQ-20240630</xd:CommitmentTypeQualifier>
            </xd:CommitmentTypeQualifiers>
          </xd:CommitmentTypeIndication>
        </xd:SignedDataObject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2.RC</vt:lpstr>
      <vt:lpstr>3.PL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2024-07-30T12:09:22Z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y fmtid="{D5CDD505-2E9C-101B-9397-08002B2CF9AE}" pid="7" name="DLPManualFileClassification">
    <vt:lpwstr>{1A067545-A4E2-4FA1-8094-0D7902669705}</vt:lpwstr>
  </property>
  <property fmtid="{D5CDD505-2E9C-101B-9397-08002B2CF9AE}" pid="8" name="DLPManualFileClassificationLastModifiedBy">
    <vt:lpwstr>BOG0\nchurgulashvili</vt:lpwstr>
  </property>
  <property fmtid="{D5CDD505-2E9C-101B-9397-08002B2CF9AE}" pid="9" name="DLPManualFileClassificationLastModificationDate">
    <vt:lpwstr>1684143528</vt:lpwstr>
  </property>
  <property fmtid="{D5CDD505-2E9C-101B-9397-08002B2CF9AE}" pid="10" name="DLPManualFileClassificationVersion">
    <vt:lpwstr>11.6.600.21</vt:lpwstr>
  </property>
</Properties>
</file>